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12" yWindow="468" windowWidth="14400" windowHeight="8952" tabRatio="742" activeTab="2"/>
  </bookViews>
  <sheets>
    <sheet name="Explanatory Stmnts" sheetId="103" r:id="rId1"/>
    <sheet name="MISO Cover" sheetId="88" r:id="rId2"/>
    <sheet name="Appendix A" sheetId="75" r:id="rId3"/>
    <sheet name="App A Support" sheetId="98" r:id="rId4"/>
    <sheet name="WP01 True-Up" sheetId="78" r:id="rId5"/>
    <sheet name="WP01 TU Support" sheetId="101" r:id="rId6"/>
    <sheet name="WP02 Support" sheetId="77" r:id="rId7"/>
    <sheet name="WP03 W&amp;S" sheetId="61" r:id="rId8"/>
    <sheet name="WP04 PIS" sheetId="62" r:id="rId9"/>
    <sheet name="WP04 Support" sheetId="102" r:id="rId10"/>
    <sheet name="WP05 CapAds" sheetId="84" r:id="rId11"/>
    <sheet name="WP06 ADIT" sheetId="2" r:id="rId12"/>
    <sheet name="WP06 ADIT Support" sheetId="95" r:id="rId13"/>
    <sheet name="WP07 M&amp;S" sheetId="91" r:id="rId14"/>
    <sheet name="WP08 Prepay" sheetId="73" r:id="rId15"/>
    <sheet name="WP09 PHFU" sheetId="58" r:id="rId16"/>
    <sheet name="WP10 Storm" sheetId="93" r:id="rId17"/>
    <sheet name="WP11 Credits" sheetId="60" r:id="rId18"/>
    <sheet name="WP12 PBOP" sheetId="57" r:id="rId19"/>
    <sheet name="WP13 TOTI" sheetId="49" r:id="rId20"/>
    <sheet name="WP14 COC" sheetId="44" r:id="rId21"/>
    <sheet name="WP15 Radials" sheetId="86" r:id="rId22"/>
    <sheet name="WP16 Interconn" sheetId="85" r:id="rId23"/>
    <sheet name="WP17 Rev" sheetId="51" r:id="rId24"/>
    <sheet name="WP17 Rev Support" sheetId="97" r:id="rId25"/>
    <sheet name="WP18 Deprec" sheetId="66" r:id="rId26"/>
    <sheet name="WP18 Depr Support" sheetId="104" r:id="rId27"/>
    <sheet name="WP19 Load" sheetId="67" r:id="rId28"/>
    <sheet name="WP20 Reserves" sheetId="74" r:id="rId29"/>
    <sheet name="WP21 Pension" sheetId="99" r:id="rId30"/>
    <sheet name="WP22 IT Adj" sheetId="100" r:id="rId31"/>
    <sheet name="WP AJ1 MISO" sheetId="55" r:id="rId32"/>
    <sheet name="WP AJ2 ITC" sheetId="56" r:id="rId33"/>
    <sheet name="WP AJ3 GPRD" sheetId="94" r:id="rId34"/>
  </sheets>
  <externalReferences>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0" localSheetId="20">'[1]Header Data'!#REF!</definedName>
    <definedName name="\0">#N/A</definedName>
    <definedName name="\1" localSheetId="10">'[1]Header Data'!#REF!</definedName>
    <definedName name="\1" localSheetId="15">'[1]Header Data'!#REF!</definedName>
    <definedName name="\1">'[1]Header Data'!#REF!</definedName>
    <definedName name="\b">#N/A</definedName>
    <definedName name="\c">#N/A</definedName>
    <definedName name="\d">#N/A</definedName>
    <definedName name="\E" localSheetId="1">#REF!</definedName>
    <definedName name="\E" localSheetId="8">#REF!</definedName>
    <definedName name="\E" localSheetId="10">#REF!</definedName>
    <definedName name="\E" localSheetId="19">#REF!</definedName>
    <definedName name="\E" localSheetId="23">#REF!</definedName>
    <definedName name="\E">#REF!</definedName>
    <definedName name="\f">#N/A</definedName>
    <definedName name="\m">#N/A</definedName>
    <definedName name="\p" localSheetId="1">#REF!</definedName>
    <definedName name="\p" localSheetId="10">#REF!</definedName>
    <definedName name="\p" localSheetId="27">#REF!</definedName>
    <definedName name="\p">#REF!</definedName>
    <definedName name="__123Graph_A" localSheetId="8" hidden="1">'[2]AL2 151'!#REF!</definedName>
    <definedName name="__123Graph_A" localSheetId="10" hidden="1">'[2]AL2 151'!#REF!</definedName>
    <definedName name="__123Graph_A" localSheetId="23" hidden="1">'[2]AL2 151'!#REF!</definedName>
    <definedName name="__123Graph_A" localSheetId="26" hidden="1">'[3]AL2 151'!#REF!</definedName>
    <definedName name="__123Graph_A" hidden="1">'[2]AL2 151'!#REF!</definedName>
    <definedName name="__123Graph_B" localSheetId="10" hidden="1">'[2]AL2 151'!#REF!</definedName>
    <definedName name="__123Graph_B" localSheetId="23" hidden="1">'[2]AL2 151'!#REF!</definedName>
    <definedName name="__123Graph_B" localSheetId="26" hidden="1">'[3]AL2 151'!#REF!</definedName>
    <definedName name="__123Graph_B" localSheetId="27" hidden="1">#REF!</definedName>
    <definedName name="__123Graph_B" hidden="1">'[2]AL2 151'!#REF!</definedName>
    <definedName name="__123Graph_C" localSheetId="10" hidden="1">'[2]AL2 151'!#REF!</definedName>
    <definedName name="__123Graph_C" localSheetId="26" hidden="1">'[3]AL2 151'!#REF!</definedName>
    <definedName name="__123Graph_C" hidden="1">'[2]AL2 151'!#REF!</definedName>
    <definedName name="__123Graph_D" localSheetId="10" hidden="1">'[2]AL2 151'!#REF!</definedName>
    <definedName name="__123Graph_D" localSheetId="26" hidden="1">'[3]AL2 151'!#REF!</definedName>
    <definedName name="__123Graph_D" hidden="1">'[2]AL2 151'!#REF!</definedName>
    <definedName name="__123Graph_E" localSheetId="10" hidden="1">'[2]AL2 151'!#REF!</definedName>
    <definedName name="__123Graph_E" localSheetId="26" hidden="1">'[3]AL2 151'!#REF!</definedName>
    <definedName name="__123Graph_E" hidden="1">'[2]AL2 151'!#REF!</definedName>
    <definedName name="__123Graph_F" localSheetId="10" hidden="1">'[2]AL2 151'!#REF!</definedName>
    <definedName name="__123Graph_F" localSheetId="26" hidden="1">'[3]AL2 151'!#REF!</definedName>
    <definedName name="__123Graph_F" hidden="1">'[2]AL2 151'!#REF!</definedName>
    <definedName name="__123Graph_X" localSheetId="10" hidden="1">'[2]AL2 151'!#REF!</definedName>
    <definedName name="__123Graph_X" localSheetId="26" hidden="1">'[3]AL2 151'!#REF!</definedName>
    <definedName name="__123Graph_X" hidden="1">'[2]AL2 151'!#REF!</definedName>
    <definedName name="__CPK1" localSheetId="1">#REF!</definedName>
    <definedName name="__CPK1" localSheetId="8">#REF!</definedName>
    <definedName name="__CPK1" localSheetId="10">#REF!</definedName>
    <definedName name="__CPK1" localSheetId="19">#REF!</definedName>
    <definedName name="__CPK1" localSheetId="23">#REF!</definedName>
    <definedName name="__CPK1">#REF!</definedName>
    <definedName name="__CPK2" localSheetId="1">#REF!</definedName>
    <definedName name="__CPK2" localSheetId="8">#REF!</definedName>
    <definedName name="__CPK2" localSheetId="10">#REF!</definedName>
    <definedName name="__CPK2" localSheetId="19">#REF!</definedName>
    <definedName name="__CPK2" localSheetId="23">#REF!</definedName>
    <definedName name="__CPK2">#REF!</definedName>
    <definedName name="__CPK3" localSheetId="1">#REF!</definedName>
    <definedName name="__CPK3" localSheetId="8">#REF!</definedName>
    <definedName name="__CPK3" localSheetId="10">#REF!</definedName>
    <definedName name="__CPK3" localSheetId="19">#REF!</definedName>
    <definedName name="__CPK3" localSheetId="23">#REF!</definedName>
    <definedName name="__CPK3">#REF!</definedName>
    <definedName name="__EGR1">#N/A</definedName>
    <definedName name="__EGR2">#N/A</definedName>
    <definedName name="__EGR3">#N/A</definedName>
    <definedName name="__tet12" localSheetId="1" hidden="1">{"assumptions",#N/A,FALSE,"Scenario 1";"valuation",#N/A,FALSE,"Scenario 1"}</definedName>
    <definedName name="__tet12" localSheetId="8" hidden="1">{"assumptions",#N/A,FALSE,"Scenario 1";"valuation",#N/A,FALSE,"Scenario 1"}</definedName>
    <definedName name="__tet12" localSheetId="15" hidden="1">{"assumptions",#N/A,FALSE,"Scenario 1";"valuation",#N/A,FALSE,"Scenario 1"}</definedName>
    <definedName name="__tet12" localSheetId="26" hidden="1">{"assumptions",#N/A,FALSE,"Scenario 1";"valuation",#N/A,FALSE,"Scenario 1"}</definedName>
    <definedName name="__tet12" localSheetId="27" hidden="1">{"assumptions",#N/A,FALSE,"Scenario 1";"valuation",#N/A,FALSE,"Scenario 1"}</definedName>
    <definedName name="__tet12" hidden="1">{"assumptions",#N/A,FALSE,"Scenario 1";"valuation",#N/A,FALSE,"Scenario 1"}</definedName>
    <definedName name="__tet5" localSheetId="1" hidden="1">{"assumptions",#N/A,FALSE,"Scenario 1";"valuation",#N/A,FALSE,"Scenario 1"}</definedName>
    <definedName name="__tet5" localSheetId="8" hidden="1">{"assumptions",#N/A,FALSE,"Scenario 1";"valuation",#N/A,FALSE,"Scenario 1"}</definedName>
    <definedName name="__tet5" localSheetId="15" hidden="1">{"assumptions",#N/A,FALSE,"Scenario 1";"valuation",#N/A,FALSE,"Scenario 1"}</definedName>
    <definedName name="__tet5" localSheetId="26" hidden="1">{"assumptions",#N/A,FALSE,"Scenario 1";"valuation",#N/A,FALSE,"Scenario 1"}</definedName>
    <definedName name="__tet5" localSheetId="27" hidden="1">{"assumptions",#N/A,FALSE,"Scenario 1";"valuation",#N/A,FALSE,"Scenario 1"}</definedName>
    <definedName name="__tet5" hidden="1">{"assumptions",#N/A,FALSE,"Scenario 1";"valuation",#N/A,FALSE,"Scenario 1"}</definedName>
    <definedName name="_123Graph_B.1" localSheetId="1" hidden="1">#REF!</definedName>
    <definedName name="_123Graph_B.1" localSheetId="10" hidden="1">#REF!</definedName>
    <definedName name="_123Graph_B.1" localSheetId="26" hidden="1">#REF!</definedName>
    <definedName name="_123Graph_B.1" hidden="1">#REF!</definedName>
    <definedName name="_cp_text_1_402" localSheetId="2">'Appendix A'!#REF!</definedName>
    <definedName name="_CPK1" localSheetId="1">#REF!</definedName>
    <definedName name="_CPK1" localSheetId="8">#REF!</definedName>
    <definedName name="_CPK1" localSheetId="10">#REF!</definedName>
    <definedName name="_CPK1" localSheetId="19">#REF!</definedName>
    <definedName name="_CPK1" localSheetId="23">#REF!</definedName>
    <definedName name="_CPK1">#REF!</definedName>
    <definedName name="_CPK2" localSheetId="1">#REF!</definedName>
    <definedName name="_CPK2" localSheetId="8">#REF!</definedName>
    <definedName name="_CPK2" localSheetId="10">#REF!</definedName>
    <definedName name="_CPK2" localSheetId="19">#REF!</definedName>
    <definedName name="_CPK2" localSheetId="23">#REF!</definedName>
    <definedName name="_CPK2">#REF!</definedName>
    <definedName name="_CPK3" localSheetId="1">#REF!</definedName>
    <definedName name="_CPK3" localSheetId="8">#REF!</definedName>
    <definedName name="_CPK3" localSheetId="10">#REF!</definedName>
    <definedName name="_CPK3" localSheetId="19">#REF!</definedName>
    <definedName name="_CPK3" localSheetId="23">#REF!</definedName>
    <definedName name="_CPK3">#REF!</definedName>
    <definedName name="_Dist_Bin" localSheetId="1" hidden="1">#REF!</definedName>
    <definedName name="_Dist_Bin" localSheetId="10" hidden="1">#REF!</definedName>
    <definedName name="_Dist_Bin" localSheetId="26" hidden="1">#REF!</definedName>
    <definedName name="_Dist_Bin" localSheetId="27" hidden="1">#REF!</definedName>
    <definedName name="_Dist_Bin" hidden="1">#REF!</definedName>
    <definedName name="_Dist_Values" localSheetId="1" hidden="1">#REF!</definedName>
    <definedName name="_Dist_Values" localSheetId="10" hidden="1">#REF!</definedName>
    <definedName name="_Dist_Values" localSheetId="26" hidden="1">#REF!</definedName>
    <definedName name="_Dist_Values" localSheetId="27" hidden="1">#REF!</definedName>
    <definedName name="_Dist_Values" hidden="1">#REF!</definedName>
    <definedName name="_EGR1">#N/A</definedName>
    <definedName name="_EGR2">#N/A</definedName>
    <definedName name="_EGR3">#N/A</definedName>
    <definedName name="_Fill" localSheetId="1" hidden="1">#REF!</definedName>
    <definedName name="_Fill" localSheetId="8" hidden="1">#REF!</definedName>
    <definedName name="_Fill" localSheetId="10" hidden="1">#REF!</definedName>
    <definedName name="_Fill" localSheetId="19" hidden="1">#REF!</definedName>
    <definedName name="_Fill" localSheetId="23" hidden="1">#REF!</definedName>
    <definedName name="_Fill" localSheetId="26" hidden="1">#REF!</definedName>
    <definedName name="_Fill" localSheetId="27" hidden="1">#REF!</definedName>
    <definedName name="_Fill" hidden="1">#REF!</definedName>
    <definedName name="_Fill.1" localSheetId="1" hidden="1">#REF!</definedName>
    <definedName name="_Fill.1" localSheetId="8" hidden="1">#REF!</definedName>
    <definedName name="_Fill.1" localSheetId="10" hidden="1">#REF!</definedName>
    <definedName name="_Fill.1" localSheetId="26" hidden="1">#REF!</definedName>
    <definedName name="_Fill.1" hidden="1">#REF!</definedName>
    <definedName name="_ftn1" localSheetId="4">'WP01 True-Up'!#REF!</definedName>
    <definedName name="_ftn1" localSheetId="10">'WP05 CapAds'!#REF!</definedName>
    <definedName name="_ftn2" localSheetId="4">'WP01 True-Up'!#REF!</definedName>
    <definedName name="_ftn2" localSheetId="10">'WP05 CapAds'!#REF!</definedName>
    <definedName name="_ftnref1" localSheetId="4">'WP01 True-Up'!#REF!</definedName>
    <definedName name="_ftnref1" localSheetId="10">'WP05 CapAds'!#REF!</definedName>
    <definedName name="_ftnref2" localSheetId="4">'WP01 True-Up'!#REF!</definedName>
    <definedName name="_ftnref2" localSheetId="10">'WP05 CapAds'!#REF!</definedName>
    <definedName name="_Key.1" localSheetId="1" hidden="1">#REF!</definedName>
    <definedName name="_Key.1" localSheetId="8" hidden="1">#REF!</definedName>
    <definedName name="_Key.1" localSheetId="10" hidden="1">#REF!</definedName>
    <definedName name="_Key.1" localSheetId="26" hidden="1">#REF!</definedName>
    <definedName name="_Key.1" hidden="1">#REF!</definedName>
    <definedName name="_Key1" localSheetId="1" hidden="1">#REF!</definedName>
    <definedName name="_Key1" localSheetId="4" hidden="1">#REF!</definedName>
    <definedName name="_Key1" localSheetId="10" hidden="1">#REF!</definedName>
    <definedName name="_Key1" localSheetId="19" hidden="1">#REF!</definedName>
    <definedName name="_Key1" localSheetId="23" hidden="1">#REF!</definedName>
    <definedName name="_Key1" localSheetId="26" hidden="1">#REF!</definedName>
    <definedName name="_Key1" localSheetId="27" hidden="1">#REF!</definedName>
    <definedName name="_Key1" hidden="1">#REF!</definedName>
    <definedName name="_MatInverse_In" localSheetId="1" hidden="1">#REF!</definedName>
    <definedName name="_MatInverse_In" localSheetId="10" hidden="1">#REF!</definedName>
    <definedName name="_MatInverse_In" localSheetId="26" hidden="1">#REF!</definedName>
    <definedName name="_MatInverse_In" localSheetId="27" hidden="1">#REF!</definedName>
    <definedName name="_MatInverse_In" hidden="1">#REF!</definedName>
    <definedName name="_MatInverse_Out" localSheetId="1" hidden="1">#REF!</definedName>
    <definedName name="_MatInverse_Out" localSheetId="10" hidden="1">#REF!</definedName>
    <definedName name="_MatInverse_Out" localSheetId="26" hidden="1">#REF!</definedName>
    <definedName name="_MatInverse_Out" localSheetId="27" hidden="1">#REF!</definedName>
    <definedName name="_MatInverse_Out" hidden="1">#REF!</definedName>
    <definedName name="_MatMult_A" localSheetId="1" hidden="1">#REF!</definedName>
    <definedName name="_MatMult_A" localSheetId="10" hidden="1">#REF!</definedName>
    <definedName name="_MatMult_A" localSheetId="26" hidden="1">#REF!</definedName>
    <definedName name="_MatMult_A" localSheetId="27" hidden="1">#REF!</definedName>
    <definedName name="_MatMult_A" hidden="1">#REF!</definedName>
    <definedName name="_MatMult_AxB" localSheetId="1" hidden="1">#REF!</definedName>
    <definedName name="_MatMult_AxB" localSheetId="10" hidden="1">#REF!</definedName>
    <definedName name="_MatMult_AxB" localSheetId="26" hidden="1">#REF!</definedName>
    <definedName name="_MatMult_AxB" localSheetId="27" hidden="1">#REF!</definedName>
    <definedName name="_MatMult_AxB" hidden="1">#REF!</definedName>
    <definedName name="_MatMult_B" localSheetId="1" hidden="1">#REF!</definedName>
    <definedName name="_MatMult_B" localSheetId="10" hidden="1">#REF!</definedName>
    <definedName name="_MatMult_B" localSheetId="26" hidden="1">#REF!</definedName>
    <definedName name="_MatMult_B" localSheetId="27" hidden="1">#REF!</definedName>
    <definedName name="_MatMult_B" hidden="1">#REF!</definedName>
    <definedName name="_Order.1" hidden="1">255</definedName>
    <definedName name="_Order1" localSheetId="4" hidden="1">255</definedName>
    <definedName name="_Order1" localSheetId="10" hidden="1">255</definedName>
    <definedName name="_Order1" localSheetId="27" hidden="1">255</definedName>
    <definedName name="_Order1" hidden="1">0</definedName>
    <definedName name="_Order2" hidden="1">255</definedName>
    <definedName name="_Parse_In" localSheetId="1" hidden="1">#REF!</definedName>
    <definedName name="_Parse_In" localSheetId="10" hidden="1">#REF!</definedName>
    <definedName name="_Parse_In" localSheetId="26" hidden="1">#REF!</definedName>
    <definedName name="_Parse_In" localSheetId="27" hidden="1">#REF!</definedName>
    <definedName name="_Parse_In" hidden="1">#REF!</definedName>
    <definedName name="_Parse_Out" localSheetId="1" hidden="1">#REF!</definedName>
    <definedName name="_Parse_Out" localSheetId="10" hidden="1">#REF!</definedName>
    <definedName name="_Parse_Out" localSheetId="26" hidden="1">#REF!</definedName>
    <definedName name="_Parse_Out" localSheetId="27" hidden="1">#REF!</definedName>
    <definedName name="_Parse_Out" hidden="1">#REF!</definedName>
    <definedName name="_Regression_Out" localSheetId="1" hidden="1">#REF!</definedName>
    <definedName name="_Regression_Out" localSheetId="10" hidden="1">#REF!</definedName>
    <definedName name="_Regression_Out" localSheetId="26" hidden="1">#REF!</definedName>
    <definedName name="_Regression_Out" localSheetId="27" hidden="1">#REF!</definedName>
    <definedName name="_Regression_Out" hidden="1">#REF!</definedName>
    <definedName name="_Regression_X" localSheetId="1" hidden="1">#REF!</definedName>
    <definedName name="_Regression_X" localSheetId="10" hidden="1">#REF!</definedName>
    <definedName name="_Regression_X" localSheetId="26" hidden="1">#REF!</definedName>
    <definedName name="_Regression_X" localSheetId="27" hidden="1">#REF!</definedName>
    <definedName name="_Regression_X" hidden="1">#REF!</definedName>
    <definedName name="_Regression_Y" localSheetId="1" hidden="1">#REF!</definedName>
    <definedName name="_Regression_Y" localSheetId="10" hidden="1">#REF!</definedName>
    <definedName name="_Regression_Y" localSheetId="26" hidden="1">#REF!</definedName>
    <definedName name="_Regression_Y" localSheetId="27" hidden="1">#REF!</definedName>
    <definedName name="_Regression_Y" hidden="1">#REF!</definedName>
    <definedName name="_Sort" localSheetId="1" hidden="1">#REF!</definedName>
    <definedName name="_Sort" localSheetId="4" hidden="1">#REF!</definedName>
    <definedName name="_Sort" localSheetId="10" hidden="1">#REF!</definedName>
    <definedName name="_Sort" localSheetId="19" hidden="1">#REF!</definedName>
    <definedName name="_Sort" localSheetId="23" hidden="1">#REF!</definedName>
    <definedName name="_Sort" localSheetId="26" hidden="1">#REF!</definedName>
    <definedName name="_Sort" localSheetId="27" hidden="1">#REF!</definedName>
    <definedName name="_Sort" hidden="1">#REF!</definedName>
    <definedName name="_Sort.1" localSheetId="1" hidden="1">#REF!</definedName>
    <definedName name="_Sort.1" localSheetId="10" hidden="1">#REF!</definedName>
    <definedName name="_Sort.1" localSheetId="26" hidden="1">#REF!</definedName>
    <definedName name="_Sort.1" hidden="1">#REF!</definedName>
    <definedName name="_Table1_Out" localSheetId="1" hidden="1">#REF!</definedName>
    <definedName name="_Table1_Out" localSheetId="10" hidden="1">#REF!</definedName>
    <definedName name="_Table1_Out" localSheetId="26" hidden="1">#REF!</definedName>
    <definedName name="_Table1_Out" localSheetId="27" hidden="1">#REF!</definedName>
    <definedName name="_Table1_Out" hidden="1">#REF!</definedName>
    <definedName name="_tet12" localSheetId="1" hidden="1">{"assumptions",#N/A,FALSE,"Scenario 1";"valuation",#N/A,FALSE,"Scenario 1"}</definedName>
    <definedName name="_tet12" localSheetId="8" hidden="1">{"assumptions",#N/A,FALSE,"Scenario 1";"valuation",#N/A,FALSE,"Scenario 1"}</definedName>
    <definedName name="_tet12" localSheetId="15" hidden="1">{"assumptions",#N/A,FALSE,"Scenario 1";"valuation",#N/A,FALSE,"Scenario 1"}</definedName>
    <definedName name="_tet12" localSheetId="26" hidden="1">{"assumptions",#N/A,FALSE,"Scenario 1";"valuation",#N/A,FALSE,"Scenario 1"}</definedName>
    <definedName name="_tet12" localSheetId="27" hidden="1">{"assumptions",#N/A,FALSE,"Scenario 1";"valuation",#N/A,FALSE,"Scenario 1"}</definedName>
    <definedName name="_tet12" hidden="1">{"assumptions",#N/A,FALSE,"Scenario 1";"valuation",#N/A,FALSE,"Scenario 1"}</definedName>
    <definedName name="_tet5" localSheetId="1" hidden="1">{"assumptions",#N/A,FALSE,"Scenario 1";"valuation",#N/A,FALSE,"Scenario 1"}</definedName>
    <definedName name="_tet5" localSheetId="8" hidden="1">{"assumptions",#N/A,FALSE,"Scenario 1";"valuation",#N/A,FALSE,"Scenario 1"}</definedName>
    <definedName name="_tet5" localSheetId="15" hidden="1">{"assumptions",#N/A,FALSE,"Scenario 1";"valuation",#N/A,FALSE,"Scenario 1"}</definedName>
    <definedName name="_tet5" localSheetId="26" hidden="1">{"assumptions",#N/A,FALSE,"Scenario 1";"valuation",#N/A,FALSE,"Scenario 1"}</definedName>
    <definedName name="_tet5" localSheetId="27" hidden="1">{"assumptions",#N/A,FALSE,"Scenario 1";"valuation",#N/A,FALSE,"Scenario 1"}</definedName>
    <definedName name="_tet5" hidden="1">{"assumptions",#N/A,FALSE,"Scenario 1";"valuation",#N/A,FALSE,"Scenario 1"}</definedName>
    <definedName name="A" localSheetId="1">#REF!</definedName>
    <definedName name="A" localSheetId="8">#REF!</definedName>
    <definedName name="A" localSheetId="10">#REF!</definedName>
    <definedName name="A" localSheetId="19">#REF!</definedName>
    <definedName name="A" localSheetId="23">#REF!</definedName>
    <definedName name="a" localSheetId="27" hidden="1">{"LBO Summary",#N/A,FALSE,"Summary"}</definedName>
    <definedName name="A">#REF!</definedName>
    <definedName name="a.1" localSheetId="1" hidden="1">{"LBO Summary",#N/A,FALSE,"Summary"}</definedName>
    <definedName name="a.1" localSheetId="8" hidden="1">{"LBO Summary",#N/A,FALSE,"Summary"}</definedName>
    <definedName name="a.1" localSheetId="15" hidden="1">{"LBO Summary",#N/A,FALSE,"Summary"}</definedName>
    <definedName name="a.1" localSheetId="26" hidden="1">{"LBO Summary",#N/A,FALSE,"Summary"}</definedName>
    <definedName name="a.1" hidden="1">{"LBO Summary",#N/A,FALSE,"Summary"}</definedName>
    <definedName name="above">OFFSET(!A1,-1,0)</definedName>
    <definedName name="ACCTTextLen" localSheetId="1">#REF!</definedName>
    <definedName name="ACCTTextLen" localSheetId="8">#REF!</definedName>
    <definedName name="ACCTTextLen" localSheetId="10">#REF!</definedName>
    <definedName name="ACCTTextLen" localSheetId="19">#REF!</definedName>
    <definedName name="ACCTTextLen" localSheetId="23">#REF!</definedName>
    <definedName name="ACCTTextLen">#REF!</definedName>
    <definedName name="ACTTextLen" localSheetId="1">#REF!</definedName>
    <definedName name="ACTTextLen" localSheetId="8">#REF!</definedName>
    <definedName name="ACTTextLen" localSheetId="10">#REF!</definedName>
    <definedName name="ACTTextLen" localSheetId="19">#REF!</definedName>
    <definedName name="ACTTextLen">#REF!</definedName>
    <definedName name="ADIT_TST" localSheetId="1">'[4]A.2 PTP'!$P$55</definedName>
    <definedName name="ADIT_TST" localSheetId="8">'[4]A.2 PTP'!$P$55</definedName>
    <definedName name="ADIT_TST" localSheetId="27">'[4]A.2 PTP'!$P$55</definedName>
    <definedName name="ADIT_TST">'[4]A.2 PTP'!$P$55</definedName>
    <definedName name="ADTL" localSheetId="1">'[4]C. Input'!$F$144</definedName>
    <definedName name="ADTL" localSheetId="8">'[4]C. Input'!$F$144</definedName>
    <definedName name="ADTL" localSheetId="27">'[4]C. Input'!$F$144</definedName>
    <definedName name="ADTL">'[4]C. Input'!$F$144</definedName>
    <definedName name="AG_TST" localSheetId="1">'[4]A.2 PTP'!$P$111</definedName>
    <definedName name="AG_TST" localSheetId="8">'[4]A.2 PTP'!$P$111</definedName>
    <definedName name="AG_TST" localSheetId="27">'[4]A.2 PTP'!$P$111</definedName>
    <definedName name="AG_TST">'[4]A.2 PTP'!$P$111</definedName>
    <definedName name="AGXP" localSheetId="1">'[4]C. Input'!$F$201</definedName>
    <definedName name="AGXP" localSheetId="8">'[4]C. Input'!$F$201</definedName>
    <definedName name="AGXP" localSheetId="27">'[4]C. Input'!$F$201</definedName>
    <definedName name="AGXP">'[4]C. Input'!$F$201</definedName>
    <definedName name="Allocator.gross.plant" localSheetId="1">'[5]Appendix A'!$H$30</definedName>
    <definedName name="Allocator.gross.plant">'[5]Appendix A'!$H$30</definedName>
    <definedName name="Allocator.net.plant" localSheetId="1">'[5]Appendix A'!$H$33</definedName>
    <definedName name="Allocator.net.plant">'[5]Appendix A'!$H$33</definedName>
    <definedName name="Allocator.wages.salary" localSheetId="1">'[5]Appendix A'!$H$18</definedName>
    <definedName name="Allocator.wages.salary">'[5]Appendix A'!$H$18</definedName>
    <definedName name="ALOC" localSheetId="1">#REF!</definedName>
    <definedName name="ALOC" localSheetId="8">#REF!</definedName>
    <definedName name="ALOC" localSheetId="10">#REF!</definedName>
    <definedName name="ALOC" localSheetId="19">#REF!</definedName>
    <definedName name="ALOC">#REF!</definedName>
    <definedName name="ALOC_2" localSheetId="1">#REF!</definedName>
    <definedName name="ALOC_2" localSheetId="8">#REF!</definedName>
    <definedName name="ALOC_2" localSheetId="10">#REF!</definedName>
    <definedName name="ALOC_2" localSheetId="19">#REF!</definedName>
    <definedName name="ALOC_2">#REF!</definedName>
    <definedName name="Amort_04" localSheetId="1">'[4]D.16.1.2 Table B 2004'!$A$24:$U$35</definedName>
    <definedName name="Amort_04" localSheetId="8">'[4]D.16.1.2 Table B 2004'!$A$24:$U$35</definedName>
    <definedName name="Amort_04" localSheetId="27">'[4]D.16.1.2 Table B 2004'!$A$24:$U$35</definedName>
    <definedName name="Amort_04">'[4]D.16.1.2 Table B 2004'!$A$24:$U$35</definedName>
    <definedName name="Amort_05" localSheetId="1">'[4]D.16.1.3 Table B 2005'!$A$24:$U$36</definedName>
    <definedName name="Amort_05" localSheetId="8">'[4]D.16.1.3 Table B 2005'!$A$24:$U$36</definedName>
    <definedName name="Amort_05" localSheetId="27">'[4]D.16.1.3 Table B 2005'!$A$24:$U$36</definedName>
    <definedName name="Amort_05">'[4]D.16.1.3 Table B 2005'!$A$24:$U$36</definedName>
    <definedName name="Amort_06" localSheetId="1">'[4]D.16.1.4 Table B 2006'!$A$24:$U$37</definedName>
    <definedName name="Amort_06" localSheetId="8">'[4]D.16.1.4 Table B 2006'!$A$24:$U$37</definedName>
    <definedName name="Amort_06" localSheetId="27">'[4]D.16.1.4 Table B 2006'!$A$24:$U$37</definedName>
    <definedName name="Amort_06">'[4]D.16.1.4 Table B 2006'!$A$24:$U$37</definedName>
    <definedName name="Amort_07" localSheetId="1">'[4]D.16.1.5 Table B 2007'!$A$24:$U$38</definedName>
    <definedName name="Amort_07" localSheetId="8">'[4]D.16.1.5 Table B 2007'!$A$24:$U$38</definedName>
    <definedName name="Amort_07" localSheetId="27">'[4]D.16.1.5 Table B 2007'!$A$24:$U$38</definedName>
    <definedName name="Amort_07">'[4]D.16.1.5 Table B 2007'!$A$24:$U$38</definedName>
    <definedName name="Amort_08" localSheetId="1">'[4]D.16.1.6 Table B 2008'!$A$24:$U$39</definedName>
    <definedName name="Amort_08" localSheetId="8">'[4]D.16.1.6 Table B 2008'!$A$24:$U$39</definedName>
    <definedName name="Amort_08" localSheetId="27">'[4]D.16.1.6 Table B 2008'!$A$24:$U$39</definedName>
    <definedName name="Amort_08">'[4]D.16.1.6 Table B 2008'!$A$24:$U$39</definedName>
    <definedName name="Amort_09" localSheetId="1">'[4]D.16.1.7 Table B 2009'!$A$24:$U$39</definedName>
    <definedName name="Amort_09" localSheetId="8">'[4]D.16.1.7 Table B 2009'!$A$24:$U$39</definedName>
    <definedName name="Amort_09" localSheetId="27">'[4]D.16.1.7 Table B 2009'!$A$24:$U$39</definedName>
    <definedName name="Amort_09">'[4]D.16.1.7 Table B 2009'!$A$24:$U$39</definedName>
    <definedName name="Amort_10" localSheetId="1">'[4]D.16.1.8 Table B 2010'!$A$24:$U$39</definedName>
    <definedName name="Amort_10" localSheetId="8">'[4]D.16.1.8 Table B 2010'!$A$24:$U$39</definedName>
    <definedName name="Amort_10" localSheetId="27">'[4]D.16.1.8 Table B 2010'!$A$24:$U$39</definedName>
    <definedName name="Amort_10">'[4]D.16.1.8 Table B 2010'!$A$24:$U$39</definedName>
    <definedName name="Amort_11" localSheetId="1">'[4]D.16.1.9 Table B 2011'!$A$24:$U$39</definedName>
    <definedName name="Amort_11" localSheetId="8">'[4]D.16.1.9 Table B 2011'!$A$24:$U$39</definedName>
    <definedName name="Amort_11" localSheetId="27">'[4]D.16.1.9 Table B 2011'!$A$24:$U$39</definedName>
    <definedName name="Amort_11">'[4]D.16.1.9 Table B 2011'!$A$24:$U$39</definedName>
    <definedName name="Amort_12" localSheetId="1">'[4]D.16.1.10 Table B 2012'!$A$24:$U$39</definedName>
    <definedName name="Amort_12" localSheetId="8">'[4]D.16.1.10 Table B 2012'!$A$24:$U$39</definedName>
    <definedName name="Amort_12" localSheetId="27">'[4]D.16.1.10 Table B 2012'!$A$24:$U$39</definedName>
    <definedName name="Amort_12">'[4]D.16.1.10 Table B 2012'!$A$24:$U$39</definedName>
    <definedName name="AMOUNT" localSheetId="1">#REF!</definedName>
    <definedName name="AMOUNT" localSheetId="8">#REF!</definedName>
    <definedName name="AMOUNT" localSheetId="10">#REF!</definedName>
    <definedName name="AMOUNT" localSheetId="19">#REF!</definedName>
    <definedName name="AMOUNT">#REF!</definedName>
    <definedName name="APR">#N/A</definedName>
    <definedName name="ARB_04" localSheetId="1">'[4]D.16.1.2 Table B 2004'!$A$39:$U$50</definedName>
    <definedName name="ARB_04" localSheetId="8">'[4]D.16.1.2 Table B 2004'!$A$39:$U$50</definedName>
    <definedName name="ARB_04" localSheetId="27">'[4]D.16.1.2 Table B 2004'!$A$39:$U$50</definedName>
    <definedName name="ARB_04">'[4]D.16.1.2 Table B 2004'!$A$39:$U$50</definedName>
    <definedName name="ARB_05" localSheetId="1">'[4]D.16.1.3 Table B 2005'!$A$40:$U$52</definedName>
    <definedName name="ARB_05" localSheetId="8">'[4]D.16.1.3 Table B 2005'!$A$40:$U$52</definedName>
    <definedName name="ARB_05" localSheetId="27">'[4]D.16.1.3 Table B 2005'!$A$40:$U$52</definedName>
    <definedName name="ARB_05">'[4]D.16.1.3 Table B 2005'!$A$40:$U$52</definedName>
    <definedName name="ARB_06" localSheetId="1">'[4]D.16.1.4 Table B 2006'!$A$41:$U$54</definedName>
    <definedName name="ARB_06" localSheetId="8">'[4]D.16.1.4 Table B 2006'!$A$41:$U$54</definedName>
    <definedName name="ARB_06" localSheetId="27">'[4]D.16.1.4 Table B 2006'!$A$41:$U$54</definedName>
    <definedName name="ARB_06">'[4]D.16.1.4 Table B 2006'!$A$41:$U$54</definedName>
    <definedName name="ARB_07" localSheetId="1">'[4]D.16.1.5 Table B 2007'!$A$42:$U$56</definedName>
    <definedName name="ARB_07" localSheetId="8">'[4]D.16.1.5 Table B 2007'!$A$42:$U$56</definedName>
    <definedName name="ARB_07" localSheetId="27">'[4]D.16.1.5 Table B 2007'!$A$42:$U$56</definedName>
    <definedName name="ARB_07">'[4]D.16.1.5 Table B 2007'!$A$42:$U$56</definedName>
    <definedName name="ARB_08" localSheetId="1">'[4]D.16.1.6 Table B 2008'!$A$43:$U$58</definedName>
    <definedName name="ARB_08" localSheetId="8">'[4]D.16.1.6 Table B 2008'!$A$43:$U$58</definedName>
    <definedName name="ARB_08" localSheetId="27">'[4]D.16.1.6 Table B 2008'!$A$43:$U$58</definedName>
    <definedName name="ARB_08">'[4]D.16.1.6 Table B 2008'!$A$43:$U$58</definedName>
    <definedName name="ARB_09" localSheetId="1">'[4]D.16.1.7 Table B 2009'!$A$43:$U$58</definedName>
    <definedName name="ARB_09" localSheetId="8">'[4]D.16.1.7 Table B 2009'!$A$43:$U$58</definedName>
    <definedName name="ARB_09" localSheetId="27">'[4]D.16.1.7 Table B 2009'!$A$43:$U$58</definedName>
    <definedName name="ARB_09">'[4]D.16.1.7 Table B 2009'!$A$43:$U$58</definedName>
    <definedName name="ARB_10" localSheetId="1">'[4]D.16.1.8 Table B 2010'!$A$43:$U$58</definedName>
    <definedName name="ARB_10" localSheetId="8">'[4]D.16.1.8 Table B 2010'!$A$43:$U$58</definedName>
    <definedName name="ARB_10" localSheetId="27">'[4]D.16.1.8 Table B 2010'!$A$43:$U$58</definedName>
    <definedName name="ARB_10">'[4]D.16.1.8 Table B 2010'!$A$43:$U$58</definedName>
    <definedName name="ARB_11" localSheetId="1">'[4]D.16.1.9 Table B 2011'!$A$43:$U$58</definedName>
    <definedName name="ARB_11" localSheetId="8">'[4]D.16.1.9 Table B 2011'!$A$43:$U$58</definedName>
    <definedName name="ARB_11" localSheetId="27">'[4]D.16.1.9 Table B 2011'!$A$43:$U$58</definedName>
    <definedName name="ARB_11">'[4]D.16.1.9 Table B 2011'!$A$43:$U$58</definedName>
    <definedName name="AREA">#N/A</definedName>
    <definedName name="AS2DocOpenMode" hidden="1">"AS2DocumentEdit"</definedName>
    <definedName name="ASD_LEXTERNAL" localSheetId="1">#REF!</definedName>
    <definedName name="ASD_LEXTERNAL" localSheetId="10">#REF!</definedName>
    <definedName name="ASD_LEXTERNAL">#REF!</definedName>
    <definedName name="AUG">#N/A</definedName>
    <definedName name="AVG">#N/A</definedName>
    <definedName name="B" localSheetId="1">#REF!</definedName>
    <definedName name="B" localSheetId="8">#REF!</definedName>
    <definedName name="B" localSheetId="10">#REF!</definedName>
    <definedName name="B" localSheetId="19">#REF!</definedName>
    <definedName name="B" localSheetId="23">#REF!</definedName>
    <definedName name="B">#REF!</definedName>
    <definedName name="BadErrMsg" localSheetId="1">#REF!</definedName>
    <definedName name="BadErrMsg" localSheetId="8">#REF!</definedName>
    <definedName name="BadErrMsg" localSheetId="10">#REF!</definedName>
    <definedName name="BadErrMsg" localSheetId="19">#REF!</definedName>
    <definedName name="BadErrMsg" localSheetId="23">#REF!</definedName>
    <definedName name="BadErrMsg">#REF!</definedName>
    <definedName name="BalanceSheet" localSheetId="1">#REF!</definedName>
    <definedName name="BalanceSheet" localSheetId="8">#REF!</definedName>
    <definedName name="BalanceSheet" localSheetId="10">#REF!</definedName>
    <definedName name="BalanceSheet" localSheetId="19">#REF!</definedName>
    <definedName name="BalanceSheet" localSheetId="23">#REF!</definedName>
    <definedName name="BalanceSheet">#REF!</definedName>
    <definedName name="below">OFFSET(!A1,1,0)</definedName>
    <definedName name="Bio_Flora" localSheetId="1">#REF!</definedName>
    <definedName name="Bio_Flora" localSheetId="10">#REF!</definedName>
    <definedName name="Bio_Flora" localSheetId="19">#REF!</definedName>
    <definedName name="Bio_Flora">#REF!</definedName>
    <definedName name="BLANK_ACCOUNT" localSheetId="1">#REF!</definedName>
    <definedName name="BLANK_ACCOUNT" localSheetId="10">#REF!</definedName>
    <definedName name="BLANK_ACCOUNT" localSheetId="27">#REF!</definedName>
    <definedName name="BLANK_ACCOUNT">#REF!</definedName>
    <definedName name="C_" localSheetId="8">'[6]RR 8 2'!#REF!</definedName>
    <definedName name="C_" localSheetId="10">'[6]RR 8 2'!#REF!</definedName>
    <definedName name="C_">'[6]RR 8 2'!#REF!</definedName>
    <definedName name="CALC_C03" localSheetId="1">#REF!</definedName>
    <definedName name="CALC_C03" localSheetId="8">#REF!</definedName>
    <definedName name="CALC_C03" localSheetId="10">#REF!</definedName>
    <definedName name="CALC_C03" localSheetId="19">#REF!</definedName>
    <definedName name="CALC_C03" localSheetId="23">#REF!</definedName>
    <definedName name="CALC_C03">#REF!</definedName>
    <definedName name="CALC_C04" localSheetId="1">#REF!</definedName>
    <definedName name="CALC_C04" localSheetId="8">#REF!</definedName>
    <definedName name="CALC_C04" localSheetId="10">#REF!</definedName>
    <definedName name="CALC_C04" localSheetId="19">#REF!</definedName>
    <definedName name="CALC_C04" localSheetId="23">#REF!</definedName>
    <definedName name="CALC_C04">#REF!</definedName>
    <definedName name="CALC_C09" localSheetId="1">#REF!</definedName>
    <definedName name="CALC_C09" localSheetId="8">#REF!</definedName>
    <definedName name="CALC_C09" localSheetId="10">#REF!</definedName>
    <definedName name="CALC_C09" localSheetId="19">#REF!</definedName>
    <definedName name="CALC_C09" localSheetId="23">#REF!</definedName>
    <definedName name="CALC_C09">#REF!</definedName>
    <definedName name="CALC_LRG" localSheetId="1">#REF!</definedName>
    <definedName name="CALC_LRG" localSheetId="10">#REF!</definedName>
    <definedName name="CALC_LRG" localSheetId="19">#REF!</definedName>
    <definedName name="CALC_LRG">#REF!</definedName>
    <definedName name="CALC_XLG" localSheetId="1">#REF!</definedName>
    <definedName name="CALC_XLG" localSheetId="10">#REF!</definedName>
    <definedName name="CALC_XLG" localSheetId="19">#REF!</definedName>
    <definedName name="CALC_XLG">#REF!</definedName>
    <definedName name="CASCADE" localSheetId="1">#REF!</definedName>
    <definedName name="CASCADE" localSheetId="10">#REF!</definedName>
    <definedName name="CASCADE" localSheetId="27">#REF!</definedName>
    <definedName name="CASCADE">#REF!</definedName>
    <definedName name="CC_TST" localSheetId="1">'[4]A.2 PTP'!$P$33</definedName>
    <definedName name="CC_TST" localSheetId="8">'[4]A.2 PTP'!$P$33</definedName>
    <definedName name="CC_TST" localSheetId="27">'[4]A.2 PTP'!$P$33</definedName>
    <definedName name="CC_TST">'[4]A.2 PTP'!$P$33</definedName>
    <definedName name="CE" localSheetId="1">'MISO Cover'!$K$206</definedName>
    <definedName name="CE" localSheetId="8">'[4]C. Input'!$F$37</definedName>
    <definedName name="CE" localSheetId="27">'[4]C. Input'!$F$37</definedName>
    <definedName name="CE">'[4]C. Input'!$F$37</definedName>
    <definedName name="CE_EAI" localSheetId="1">'[4]C. Input'!$I$37</definedName>
    <definedName name="CE_EAI" localSheetId="8">'[4]C. Input'!$I$37</definedName>
    <definedName name="CE_EAI" localSheetId="27">'[4]C. Input'!$I$37</definedName>
    <definedName name="CE_EAI">'[4]C. Input'!$I$37</definedName>
    <definedName name="CE_EGSI" localSheetId="1">'[4]C. Input'!$L$37</definedName>
    <definedName name="CE_EGSI" localSheetId="8">'[4]C. Input'!$L$37</definedName>
    <definedName name="CE_EGSI" localSheetId="27">'[4]C. Input'!$L$37</definedName>
    <definedName name="CE_EGSI">'[4]C. Input'!$L$37</definedName>
    <definedName name="CE_ELI" localSheetId="1">'[4]C. Input'!$O$37</definedName>
    <definedName name="CE_ELI" localSheetId="8">'[4]C. Input'!$O$37</definedName>
    <definedName name="CE_ELI" localSheetId="27">'[4]C. Input'!$O$37</definedName>
    <definedName name="CE_ELI">'[4]C. Input'!$O$37</definedName>
    <definedName name="CE_EMI" localSheetId="1">'[4]C. Input'!$R$37</definedName>
    <definedName name="CE_EMI" localSheetId="8">'[4]C. Input'!$R$37</definedName>
    <definedName name="CE_EMI" localSheetId="27">'[4]C. Input'!$R$37</definedName>
    <definedName name="CE_EMI">'[4]C. Input'!$R$37</definedName>
    <definedName name="CE_ENOI" localSheetId="1">'[4]C. Input'!$X$37</definedName>
    <definedName name="CE_ENOI" localSheetId="8">'[4]C. Input'!$X$37</definedName>
    <definedName name="CE_ENOI" localSheetId="27">'[4]C. Input'!$X$37</definedName>
    <definedName name="CE_ENOI">'[4]C. Input'!$X$37</definedName>
    <definedName name="CELL">#N/A</definedName>
    <definedName name="cell.above">!A1048576</definedName>
    <definedName name="cell.below">!A2</definedName>
    <definedName name="cell.left">!XFD1</definedName>
    <definedName name="cell.right">!B1</definedName>
    <definedName name="CHECK_BAL" localSheetId="1">#REF!</definedName>
    <definedName name="CHECK_BAL" localSheetId="10">#REF!</definedName>
    <definedName name="CHECK_BAL" localSheetId="27">#REF!</definedName>
    <definedName name="CHECK_BAL">#REF!</definedName>
    <definedName name="CHECK_BLANK" localSheetId="1">#REF!</definedName>
    <definedName name="CHECK_BLANK" localSheetId="10">#REF!</definedName>
    <definedName name="CHECK_BLANK" localSheetId="27">#REF!</definedName>
    <definedName name="CHECK_BLANK">#REF!</definedName>
    <definedName name="CHECK_CELLS" localSheetId="1">#REF!</definedName>
    <definedName name="CHECK_CELLS" localSheetId="8">#REF!</definedName>
    <definedName name="CHECK_CELLS" localSheetId="10">#REF!</definedName>
    <definedName name="CHECK_CELLS" localSheetId="15">#REF!</definedName>
    <definedName name="CHECK_CELLS" localSheetId="27">#REF!</definedName>
    <definedName name="CHECK_CELLS">#REF!</definedName>
    <definedName name="CLASSES">#N/A</definedName>
    <definedName name="CompanyTextLen" localSheetId="1">#REF!</definedName>
    <definedName name="CompanyTextLen" localSheetId="8">#REF!</definedName>
    <definedName name="CompanyTextLen" localSheetId="10">#REF!</definedName>
    <definedName name="CompanyTextLen" localSheetId="19">#REF!</definedName>
    <definedName name="CompanyTextLen" localSheetId="23">#REF!</definedName>
    <definedName name="CompanyTextLen">#REF!</definedName>
    <definedName name="CP">#N/A</definedName>
    <definedName name="CP_1">#N/A</definedName>
    <definedName name="CP_PG1B" localSheetId="1">#REF!</definedName>
    <definedName name="CP_PG1B" localSheetId="8">#REF!</definedName>
    <definedName name="CP_PG1B" localSheetId="10">#REF!</definedName>
    <definedName name="CP_PG1B" localSheetId="19">#REF!</definedName>
    <definedName name="CP_PG1B" localSheetId="23">#REF!</definedName>
    <definedName name="CP_PG1B">#REF!</definedName>
    <definedName name="cp_pg2" localSheetId="1">#REF!</definedName>
    <definedName name="cp_pg2" localSheetId="8">#REF!</definedName>
    <definedName name="cp_pg2" localSheetId="10">#REF!</definedName>
    <definedName name="cp_pg2" localSheetId="19">#REF!</definedName>
    <definedName name="cp_pg2" localSheetId="23">#REF!</definedName>
    <definedName name="cp_pg2">#REF!</definedName>
    <definedName name="cp_pg2b" localSheetId="1">#REF!</definedName>
    <definedName name="cp_pg2b" localSheetId="8">#REF!</definedName>
    <definedName name="cp_pg2b" localSheetId="10">#REF!</definedName>
    <definedName name="cp_pg2b" localSheetId="19">#REF!</definedName>
    <definedName name="cp_pg2b" localSheetId="23">#REF!</definedName>
    <definedName name="cp_pg2b">#REF!</definedName>
    <definedName name="CP_PG3B" localSheetId="1">#REF!</definedName>
    <definedName name="CP_PG3B" localSheetId="10">#REF!</definedName>
    <definedName name="CP_PG3B" localSheetId="19">#REF!</definedName>
    <definedName name="CP_PG3B">#REF!</definedName>
    <definedName name="CPK1X" localSheetId="1">#REF!</definedName>
    <definedName name="CPK1X" localSheetId="10">#REF!</definedName>
    <definedName name="CPK1X" localSheetId="19">#REF!</definedName>
    <definedName name="CPK1X">#REF!</definedName>
    <definedName name="CPK2X" localSheetId="1">#REF!</definedName>
    <definedName name="CPK2X" localSheetId="10">#REF!</definedName>
    <definedName name="CPK2X" localSheetId="19">#REF!</definedName>
    <definedName name="CPK2X">#REF!</definedName>
    <definedName name="CPUC_Cashflow_Summary_Table" localSheetId="1">#REF!</definedName>
    <definedName name="CPUC_Cashflow_Summary_Table" localSheetId="10">#REF!</definedName>
    <definedName name="CPUC_Cashflow_Summary_Table" localSheetId="27">#REF!</definedName>
    <definedName name="CPUC_Cashflow_Summary_Table">#REF!</definedName>
    <definedName name="CR" localSheetId="1">'[4]C. Input'!$F$27</definedName>
    <definedName name="CR" localSheetId="8">'[4]C. Input'!$F$27</definedName>
    <definedName name="CR" localSheetId="27">'[4]C. Input'!$F$27</definedName>
    <definedName name="CR">'[4]C. Input'!$F$27</definedName>
    <definedName name="CREDITS" localSheetId="1">#REF!</definedName>
    <definedName name="CREDITS" localSheetId="8">#REF!</definedName>
    <definedName name="CREDITS" localSheetId="10">#REF!</definedName>
    <definedName name="CREDITS" localSheetId="19">#REF!</definedName>
    <definedName name="CREDITS">#REF!</definedName>
    <definedName name="CSTextLen" localSheetId="1">#REF!</definedName>
    <definedName name="CSTextLen" localSheetId="8">#REF!</definedName>
    <definedName name="CSTextLen" localSheetId="10">#REF!</definedName>
    <definedName name="CSTextLen" localSheetId="19">#REF!</definedName>
    <definedName name="CSTextLen">#REF!</definedName>
    <definedName name="CTY_ANNUAL" localSheetId="1">#REF!</definedName>
    <definedName name="CTY_ANNUAL" localSheetId="8">#REF!</definedName>
    <definedName name="CTY_ANNUAL" localSheetId="10">#REF!</definedName>
    <definedName name="CTY_ANNUAL" localSheetId="27">#REF!</definedName>
    <definedName name="CTY_ANNUAL">#REF!</definedName>
    <definedName name="cty_peak_sum" localSheetId="1">#REF!</definedName>
    <definedName name="cty_peak_sum" localSheetId="10">#REF!</definedName>
    <definedName name="cty_peak_sum" localSheetId="27">#REF!</definedName>
    <definedName name="cty_peak_sum">#REF!</definedName>
    <definedName name="CUST">#N/A</definedName>
    <definedName name="CUST1">#N/A</definedName>
    <definedName name="CUSTOM1" localSheetId="1">#REF!</definedName>
    <definedName name="CUSTOM1" localSheetId="8">#REF!</definedName>
    <definedName name="CUSTOM1" localSheetId="10">#REF!</definedName>
    <definedName name="CUSTOM1" localSheetId="19">#REF!</definedName>
    <definedName name="CUSTOM1" localSheetId="23">#REF!</definedName>
    <definedName name="CUSTOM1">#REF!</definedName>
    <definedName name="CUSTOM2" localSheetId="1">#REF!</definedName>
    <definedName name="CUSTOM2" localSheetId="8">#REF!</definedName>
    <definedName name="CUSTOM2" localSheetId="10">#REF!</definedName>
    <definedName name="CUSTOM2" localSheetId="19">#REF!</definedName>
    <definedName name="CUSTOM2" localSheetId="23">#REF!</definedName>
    <definedName name="CUSTOM2">#REF!</definedName>
    <definedName name="D" localSheetId="1">'[4]C. Input'!$F$33</definedName>
    <definedName name="D" localSheetId="8">'[4]C. Input'!$F$33</definedName>
    <definedName name="D" localSheetId="27">'[4]C. Input'!$F$33</definedName>
    <definedName name="D">'[4]C. Input'!$F$33</definedName>
    <definedName name="D_EAI" localSheetId="1">'[4]C. Input'!$I$33</definedName>
    <definedName name="D_EAI" localSheetId="8">'[4]C. Input'!$I$33</definedName>
    <definedName name="D_EAI" localSheetId="27">'[4]C. Input'!$I$33</definedName>
    <definedName name="D_EAI">'[4]C. Input'!$I$33</definedName>
    <definedName name="D_EGSI" localSheetId="1">'[4]C. Input'!$L$33</definedName>
    <definedName name="D_EGSI" localSheetId="8">'[4]C. Input'!$L$33</definedName>
    <definedName name="D_EGSI" localSheetId="27">'[4]C. Input'!$L$33</definedName>
    <definedName name="D_EGSI">'[4]C. Input'!$L$33</definedName>
    <definedName name="D_EMI" localSheetId="1">'[4]C. Input'!$R$33</definedName>
    <definedName name="D_EMI" localSheetId="8">'[4]C. Input'!$R$33</definedName>
    <definedName name="D_EMI" localSheetId="27">'[4]C. Input'!$R$33</definedName>
    <definedName name="D_EMI">'[4]C. Input'!$R$33</definedName>
    <definedName name="D_ENOI" localSheetId="1">'[4]C. Input'!$X$33</definedName>
    <definedName name="D_ENOI" localSheetId="8">'[4]C. Input'!$X$33</definedName>
    <definedName name="D_ENOI" localSheetId="27">'[4]C. Input'!$X$33</definedName>
    <definedName name="D_ENOI">'[4]C. Input'!$X$33</definedName>
    <definedName name="data_year" localSheetId="1">'[5]Appendix A'!$H$6</definedName>
    <definedName name="data_year">'[5]Appendix A'!$H$6</definedName>
    <definedName name="_xlnm.Database" localSheetId="1">#REF!</definedName>
    <definedName name="_xlnm.Database" localSheetId="8">#REF!</definedName>
    <definedName name="_xlnm.Database" localSheetId="10">#REF!</definedName>
    <definedName name="_xlnm.Database" localSheetId="27">#REF!</definedName>
    <definedName name="_xlnm.Database">#REF!</definedName>
    <definedName name="DATALINE" localSheetId="8">'[1]Header Data'!#REF!</definedName>
    <definedName name="DATALINE" localSheetId="10">'[1]Header Data'!#REF!</definedName>
    <definedName name="DATALINE" localSheetId="23">'[1]Header Data'!#REF!</definedName>
    <definedName name="DATALINE">'[1]Header Data'!#REF!</definedName>
    <definedName name="DB_CPK">#N/A</definedName>
    <definedName name="DB_CPK1" localSheetId="8">[7]FERCFACT!#REF!</definedName>
    <definedName name="DB_CPK1" localSheetId="10">[7]FERCFACT!#REF!</definedName>
    <definedName name="DB_CPK1" localSheetId="23">[7]FERCFACT!#REF!</definedName>
    <definedName name="DB_CPK1">[7]FERCFACT!#REF!</definedName>
    <definedName name="DB_CPK2" localSheetId="1">#REF!</definedName>
    <definedName name="DB_CPK2" localSheetId="8">#REF!</definedName>
    <definedName name="DB_CPK2" localSheetId="10">#REF!</definedName>
    <definedName name="DB_CPK2" localSheetId="19">#REF!</definedName>
    <definedName name="DB_CPK2" localSheetId="23">#REF!</definedName>
    <definedName name="DB_CPK2">#REF!</definedName>
    <definedName name="DB_CPK3" localSheetId="1">#REF!</definedName>
    <definedName name="DB_CPK3" localSheetId="8">#REF!</definedName>
    <definedName name="DB_CPK3" localSheetId="10">#REF!</definedName>
    <definedName name="DB_CPK3" localSheetId="19">#REF!</definedName>
    <definedName name="DB_CPK3" localSheetId="23">#REF!</definedName>
    <definedName name="DB_CPK3">#REF!</definedName>
    <definedName name="DB_CUST">#N/A</definedName>
    <definedName name="DB_EGR">#N/A</definedName>
    <definedName name="DB_EGR1" localSheetId="8">[7]FERCFACT!#REF!</definedName>
    <definedName name="DB_EGR1" localSheetId="10">[7]FERCFACT!#REF!</definedName>
    <definedName name="DB_EGR1" localSheetId="23">[7]FERCFACT!#REF!</definedName>
    <definedName name="DB_EGR1">[7]FERCFACT!#REF!</definedName>
    <definedName name="DB_EGR2" localSheetId="1">#REF!</definedName>
    <definedName name="DB_EGR2" localSheetId="8">#REF!</definedName>
    <definedName name="DB_EGR2" localSheetId="10">#REF!</definedName>
    <definedName name="DB_EGR2" localSheetId="19">#REF!</definedName>
    <definedName name="DB_EGR2" localSheetId="23">#REF!</definedName>
    <definedName name="DB_EGR2">#REF!</definedName>
    <definedName name="DB_IMAX">#N/A</definedName>
    <definedName name="DB_NCPK">#N/A</definedName>
    <definedName name="DB_NCPK1" localSheetId="1">#REF!</definedName>
    <definedName name="DB_NCPK1" localSheetId="8">#REF!</definedName>
    <definedName name="DB_NCPK1" localSheetId="10">#REF!</definedName>
    <definedName name="DB_NCPK1" localSheetId="19">#REF!</definedName>
    <definedName name="DB_NCPK1" localSheetId="23">#REF!</definedName>
    <definedName name="DB_NCPK1">#REF!</definedName>
    <definedName name="DB_NCPK2" localSheetId="1">#REF!</definedName>
    <definedName name="DB_NCPK2" localSheetId="8">#REF!</definedName>
    <definedName name="DB_NCPK2" localSheetId="10">#REF!</definedName>
    <definedName name="DB_NCPK2" localSheetId="19">#REF!</definedName>
    <definedName name="DB_NCPK2" localSheetId="23">#REF!</definedName>
    <definedName name="DB_NCPK2">#REF!</definedName>
    <definedName name="DB_NCPK3" localSheetId="1">#REF!</definedName>
    <definedName name="DB_NCPK3" localSheetId="8">#REF!</definedName>
    <definedName name="DB_NCPK3" localSheetId="10">#REF!</definedName>
    <definedName name="DB_NCPK3" localSheetId="19">#REF!</definedName>
    <definedName name="DB_NCPK3" localSheetId="23">#REF!</definedName>
    <definedName name="DB_NCPK3">#REF!</definedName>
    <definedName name="DB_NCPK4" localSheetId="1">#REF!</definedName>
    <definedName name="DB_NCPK4" localSheetId="10">#REF!</definedName>
    <definedName name="DB_NCPK4" localSheetId="19">#REF!</definedName>
    <definedName name="DB_NCPK4">#REF!</definedName>
    <definedName name="DD." localSheetId="1">[8]Input!$F$33</definedName>
    <definedName name="DD." localSheetId="8">[8]Input!$F$33</definedName>
    <definedName name="DD." localSheetId="27">[8]Input!$F$33</definedName>
    <definedName name="DD.">[8]Input!$F$33</definedName>
    <definedName name="DEBITS" localSheetId="1">#REF!</definedName>
    <definedName name="DEBITS" localSheetId="8">#REF!</definedName>
    <definedName name="DEBITS" localSheetId="10">#REF!</definedName>
    <definedName name="DEBITS" localSheetId="19">#REF!</definedName>
    <definedName name="DEBITS">#REF!</definedName>
    <definedName name="DEC">#N/A</definedName>
    <definedName name="DecCP" localSheetId="1">#REF!</definedName>
    <definedName name="DecCP" localSheetId="8">#REF!</definedName>
    <definedName name="DecCP" localSheetId="10">#REF!</definedName>
    <definedName name="DecCP" localSheetId="19">#REF!</definedName>
    <definedName name="DecCP" localSheetId="23">#REF!</definedName>
    <definedName name="DecCP">#REF!</definedName>
    <definedName name="DFTSR" localSheetId="1">'[4]A.2 PTP'!$P$288</definedName>
    <definedName name="DFTSR" localSheetId="8">'[4]A.2 PTP'!$P$288</definedName>
    <definedName name="DFTSR" localSheetId="27">'[4]A.2 PTP'!$P$288</definedName>
    <definedName name="DFTSR">'[4]A.2 PTP'!$P$288</definedName>
    <definedName name="DISPLAY">#N/A</definedName>
    <definedName name="DOFTSR" localSheetId="1">'[4]A.2 PTP'!$P$294</definedName>
    <definedName name="DOFTSR" localSheetId="8">'[4]A.2 PTP'!$P$294</definedName>
    <definedName name="DOFTSR" localSheetId="27">'[4]A.2 PTP'!$P$294</definedName>
    <definedName name="DOFTSR">'[4]A.2 PTP'!$P$294</definedName>
    <definedName name="don" localSheetId="1" hidden="1">{"assumptions",#N/A,FALSE,"Scenario 1";"valuation",#N/A,FALSE,"Scenario 1"}</definedName>
    <definedName name="don" localSheetId="26" hidden="1">{"assumptions",#N/A,FALSE,"Scenario 1";"valuation",#N/A,FALSE,"Scenario 1"}</definedName>
    <definedName name="don" hidden="1">{"assumptions",#N/A,FALSE,"Scenario 1";"valuation",#N/A,FALSE,"Scenario 1"}</definedName>
    <definedName name="Don_1" localSheetId="1" hidden="1">{"assumptions",#N/A,FALSE,"Scenario 1";"valuation",#N/A,FALSE,"Scenario 1"}</definedName>
    <definedName name="Don_1" localSheetId="26" hidden="1">{"assumptions",#N/A,FALSE,"Scenario 1";"valuation",#N/A,FALSE,"Scenario 1"}</definedName>
    <definedName name="Don_1" hidden="1">{"assumptions",#N/A,FALSE,"Scenario 1";"valuation",#N/A,FALSE,"Scenario 1"}</definedName>
    <definedName name="Don_10" localSheetId="1" hidden="1">#REF!</definedName>
    <definedName name="Don_10" localSheetId="10" hidden="1">#REF!</definedName>
    <definedName name="Don_10" localSheetId="26" hidden="1">#REF!</definedName>
    <definedName name="Don_10" hidden="1">#REF!</definedName>
    <definedName name="Don_11" hidden="1">255</definedName>
    <definedName name="Don_12" localSheetId="1" hidden="1">#REF!</definedName>
    <definedName name="Don_12" localSheetId="10" hidden="1">#REF!</definedName>
    <definedName name="Don_12" localSheetId="26" hidden="1">#REF!</definedName>
    <definedName name="Don_12" hidden="1">#REF!</definedName>
    <definedName name="Don_13" localSheetId="1" hidden="1">#REF!</definedName>
    <definedName name="Don_13" localSheetId="10" hidden="1">#REF!</definedName>
    <definedName name="Don_13" localSheetId="26" hidden="1">#REF!</definedName>
    <definedName name="Don_13" hidden="1">#REF!</definedName>
    <definedName name="Don_14" localSheetId="1" hidden="1">#REF!</definedName>
    <definedName name="Don_14" localSheetId="10" hidden="1">#REF!</definedName>
    <definedName name="Don_14" localSheetId="26" hidden="1">#REF!</definedName>
    <definedName name="Don_14" hidden="1">#REF!</definedName>
    <definedName name="don_2" localSheetId="1" hidden="1">#REF!</definedName>
    <definedName name="don_2" localSheetId="10" hidden="1">#REF!</definedName>
    <definedName name="don_2" localSheetId="26" hidden="1">#REF!</definedName>
    <definedName name="don_2" hidden="1">#REF!</definedName>
    <definedName name="Don_3" localSheetId="1" hidden="1">#REF!</definedName>
    <definedName name="Don_3" localSheetId="10" hidden="1">#REF!</definedName>
    <definedName name="Don_3" localSheetId="26" hidden="1">#REF!</definedName>
    <definedName name="Don_3" hidden="1">#REF!</definedName>
    <definedName name="Don_4" localSheetId="1" hidden="1">#REF!</definedName>
    <definedName name="Don_4" localSheetId="10" hidden="1">#REF!</definedName>
    <definedName name="Don_4" localSheetId="26" hidden="1">#REF!</definedName>
    <definedName name="Don_4" hidden="1">#REF!</definedName>
    <definedName name="Don_5" localSheetId="1" hidden="1">#REF!</definedName>
    <definedName name="Don_5" localSheetId="10" hidden="1">#REF!</definedName>
    <definedName name="Don_5" localSheetId="26" hidden="1">#REF!</definedName>
    <definedName name="Don_5" hidden="1">#REF!</definedName>
    <definedName name="Don_6" localSheetId="1" hidden="1">#REF!</definedName>
    <definedName name="Don_6" localSheetId="10" hidden="1">#REF!</definedName>
    <definedName name="Don_6" localSheetId="26" hidden="1">#REF!</definedName>
    <definedName name="Don_6" hidden="1">#REF!</definedName>
    <definedName name="Don_7" localSheetId="1" hidden="1">#REF!</definedName>
    <definedName name="Don_7" localSheetId="10" hidden="1">#REF!</definedName>
    <definedName name="Don_7" localSheetId="26" hidden="1">#REF!</definedName>
    <definedName name="Don_7" hidden="1">#REF!</definedName>
    <definedName name="Don_8" localSheetId="1" hidden="1">#REF!</definedName>
    <definedName name="Don_8" localSheetId="10" hidden="1">#REF!</definedName>
    <definedName name="Don_8" localSheetId="26" hidden="1">#REF!</definedName>
    <definedName name="Don_8" hidden="1">#REF!</definedName>
    <definedName name="Don_9" localSheetId="1" hidden="1">#REF!</definedName>
    <definedName name="Don_9" localSheetId="10" hidden="1">#REF!</definedName>
    <definedName name="Don_9" localSheetId="26" hidden="1">#REF!</definedName>
    <definedName name="Don_9" hidden="1">#REF!</definedName>
    <definedName name="DPLT" localSheetId="1">'[4]C. Input'!$F$166</definedName>
    <definedName name="DPLT" localSheetId="8">'[4]C. Input'!$F$166</definedName>
    <definedName name="DPLT" localSheetId="27">'[4]C. Input'!$F$166</definedName>
    <definedName name="DPLT">'[4]C. Input'!$F$166</definedName>
    <definedName name="DR" localSheetId="1">'[4]C. Input'!$F$23</definedName>
    <definedName name="DR" localSheetId="8">'[4]C. Input'!$F$23</definedName>
    <definedName name="DR" localSheetId="27">'[4]C. Input'!$F$23</definedName>
    <definedName name="DR">'[4]C. Input'!$F$23</definedName>
    <definedName name="DR_1">#N/A</definedName>
    <definedName name="ED8_BIOFLORA_Print" localSheetId="1">#REF!</definedName>
    <definedName name="ED8_BIOFLORA_Print" localSheetId="8">#REF!</definedName>
    <definedName name="ED8_BIOFLORA_Print" localSheetId="10">#REF!</definedName>
    <definedName name="ED8_BIOFLORA_Print" localSheetId="19">#REF!</definedName>
    <definedName name="ED8_BIOFLORA_Print" localSheetId="23">#REF!</definedName>
    <definedName name="ED8_BIOFLORA_Print">#REF!</definedName>
    <definedName name="EEI" localSheetId="1">'[4]C. Input'!$F$205</definedName>
    <definedName name="EEI" localSheetId="8">'[4]C. Input'!$F$205</definedName>
    <definedName name="EEI" localSheetId="27">'[4]C. Input'!$F$205</definedName>
    <definedName name="EEI">'[4]C. Input'!$F$205</definedName>
    <definedName name="EFF_DATE" localSheetId="8">'[1]Header Data'!#REF!</definedName>
    <definedName name="EFF_DATE" localSheetId="10">'[1]Header Data'!#REF!</definedName>
    <definedName name="EFF_DATE">'[1]Header Data'!#REF!</definedName>
    <definedName name="EGR">#N/A</definedName>
    <definedName name="EGR1X" localSheetId="1">#REF!</definedName>
    <definedName name="EGR1X" localSheetId="8">#REF!</definedName>
    <definedName name="EGR1X" localSheetId="10">#REF!</definedName>
    <definedName name="EGR1X" localSheetId="19">#REF!</definedName>
    <definedName name="EGR1X" localSheetId="23">#REF!</definedName>
    <definedName name="EGR1X">#REF!</definedName>
    <definedName name="EIGHT">#N/A</definedName>
    <definedName name="ELEVEN">#N/A</definedName>
    <definedName name="END" localSheetId="1">#REF!</definedName>
    <definedName name="END" localSheetId="8">#REF!</definedName>
    <definedName name="END" localSheetId="10">#REF!</definedName>
    <definedName name="END" localSheetId="19">#REF!</definedName>
    <definedName name="END" localSheetId="23">#REF!</definedName>
    <definedName name="END">#REF!</definedName>
    <definedName name="ENERGY" localSheetId="1">#REF!</definedName>
    <definedName name="ENERGY" localSheetId="8">#REF!</definedName>
    <definedName name="ENERGY" localSheetId="10">#REF!</definedName>
    <definedName name="ENERGY" localSheetId="19">#REF!</definedName>
    <definedName name="ENERGY" localSheetId="23">#REF!</definedName>
    <definedName name="ENERGY">#REF!</definedName>
    <definedName name="ENERGY_SUP" localSheetId="8">[7]FERCFACT!#REF!</definedName>
    <definedName name="ENERGY_SUP" localSheetId="10">[7]FERCFACT!#REF!</definedName>
    <definedName name="ENERGY_SUP" localSheetId="23">[7]FERCFACT!#REF!</definedName>
    <definedName name="ENERGY_SUP">[7]FERCFACT!#REF!</definedName>
    <definedName name="ENERGY1">#N/A</definedName>
    <definedName name="ENVIRONMENTAL" localSheetId="1">#REF!</definedName>
    <definedName name="ENVIRONMENTAL" localSheetId="10">#REF!</definedName>
    <definedName name="ENVIRONMENTAL" localSheetId="27">#REF!</definedName>
    <definedName name="ENVIRONMENTAL">#REF!</definedName>
    <definedName name="EPRI" localSheetId="1">'[4]C. Input'!$F$203</definedName>
    <definedName name="EPRI" localSheetId="8">'[4]C. Input'!$F$203</definedName>
    <definedName name="EPRI" localSheetId="27">'[4]C. Input'!$F$203</definedName>
    <definedName name="EPRI">'[4]C. Input'!$F$203</definedName>
    <definedName name="EST_BY_ACCT" localSheetId="1">#REF!</definedName>
    <definedName name="EST_BY_ACCT" localSheetId="8">#REF!</definedName>
    <definedName name="EST_BY_ACCT" localSheetId="10">#REF!</definedName>
    <definedName name="EST_BY_ACCT" localSheetId="19">#REF!</definedName>
    <definedName name="EST_BY_ACCT" localSheetId="23">#REF!</definedName>
    <definedName name="EST_BY_ACCT">#REF!</definedName>
    <definedName name="F" localSheetId="1">'[4]C. Input'!$F$72</definedName>
    <definedName name="F" localSheetId="8">'[4]C. Input'!$F$72</definedName>
    <definedName name="F" localSheetId="27">'[4]C. Input'!$F$72</definedName>
    <definedName name="F">'[4]C. Input'!$F$72</definedName>
    <definedName name="FACE" localSheetId="1">#REF!</definedName>
    <definedName name="FACE" localSheetId="10">#REF!</definedName>
    <definedName name="FACE" localSheetId="27">#REF!</definedName>
    <definedName name="FACE">#REF!</definedName>
    <definedName name="FACTORS" localSheetId="1">#REF!</definedName>
    <definedName name="FACTORS" localSheetId="8">#REF!</definedName>
    <definedName name="FACTORS" localSheetId="10">#REF!</definedName>
    <definedName name="FACTORS" localSheetId="19">#REF!</definedName>
    <definedName name="FACTORS" localSheetId="23">#REF!</definedName>
    <definedName name="FACTORS">#REF!</definedName>
    <definedName name="FACTRS" localSheetId="1">#REF!</definedName>
    <definedName name="FACTRS" localSheetId="8">#REF!</definedName>
    <definedName name="FACTRS" localSheetId="10">#REF!</definedName>
    <definedName name="FACTRS" localSheetId="19">#REF!</definedName>
    <definedName name="FACTRS" localSheetId="23">#REF!</definedName>
    <definedName name="FACTRS">#REF!</definedName>
    <definedName name="FF1_INPUT" localSheetId="1">'[5]FERC Form 1 data'!$B$7:$L$89</definedName>
    <definedName name="FF1_INPUT">'[5]FERC Form 1 data'!$B$7:$L$89</definedName>
    <definedName name="FF1_INPUT_columns" localSheetId="1">'[5]FERC Form 1 data'!$B$6:$L$6</definedName>
    <definedName name="FF1_INPUT_columns">'[5]FERC Form 1 data'!$B$6:$L$6</definedName>
    <definedName name="FIVE">#N/A</definedName>
    <definedName name="FOUR">#N/A</definedName>
    <definedName name="FREV" localSheetId="1">'[4]C. Input'!$F$295</definedName>
    <definedName name="FREV" localSheetId="8">'[4]C. Input'!$F$295</definedName>
    <definedName name="FREV" localSheetId="27">'[4]C. Input'!$F$295</definedName>
    <definedName name="FREV">'[4]C. Input'!$F$295</definedName>
    <definedName name="GDR" localSheetId="1">'[4]C. Input'!$F$237</definedName>
    <definedName name="GDR" localSheetId="8">'[4]C. Input'!$F$237</definedName>
    <definedName name="GDR" localSheetId="27">'[4]C. Input'!$F$237</definedName>
    <definedName name="GDR">'[4]C. Input'!$F$237</definedName>
    <definedName name="GDX" localSheetId="1">'[4]C. Input'!$F$309</definedName>
    <definedName name="GDX" localSheetId="8">'[4]C. Input'!$F$309</definedName>
    <definedName name="GDX" localSheetId="27">'[4]C. Input'!$F$309</definedName>
    <definedName name="GDX">'[4]C. Input'!$F$309</definedName>
    <definedName name="GDX_TD" localSheetId="1">'[4]C. Input'!#REF!</definedName>
    <definedName name="GDX_TD" localSheetId="8">'[4]C. Input'!#REF!</definedName>
    <definedName name="GDX_TD" localSheetId="10">'[4]C. Input'!#REF!</definedName>
    <definedName name="GDX_TD" localSheetId="27">'[4]C. Input'!#REF!</definedName>
    <definedName name="GDX_TD">'[4]C. Input'!#REF!</definedName>
    <definedName name="gIsBlank" localSheetId="1" hidden="1">ISBLANK(gIsRef)</definedName>
    <definedName name="gIsBlank" localSheetId="8" hidden="1">ISBLANK(gIsRef)</definedName>
    <definedName name="gIsBlank" localSheetId="15" hidden="1">ISBLANK(gIsRef)</definedName>
    <definedName name="gIsBlank" localSheetId="26" hidden="1">ISBLANK(gIsRef)</definedName>
    <definedName name="gIsBlank" localSheetId="27" hidden="1">ISBLANK(gIsRef)</definedName>
    <definedName name="gIsBlank" hidden="1">ISBLANK(gIsRef)</definedName>
    <definedName name="gIsError" localSheetId="1" hidden="1">ISERROR(gIsRef)</definedName>
    <definedName name="gIsError" localSheetId="8" hidden="1">ISERROR(gIsRef)</definedName>
    <definedName name="gIsError" localSheetId="15" hidden="1">ISERROR(gIsRef)</definedName>
    <definedName name="gIsError" localSheetId="26" hidden="1">ISERROR(gIsRef)</definedName>
    <definedName name="gIsError" localSheetId="27" hidden="1">ISERROR(gIsRef)</definedName>
    <definedName name="gIsError" hidden="1">ISERROR(gIsRef)</definedName>
    <definedName name="gIsInPrintArea" localSheetId="1" hidden="1">NOT(ISERROR(gIsRef !Print_Area))</definedName>
    <definedName name="gIsInPrintArea" localSheetId="8" hidden="1">NOT(ISERROR(gIsRef !Print_Area))</definedName>
    <definedName name="gIsInPrintArea" localSheetId="10" hidden="1">NOT(ISERROR([0]!gIsRef !Print_Area))</definedName>
    <definedName name="gIsInPrintArea" localSheetId="15" hidden="1">NOT(ISERROR(gIsRef !Print_Area))</definedName>
    <definedName name="gIsInPrintArea" localSheetId="26" hidden="1">NOT(ISERROR(gIsRef !Print_Area))</definedName>
    <definedName name="gIsInPrintArea" localSheetId="27" hidden="1">NOT(ISERROR(gIsRef !Print_Area))</definedName>
    <definedName name="gIsInPrintArea" hidden="1">NOT(ISERROR(gIsRef !Print_Area))</definedName>
    <definedName name="gIsInPrintTitles" localSheetId="1" hidden="1">NOT(ISERROR(gIsRef !Print_Titles))</definedName>
    <definedName name="gIsInPrintTitles" localSheetId="8" hidden="1">NOT(ISERROR(gIsRef !Print_Titles))</definedName>
    <definedName name="gIsInPrintTitles" localSheetId="10" hidden="1">NOT(ISERROR([0]!gIsRef !Print_Titles))</definedName>
    <definedName name="gIsInPrintTitles" localSheetId="15" hidden="1">NOT(ISERROR(gIsRef !Print_Titles))</definedName>
    <definedName name="gIsInPrintTitles" localSheetId="26" hidden="1">NOT(ISERROR(gIsRef !Print_Titles))</definedName>
    <definedName name="gIsInPrintTitles" localSheetId="27" hidden="1">NOT(ISERROR(gIsRef !Print_Titles))</definedName>
    <definedName name="gIsInPrintTitles" hidden="1">NOT(ISERROR(gIsRef !Print_Titles))</definedName>
    <definedName name="gIsNumber" localSheetId="1" hidden="1">ISNUMBER(gIsRef)</definedName>
    <definedName name="gIsNumber" localSheetId="8" hidden="1">ISNUMBER(gIsRef)</definedName>
    <definedName name="gIsNumber" localSheetId="15" hidden="1">ISNUMBER(gIsRef)</definedName>
    <definedName name="gIsNumber" localSheetId="26" hidden="1">ISNUMBER(gIsRef)</definedName>
    <definedName name="gIsNumber" localSheetId="27" hidden="1">ISNUMBER(gIsRef)</definedName>
    <definedName name="gIsNumber" hidden="1">ISNUMBER(gIsRef)</definedName>
    <definedName name="gIsPreviousSheet" localSheetId="1" hidden="1">PrevShtCellValue(gIsRef)&lt;&gt;gIsRef</definedName>
    <definedName name="gIsPreviousSheet" localSheetId="8" hidden="1">PrevShtCellValue(gIsRef)&lt;&gt;gIsRef</definedName>
    <definedName name="gIsPreviousSheet" localSheetId="10" hidden="1">PrevShtCellValue([0]!gIsRef)&lt;&gt;[0]!gIsRef</definedName>
    <definedName name="gIsPreviousSheet" localSheetId="15" hidden="1">PrevShtCellValue(gIsRef)&lt;&gt;gIsRef</definedName>
    <definedName name="gIsPreviousSheet" localSheetId="26" hidden="1">PrevShtCellValue(gIsRef)&lt;&gt;gIsRef</definedName>
    <definedName name="gIsPreviousSheet" localSheetId="27" hidden="1">PrevShtCellValue(gIsRef)&lt;&gt;gIsRef</definedName>
    <definedName name="gIsPreviousSheet" hidden="1">PrevShtCellValue(gIsRef)&lt;&gt;gIsRef</definedName>
    <definedName name="gIsRef" hidden="1">INDIRECT("rc",FALSE)</definedName>
    <definedName name="gIsText" localSheetId="1" hidden="1">ISTEXT(gIsRef)</definedName>
    <definedName name="gIsText" localSheetId="8" hidden="1">ISTEXT(gIsRef)</definedName>
    <definedName name="gIsText" localSheetId="15" hidden="1">ISTEXT(gIsRef)</definedName>
    <definedName name="gIsText" localSheetId="26" hidden="1">ISTEXT(gIsRef)</definedName>
    <definedName name="gIsText" localSheetId="27" hidden="1">ISTEXT(gIsRef)</definedName>
    <definedName name="gIsText" hidden="1">ISTEXT(gIsRef)</definedName>
    <definedName name="GJC_03" localSheetId="1">#REF!</definedName>
    <definedName name="GJC_03" localSheetId="8">#REF!</definedName>
    <definedName name="GJC_03" localSheetId="10">#REF!</definedName>
    <definedName name="GJC_03" localSheetId="19">#REF!</definedName>
    <definedName name="GJC_03" localSheetId="23">#REF!</definedName>
    <definedName name="GJC_03">#REF!</definedName>
    <definedName name="GJC_04" localSheetId="1">#REF!</definedName>
    <definedName name="GJC_04" localSheetId="8">#REF!</definedName>
    <definedName name="GJC_04" localSheetId="10">#REF!</definedName>
    <definedName name="GJC_04" localSheetId="19">#REF!</definedName>
    <definedName name="GJC_04" localSheetId="23">#REF!</definedName>
    <definedName name="GJC_04">#REF!</definedName>
    <definedName name="GJC_09" localSheetId="1">#REF!</definedName>
    <definedName name="GJC_09" localSheetId="8">#REF!</definedName>
    <definedName name="GJC_09" localSheetId="10">#REF!</definedName>
    <definedName name="GJC_09" localSheetId="19">#REF!</definedName>
    <definedName name="GJC_09" localSheetId="23">#REF!</definedName>
    <definedName name="GJC_09">#REF!</definedName>
    <definedName name="GP">'MISO Cover'!$G$72</definedName>
    <definedName name="GPLT" localSheetId="1">'[4]C. Input'!$F$168</definedName>
    <definedName name="GPLT" localSheetId="8">'[4]C. Input'!$F$168</definedName>
    <definedName name="GPLT" localSheetId="27">'[4]C. Input'!$F$168</definedName>
    <definedName name="GPLT">'[4]C. Input'!$F$168</definedName>
    <definedName name="HCTextLen" localSheetId="1">#REF!</definedName>
    <definedName name="HCTextLen" localSheetId="8">#REF!</definedName>
    <definedName name="HCTextLen" localSheetId="10">#REF!</definedName>
    <definedName name="HCTextLen" localSheetId="19">#REF!</definedName>
    <definedName name="HCTextLen">#REF!</definedName>
    <definedName name="head" localSheetId="1">#REF!</definedName>
    <definedName name="head" localSheetId="8">#REF!</definedName>
    <definedName name="head" localSheetId="10">#REF!</definedName>
    <definedName name="head" localSheetId="19">#REF!</definedName>
    <definedName name="head">#REF!</definedName>
    <definedName name="HONTSR" localSheetId="1">'[4]A.2 PTP'!$P$333</definedName>
    <definedName name="HONTSR" localSheetId="8">'[4]A.2 PTP'!$P$333</definedName>
    <definedName name="HONTSR" localSheetId="27">'[4]A.2 PTP'!$P$333</definedName>
    <definedName name="HONTSR">'[4]A.2 PTP'!$P$333</definedName>
    <definedName name="HPNTSR" localSheetId="1">'[4]A.2 PTP'!$P$332</definedName>
    <definedName name="HPNTSR" localSheetId="8">'[4]A.2 PTP'!$P$332</definedName>
    <definedName name="HPNTSR" localSheetId="27">'[4]A.2 PTP'!$P$332</definedName>
    <definedName name="HPNTSR">'[4]A.2 PTP'!$P$332</definedName>
    <definedName name="IMAX1" localSheetId="1">#REF!</definedName>
    <definedName name="IMAX1" localSheetId="8">#REF!</definedName>
    <definedName name="IMAX1" localSheetId="10">#REF!</definedName>
    <definedName name="IMAX1" localSheetId="19">#REF!</definedName>
    <definedName name="IMAX1">#REF!</definedName>
    <definedName name="IMAX2" localSheetId="1">#REF!</definedName>
    <definedName name="IMAX2" localSheetId="8">#REF!</definedName>
    <definedName name="IMAX2" localSheetId="10">#REF!</definedName>
    <definedName name="IMAX2" localSheetId="19">#REF!</definedName>
    <definedName name="IMAX2">#REF!</definedName>
    <definedName name="IMAX3" localSheetId="1">#REF!</definedName>
    <definedName name="IMAX3" localSheetId="8">#REF!</definedName>
    <definedName name="IMAX3" localSheetId="10">#REF!</definedName>
    <definedName name="IMAX3" localSheetId="19">#REF!</definedName>
    <definedName name="IMAX3">#REF!</definedName>
    <definedName name="IncomeStatement" localSheetId="1">#REF!</definedName>
    <definedName name="IncomeStatement" localSheetId="10">#REF!</definedName>
    <definedName name="IncomeStatement" localSheetId="19">#REF!</definedName>
    <definedName name="IncomeStatement">#REF!</definedName>
    <definedName name="IND.MAX">#N/A</definedName>
    <definedName name="IND.MAX1">#N/A</definedName>
    <definedName name="INPUT" localSheetId="20">#REF!</definedName>
    <definedName name="INPUT">#N/A</definedName>
    <definedName name="INPUT_AREA" localSheetId="1">#REF!</definedName>
    <definedName name="INPUT_AREA" localSheetId="8">#REF!</definedName>
    <definedName name="INPUT_AREA" localSheetId="10">#REF!</definedName>
    <definedName name="INPUT_AREA" localSheetId="19">#REF!</definedName>
    <definedName name="INPUT_AREA" localSheetId="23">#REF!</definedName>
    <definedName name="INPUT_AREA">#REF!</definedName>
    <definedName name="INPUT_DATA" localSheetId="1">#REF!</definedName>
    <definedName name="INPUT_DATA" localSheetId="8">#REF!</definedName>
    <definedName name="INPUT_DATA" localSheetId="10">#REF!</definedName>
    <definedName name="INPUT_DATA" localSheetId="19">#REF!</definedName>
    <definedName name="INPUT_DATA" localSheetId="23">#REF!</definedName>
    <definedName name="INPUT_DATA">#REF!</definedName>
    <definedName name="Input_Range" localSheetId="1">'[9]Nonlevelized-IOU'!$K$7,'[9]Nonlevelized-IOU'!$D$10,'[9]Nonlevelized-IOU'!$I$26,'[9]Nonlevelized-IOU'!$D$89:$D$92,'[9]Nonlevelized-IOU'!$D$97:$D$100,'[9]Nonlevelized-IOU'!$D$113:$D$116,'[9]Nonlevelized-IOU'!$D$124:$D$125,'[9]Nonlevelized-IOU'!$D$162,'[9]Nonlevelized-IOU'!$D$164:$D$165,'[9]Nonlevelized-IOU'!$D$167,'[9]Nonlevelized-IOU'!$D$174:$D$175,'[9]Nonlevelized-IOU'!$D$181,'[9]Nonlevelized-IOU'!$D$184,'[9]Nonlevelized-IOU'!$I$233:$I$234,'[9]Nonlevelized-IOU'!$D$250:$D$253,'[9]Nonlevelized-IOU'!$D$257:$D$259,'[9]Nonlevelized-IOU'!$I$263,'[9]Nonlevelized-IOU'!$I$265,'[9]Nonlevelized-IOU'!$I$268,'[9]Nonlevelized-IOU'!$D$274:$D$275,'[9]Nonlevelized-IOU'!$I$289,'[9]Nonlevelized-IOU'!$D$325:$D$327</definedName>
    <definedName name="Input_Range" localSheetId="8">'[9]Nonlevelized-IOU'!$K$7,'[9]Nonlevelized-IOU'!$D$10,'[9]Nonlevelized-IOU'!$I$26,'[9]Nonlevelized-IOU'!$D$89:$D$92,'[9]Nonlevelized-IOU'!$D$97:$D$100,'[9]Nonlevelized-IOU'!$D$113:$D$116,'[9]Nonlevelized-IOU'!$D$124:$D$125,'[9]Nonlevelized-IOU'!$D$162,'[9]Nonlevelized-IOU'!$D$164:$D$165,'[9]Nonlevelized-IOU'!$D$167,'[9]Nonlevelized-IOU'!$D$174:$D$175,'[9]Nonlevelized-IOU'!$D$181,'[9]Nonlevelized-IOU'!$D$184,'[9]Nonlevelized-IOU'!$I$233:$I$234,'[9]Nonlevelized-IOU'!$D$250:$D$253,'[9]Nonlevelized-IOU'!$D$257:$D$259,'[9]Nonlevelized-IOU'!$I$263,'[9]Nonlevelized-IOU'!$I$265,'[9]Nonlevelized-IOU'!$I$268,'[9]Nonlevelized-IOU'!$D$274:$D$275,'[9]Nonlevelized-IOU'!$I$289,'[9]Nonlevelized-IOU'!$D$325:$D$327</definedName>
    <definedName name="Input_Range" localSheetId="27">'[9]Nonlevelized-IOU'!$K$7,'[9]Nonlevelized-IOU'!$D$10,'[9]Nonlevelized-IOU'!$I$26,'[9]Nonlevelized-IOU'!$D$89:$D$92,'[9]Nonlevelized-IOU'!$D$97:$D$100,'[9]Nonlevelized-IOU'!$D$113:$D$116,'[9]Nonlevelized-IOU'!$D$124:$D$125,'[9]Nonlevelized-IOU'!$D$162,'[9]Nonlevelized-IOU'!$D$164:$D$165,'[9]Nonlevelized-IOU'!$D$167,'[9]Nonlevelized-IOU'!$D$174:$D$175,'[9]Nonlevelized-IOU'!$D$181,'[9]Nonlevelized-IOU'!$D$184,'[9]Nonlevelized-IOU'!$I$233:$I$234,'[9]Nonlevelized-IOU'!$D$250:$D$253,'[9]Nonlevelized-IOU'!$D$257:$D$259,'[9]Nonlevelized-IOU'!$I$263,'[9]Nonlevelized-IOU'!$I$265,'[9]Nonlevelized-IOU'!$I$268,'[9]Nonlevelized-IOU'!$D$274:$D$275,'[9]Nonlevelized-IOU'!$I$289,'[9]Nonlevelized-IOU'!$D$325:$D$327</definedName>
    <definedName name="Input_Range">'[9]Nonlevelized-IOU'!$K$7,'[9]Nonlevelized-IOU'!$D$10,'[9]Nonlevelized-IOU'!$I$26,'[9]Nonlevelized-IOU'!$D$89:$D$92,'[9]Nonlevelized-IOU'!$D$97:$D$100,'[9]Nonlevelized-IOU'!$D$113:$D$116,'[9]Nonlevelized-IOU'!$D$124:$D$125,'[9]Nonlevelized-IOU'!$D$162,'[9]Nonlevelized-IOU'!$D$164:$D$165,'[9]Nonlevelized-IOU'!$D$167,'[9]Nonlevelized-IOU'!$D$174:$D$175,'[9]Nonlevelized-IOU'!$D$181,'[9]Nonlevelized-IOU'!$D$184,'[9]Nonlevelized-IOU'!$I$233:$I$234,'[9]Nonlevelized-IOU'!$D$250:$D$253,'[9]Nonlevelized-IOU'!$D$257:$D$259,'[9]Nonlevelized-IOU'!$I$263,'[9]Nonlevelized-IOU'!$I$265,'[9]Nonlevelized-IOU'!$I$268,'[9]Nonlevelized-IOU'!$D$274:$D$275,'[9]Nonlevelized-IOU'!$I$289,'[9]Nonlevelized-IOU'!$D$325:$D$327</definedName>
    <definedName name="Inputs_EndYrBal" localSheetId="1">[5]Inputs!$E$16:$E$73</definedName>
    <definedName name="Inputs_EndYrBal">[5]Inputs!$E$16:$E$73</definedName>
    <definedName name="Inputs_EndYrBal_prior" localSheetId="1">[5]Inputs!$D$16:$D$73</definedName>
    <definedName name="Inputs_EndYrBal_prior">[5]Inputs!$D$16:$D$73</definedName>
    <definedName name="Inputs_FF1_Map" localSheetId="1">[5]Inputs!$F$16:$F$73</definedName>
    <definedName name="Inputs_FF1_Map">[5]Inputs!$F$16:$F$73</definedName>
    <definedName name="IPP" localSheetId="1">'[4]C. Input'!#REF!</definedName>
    <definedName name="IPP" localSheetId="8">'[4]C. Input'!#REF!</definedName>
    <definedName name="IPP" localSheetId="10">'[4]C. Input'!#REF!</definedName>
    <definedName name="IPP" localSheetId="15">'[4]C. Input'!#REF!</definedName>
    <definedName name="IPP" localSheetId="27">'[4]C. Input'!#REF!</definedName>
    <definedName name="IPP">'[4]C. Input'!#REF!</definedName>
    <definedName name="IPPINT" localSheetId="1">'[4]C. Input'!#REF!</definedName>
    <definedName name="IPPINT" localSheetId="8">'[4]C. Input'!#REF!</definedName>
    <definedName name="IPPINT" localSheetId="10">'[4]C. Input'!#REF!</definedName>
    <definedName name="IPPINT" localSheetId="15">'[4]C. Input'!#REF!</definedName>
    <definedName name="IPPINT" localSheetId="27">'[4]C. Input'!#REF!</definedName>
    <definedName name="IPPINT">'[4]C. Input'!#REF!</definedName>
    <definedName name="IPPIRB" localSheetId="1">'[4]C. Input'!#REF!</definedName>
    <definedName name="IPPIRB" localSheetId="8">'[4]C. Input'!#REF!</definedName>
    <definedName name="IPPIRB" localSheetId="10">'[4]C. Input'!#REF!</definedName>
    <definedName name="IPPIRB" localSheetId="15">'[4]C. Input'!#REF!</definedName>
    <definedName name="IPPIRB" localSheetId="27">'[4]C. Input'!#REF!</definedName>
    <definedName name="IPPIRB">'[4]C. Input'!#REF!</definedName>
    <definedName name="IPPRB" localSheetId="1">'[4]C. Input'!#REF!</definedName>
    <definedName name="IPPRB" localSheetId="8">'[4]C. Input'!#REF!</definedName>
    <definedName name="IPPRB" localSheetId="10">'[4]C. Input'!#REF!</definedName>
    <definedName name="IPPRB" localSheetId="15">'[4]C. Input'!#REF!</definedName>
    <definedName name="IPPRB" localSheetId="27">'[4]C. Input'!#REF!</definedName>
    <definedName name="IPPRB">'[4]C. Input'!#REF!</definedName>
    <definedName name="ITC" localSheetId="1">'[4]C. Input'!$F$146</definedName>
    <definedName name="ITC" localSheetId="8">'[4]C. Input'!$F$146</definedName>
    <definedName name="ITC" localSheetId="27">'[4]C. Input'!$F$146</definedName>
    <definedName name="ITC">'[4]C. Input'!$F$146</definedName>
    <definedName name="ITCWO" localSheetId="1">'[4]C. Input'!$F$325</definedName>
    <definedName name="ITCWO" localSheetId="8">'[4]C. Input'!$F$325</definedName>
    <definedName name="ITCWO" localSheetId="27">'[4]C. Input'!$F$325</definedName>
    <definedName name="ITCWO">'[4]C. Input'!$F$325</definedName>
    <definedName name="JanCP" localSheetId="1">#REF!</definedName>
    <definedName name="JanCP" localSheetId="8">#REF!</definedName>
    <definedName name="JanCP" localSheetId="10">#REF!</definedName>
    <definedName name="JanCP" localSheetId="19">#REF!</definedName>
    <definedName name="JanCP" localSheetId="23">#REF!</definedName>
    <definedName name="JanCP">#REF!</definedName>
    <definedName name="jor" localSheetId="1">#REF!</definedName>
    <definedName name="jor" localSheetId="8">#REF!</definedName>
    <definedName name="jor" localSheetId="10">#REF!</definedName>
    <definedName name="jor" localSheetId="19">#REF!</definedName>
    <definedName name="jor">#REF!</definedName>
    <definedName name="JOUR_ENTRY" localSheetId="1">#REF!</definedName>
    <definedName name="JOUR_ENTRY" localSheetId="8">#REF!</definedName>
    <definedName name="JOUR_ENTRY" localSheetId="10">#REF!</definedName>
    <definedName name="JOUR_ENTRY" localSheetId="19">#REF!</definedName>
    <definedName name="JOUR_ENTRY">#REF!</definedName>
    <definedName name="JUL">#N/A</definedName>
    <definedName name="JUN">#N/A</definedName>
    <definedName name="Keep" localSheetId="1" hidden="1">{"PRINT",#N/A,TRUE,"APPA";"PRINT",#N/A,TRUE,"APS";"PRINT",#N/A,TRUE,"BHPL";"PRINT",#N/A,TRUE,"BHPL2";"PRINT",#N/A,TRUE,"CDWR";"PRINT",#N/A,TRUE,"EWEB";"PRINT",#N/A,TRUE,"LADWP";"PRINT",#N/A,TRUE,"NEVBASE"}</definedName>
    <definedName name="Keep" localSheetId="26"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26"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eft">OFFSET(!A1,0,-1)</definedName>
    <definedName name="LFTSR" localSheetId="1">'[4]A.2 PTP'!$P$230</definedName>
    <definedName name="LFTSR" localSheetId="8">'[4]A.2 PTP'!$P$230</definedName>
    <definedName name="LFTSR" localSheetId="27">'[4]A.2 PTP'!$P$230</definedName>
    <definedName name="LFTSR">'[4]A.2 PTP'!$P$230</definedName>
    <definedName name="LOCATE3">#N/A</definedName>
    <definedName name="LOCTABLE" localSheetId="1">#REF!</definedName>
    <definedName name="LOCTABLE" localSheetId="8">#REF!</definedName>
    <definedName name="LOCTABLE" localSheetId="10">#REF!</definedName>
    <definedName name="LOCTABLE" localSheetId="19">#REF!</definedName>
    <definedName name="LOCTABLE" localSheetId="23">#REF!</definedName>
    <definedName name="LOCTABLE">#REF!</definedName>
    <definedName name="LOCTextLen" localSheetId="1">#REF!</definedName>
    <definedName name="LOCTextLen" localSheetId="8">#REF!</definedName>
    <definedName name="LOCTextLen" localSheetId="10">#REF!</definedName>
    <definedName name="LOCTextLen" localSheetId="19">#REF!</definedName>
    <definedName name="LOCTextLen" localSheetId="23">#REF!</definedName>
    <definedName name="LOCTextLen">#REF!</definedName>
    <definedName name="losses" localSheetId="1">#REF!</definedName>
    <definedName name="losses" localSheetId="8">#REF!</definedName>
    <definedName name="losses" localSheetId="10">#REF!</definedName>
    <definedName name="losses" localSheetId="19">#REF!</definedName>
    <definedName name="losses" localSheetId="23">#REF!</definedName>
    <definedName name="losses">#REF!</definedName>
    <definedName name="LRG_GE" localSheetId="1">#REF!</definedName>
    <definedName name="LRG_GE" localSheetId="10">#REF!</definedName>
    <definedName name="LRG_GE" localSheetId="19">#REF!</definedName>
    <definedName name="LRG_GE">#REF!</definedName>
    <definedName name="LRG_GJ" localSheetId="1">#REF!</definedName>
    <definedName name="LRG_GJ" localSheetId="10">#REF!</definedName>
    <definedName name="LRG_GJ" localSheetId="19">#REF!</definedName>
    <definedName name="LRG_GJ">#REF!</definedName>
    <definedName name="LYN" localSheetId="1">#REF!</definedName>
    <definedName name="LYN" localSheetId="10">#REF!</definedName>
    <definedName name="LYN" localSheetId="27">#REF!</definedName>
    <definedName name="LYN">#REF!</definedName>
    <definedName name="M" localSheetId="1">[7]FERCFACT!#REF!</definedName>
    <definedName name="M" localSheetId="10">[7]FERCFACT!#REF!</definedName>
    <definedName name="M">[7]FERCFACT!#REF!</definedName>
    <definedName name="MACRO">#N/A</definedName>
    <definedName name="MAIN">#N/A</definedName>
    <definedName name="MAR">#N/A</definedName>
    <definedName name="MAY">#N/A</definedName>
    <definedName name="MENUALL">#N/A</definedName>
    <definedName name="MENUALLOC">#N/A</definedName>
    <definedName name="MENUDBASE">#N/A</definedName>
    <definedName name="MENUDBS">#N/A</definedName>
    <definedName name="MENUPIC">#N/A</definedName>
    <definedName name="MENUPICK">#N/A</definedName>
    <definedName name="MENUPRNT">#N/A</definedName>
    <definedName name="MENUPRST">#N/A</definedName>
    <definedName name="MFTSR" localSheetId="1">'[4]A.2 PTP'!$P$276</definedName>
    <definedName name="MFTSR" localSheetId="8">'[4]A.2 PTP'!$P$276</definedName>
    <definedName name="MFTSR" localSheetId="27">'[4]A.2 PTP'!$P$276</definedName>
    <definedName name="MFTSR">'[4]A.2 PTP'!$P$276</definedName>
    <definedName name="Mo_roll" localSheetId="1">#REF!</definedName>
    <definedName name="Mo_roll" localSheetId="10">#REF!</definedName>
    <definedName name="Mo_roll" localSheetId="27">#REF!</definedName>
    <definedName name="Mo_roll">#REF!</definedName>
    <definedName name="MONTHS">#N/A</definedName>
    <definedName name="MOVE">#N/A</definedName>
    <definedName name="MREV" localSheetId="1">'[4]C. Input'!$F$295</definedName>
    <definedName name="MREV" localSheetId="8">'[4]C. Input'!$F$295</definedName>
    <definedName name="MREV" localSheetId="27">'[4]C. Input'!$F$295</definedName>
    <definedName name="MREV">'[4]C. Input'!$F$295</definedName>
    <definedName name="MS" localSheetId="1">'[4]C. Input'!$F$242</definedName>
    <definedName name="MS" localSheetId="8">'[4]C. Input'!$F$242</definedName>
    <definedName name="MS" localSheetId="27">'[4]C. Input'!$F$242</definedName>
    <definedName name="MS">'[4]C. Input'!$F$242</definedName>
    <definedName name="MTH">#N/A</definedName>
    <definedName name="N_A" localSheetId="1">'[4]C. Input'!#REF!</definedName>
    <definedName name="N_A" localSheetId="8">'[4]C. Input'!#REF!</definedName>
    <definedName name="N_A" localSheetId="10">'[4]C. Input'!#REF!</definedName>
    <definedName name="N_A" localSheetId="27">'[4]C. Input'!#REF!</definedName>
    <definedName name="N_A">'[4]C. Input'!#REF!</definedName>
    <definedName name="NCP">#N/A</definedName>
    <definedName name="NCP_1">#N/A</definedName>
    <definedName name="NCPK1">#N/A</definedName>
    <definedName name="NCPK1X" localSheetId="1">#REF!</definedName>
    <definedName name="NCPK1X" localSheetId="8">#REF!</definedName>
    <definedName name="NCPK1X" localSheetId="10">#REF!</definedName>
    <definedName name="NCPK1X" localSheetId="19">#REF!</definedName>
    <definedName name="NCPK1X" localSheetId="23">#REF!</definedName>
    <definedName name="NCPK1X">#REF!</definedName>
    <definedName name="NCPK2" localSheetId="1">#REF!</definedName>
    <definedName name="NCPK2" localSheetId="8">#REF!</definedName>
    <definedName name="NCPK2" localSheetId="10">#REF!</definedName>
    <definedName name="NCPK2" localSheetId="19">#REF!</definedName>
    <definedName name="NCPK2" localSheetId="23">#REF!</definedName>
    <definedName name="NCPK2">#REF!</definedName>
    <definedName name="NCPK2X" localSheetId="1">#REF!</definedName>
    <definedName name="NCPK2X" localSheetId="8">#REF!</definedName>
    <definedName name="NCPK2X" localSheetId="10">#REF!</definedName>
    <definedName name="NCPK2X" localSheetId="19">#REF!</definedName>
    <definedName name="NCPK2X" localSheetId="23">#REF!</definedName>
    <definedName name="NCPK2X">#REF!</definedName>
    <definedName name="NCPK3" localSheetId="1">#REF!</definedName>
    <definedName name="NCPK3" localSheetId="10">#REF!</definedName>
    <definedName name="NCPK3" localSheetId="19">#REF!</definedName>
    <definedName name="NCPK3">#REF!</definedName>
    <definedName name="NET_TO_ZERO" localSheetId="1">#REF!</definedName>
    <definedName name="NET_TO_ZERO" localSheetId="10">#REF!</definedName>
    <definedName name="NET_TO_ZERO" localSheetId="27">#REF!</definedName>
    <definedName name="NET_TO_ZERO">#REF!</definedName>
    <definedName name="NETWK_TRANS_PK_RPT_Print_Area" localSheetId="1">#REF!</definedName>
    <definedName name="NETWK_TRANS_PK_RPT_Print_Area" localSheetId="10">#REF!</definedName>
    <definedName name="NETWK_TRANS_PK_RPT_Print_Area" localSheetId="19">#REF!</definedName>
    <definedName name="NETWK_TRANS_PK_RPT_Print_Area">#REF!</definedName>
    <definedName name="NINE">#N/A</definedName>
    <definedName name="NoErrMsg" localSheetId="1">#REF!</definedName>
    <definedName name="NoErrMsg" localSheetId="8">#REF!</definedName>
    <definedName name="NoErrMsg" localSheetId="10">#REF!</definedName>
    <definedName name="NoErrMsg" localSheetId="19">#REF!</definedName>
    <definedName name="NoErrMsg" localSheetId="23">#REF!</definedName>
    <definedName name="NoErrMsg">#REF!</definedName>
    <definedName name="NormErrMsg" localSheetId="1">#REF!</definedName>
    <definedName name="NormErrMsg" localSheetId="8">#REF!</definedName>
    <definedName name="NormErrMsg" localSheetId="10">#REF!</definedName>
    <definedName name="NormErrMsg" localSheetId="19">#REF!</definedName>
    <definedName name="NormErrMsg" localSheetId="23">#REF!</definedName>
    <definedName name="NormErrMsg">#REF!</definedName>
    <definedName name="NOTE" localSheetId="1">#REF!</definedName>
    <definedName name="NOTE" localSheetId="8">#REF!</definedName>
    <definedName name="NOTE" localSheetId="10">#REF!</definedName>
    <definedName name="NOTE" localSheetId="19">#REF!</definedName>
    <definedName name="NOTE" localSheetId="23">#REF!</definedName>
    <definedName name="NOTE">#REF!</definedName>
    <definedName name="NOTE_A" localSheetId="1">#REF!</definedName>
    <definedName name="NOTE_A" localSheetId="10">#REF!</definedName>
    <definedName name="NOTE_A" localSheetId="19">#REF!</definedName>
    <definedName name="NOTE_A">#REF!</definedName>
    <definedName name="NOTE_B" localSheetId="1">#REF!</definedName>
    <definedName name="NOTE_B" localSheetId="10">#REF!</definedName>
    <definedName name="NOTE_B" localSheetId="19">#REF!</definedName>
    <definedName name="NOTE_B">#REF!</definedName>
    <definedName name="NOTE2" localSheetId="1">#REF!</definedName>
    <definedName name="NOTE2" localSheetId="10">#REF!</definedName>
    <definedName name="NOTE2" localSheetId="19">#REF!</definedName>
    <definedName name="NOTE2">#REF!</definedName>
    <definedName name="NOV">#N/A</definedName>
    <definedName name="NP">'MISO Cover'!$G$90</definedName>
    <definedName name="NTDR" localSheetId="1">'[4]C. Input'!$F$234</definedName>
    <definedName name="NTDR" localSheetId="8">'[4]C. Input'!$F$234</definedName>
    <definedName name="NTDR" localSheetId="27">'[4]C. Input'!$F$234</definedName>
    <definedName name="NTDR">'[4]C. Input'!$F$234</definedName>
    <definedName name="NTPLT" localSheetId="1">'[4]C. Input'!$F$164</definedName>
    <definedName name="NTPLT" localSheetId="8">'[4]C. Input'!$F$164</definedName>
    <definedName name="NTPLT" localSheetId="27">'[4]C. Input'!$F$164</definedName>
    <definedName name="NTPLT">'[4]C. Input'!$F$164</definedName>
    <definedName name="NTSRR" localSheetId="1">'[4]B.2 NITS '!$P$220</definedName>
    <definedName name="NTSRR" localSheetId="8">'[4]B.2 NITS '!$P$220</definedName>
    <definedName name="NTSRR" localSheetId="27">'[4]B.2 NITS '!$P$220</definedName>
    <definedName name="NTSRR">'[4]B.2 NITS '!$P$220</definedName>
    <definedName name="NvsASD">"V1998-12-31"</definedName>
    <definedName name="NvsAutoDrillOk">"VN"</definedName>
    <definedName name="NvsElapsedTime">0.0393244212973514</definedName>
    <definedName name="NvsEndTime">36169.1265847222</definedName>
    <definedName name="NvsInstSpec">"%"</definedName>
    <definedName name="NvsLayoutType">"M3"</definedName>
    <definedName name="NvsNplSpec">"%,X,RZF..,CZF.."</definedName>
    <definedName name="NvsPanelEffdt">"V2050-01-01"</definedName>
    <definedName name="NvsPanelSetid">"VENT01"</definedName>
    <definedName name="NvsReqBU">"VENT02"</definedName>
    <definedName name="NvsReqBUOnly">"VY"</definedName>
    <definedName name="NvsTransLed">"VN"</definedName>
    <definedName name="NvsTreeASD">"V1998-12-31"</definedName>
    <definedName name="NvsValTbl.ACCOUNT">"GL_ACCOUNT_TBL"</definedName>
    <definedName name="NvsValTbl.E_LEGAL_ENTITY">"E_LE_TBL"</definedName>
    <definedName name="OCT">#N/A</definedName>
    <definedName name="ONE">#N/A</definedName>
    <definedName name="OTR_TST" localSheetId="1">'[4]A.2 PTP'!$P$129</definedName>
    <definedName name="OTR_TST" localSheetId="8">'[4]A.2 PTP'!$P$129</definedName>
    <definedName name="OTR_TST" localSheetId="27">'[4]A.2 PTP'!$P$129</definedName>
    <definedName name="OTR_TST">'[4]A.2 PTP'!$P$129</definedName>
    <definedName name="P_TYPE">#N/A</definedName>
    <definedName name="PAGE.1" localSheetId="1">#REF!</definedName>
    <definedName name="PAGE.1" localSheetId="10">#REF!</definedName>
    <definedName name="PAGE.1">#REF!</definedName>
    <definedName name="PAGE.2" localSheetId="1">#REF!</definedName>
    <definedName name="PAGE.2" localSheetId="10">#REF!</definedName>
    <definedName name="PAGE.2">#REF!</definedName>
    <definedName name="PAGE.4" localSheetId="1">#REF!</definedName>
    <definedName name="PAGE.4" localSheetId="10">#REF!</definedName>
    <definedName name="PAGE.4">#REF!</definedName>
    <definedName name="PAGE.5" localSheetId="1">#REF!</definedName>
    <definedName name="PAGE.5" localSheetId="10">#REF!</definedName>
    <definedName name="PAGE.5">#REF!</definedName>
    <definedName name="PAGE.6" localSheetId="1">#REF!</definedName>
    <definedName name="PAGE.6" localSheetId="10">#REF!</definedName>
    <definedName name="PAGE.6">#REF!</definedName>
    <definedName name="PAGE.7" localSheetId="1">#REF!</definedName>
    <definedName name="PAGE.7" localSheetId="10">#REF!</definedName>
    <definedName name="PAGE.7">#REF!</definedName>
    <definedName name="PAGE_2A" localSheetId="1">#REF!</definedName>
    <definedName name="PAGE_2A" localSheetId="10">#REF!</definedName>
    <definedName name="PAGE_2A" localSheetId="27">#REF!</definedName>
    <definedName name="PAGE_2A">#REF!</definedName>
    <definedName name="PAGE_3B" localSheetId="1">#REF!</definedName>
    <definedName name="PAGE_3B" localSheetId="10">#REF!</definedName>
    <definedName name="PAGE_3B" localSheetId="27">#REF!</definedName>
    <definedName name="PAGE_3B">#REF!</definedName>
    <definedName name="PAGE1" localSheetId="1">[7]FERCFACT!#REF!</definedName>
    <definedName name="PAGE1" localSheetId="8">[7]FERCFACT!#REF!</definedName>
    <definedName name="PAGE1" localSheetId="10">[7]FERCFACT!#REF!</definedName>
    <definedName name="PAGE1" localSheetId="15">[7]FERCFACT!#REF!</definedName>
    <definedName name="page1" localSheetId="20">'[10]W&amp;S by group'!#REF!</definedName>
    <definedName name="PAGE1" localSheetId="23">[7]FERCFACT!#REF!</definedName>
    <definedName name="PAGE1" localSheetId="27">#REF!</definedName>
    <definedName name="PAGE1">[7]FERCFACT!#REF!</definedName>
    <definedName name="page10" localSheetId="8">'[10]W&amp;S by group'!#REF!</definedName>
    <definedName name="page10" localSheetId="10">'[10]W&amp;S by group'!#REF!</definedName>
    <definedName name="page10" localSheetId="23">'[10]W&amp;S by group'!#REF!</definedName>
    <definedName name="page10">'[10]W&amp;S by group'!#REF!</definedName>
    <definedName name="page11" localSheetId="8">'[10]W&amp;S by group'!#REF!</definedName>
    <definedName name="page11" localSheetId="10">'[10]W&amp;S by group'!#REF!</definedName>
    <definedName name="page11" localSheetId="23">'[10]W&amp;S by group'!#REF!</definedName>
    <definedName name="page11">'[10]W&amp;S by group'!#REF!</definedName>
    <definedName name="page12" localSheetId="8">'[10]W&amp;S by group'!#REF!</definedName>
    <definedName name="page12" localSheetId="10">'[10]W&amp;S by group'!#REF!</definedName>
    <definedName name="page12" localSheetId="23">'[10]W&amp;S by group'!#REF!</definedName>
    <definedName name="page12">'[10]W&amp;S by group'!#REF!</definedName>
    <definedName name="page13" localSheetId="10">'[10]W&amp;S by group'!#REF!</definedName>
    <definedName name="page13">'[10]W&amp;S by group'!#REF!</definedName>
    <definedName name="page14" localSheetId="10">'[10]W&amp;S by group'!#REF!</definedName>
    <definedName name="page14">'[10]W&amp;S by group'!#REF!</definedName>
    <definedName name="page15" localSheetId="10">'[10]W&amp;S by group'!#REF!</definedName>
    <definedName name="page15">'[10]W&amp;S by group'!#REF!</definedName>
    <definedName name="page16" localSheetId="10">'[10]W&amp;S by group'!#REF!</definedName>
    <definedName name="page16">'[10]W&amp;S by group'!#REF!</definedName>
    <definedName name="PAGE1A" localSheetId="1">#REF!</definedName>
    <definedName name="PAGE1A" localSheetId="10">#REF!</definedName>
    <definedName name="PAGE1A" localSheetId="27">#REF!</definedName>
    <definedName name="PAGE1A">#REF!</definedName>
    <definedName name="PAGE2" localSheetId="1">#REF!</definedName>
    <definedName name="PAGE2" localSheetId="8">#REF!</definedName>
    <definedName name="PAGE2" localSheetId="10">#REF!</definedName>
    <definedName name="PAGE2" localSheetId="15">#REF!</definedName>
    <definedName name="PAGE2" localSheetId="19">#REF!</definedName>
    <definedName name="page2" localSheetId="20">'[10]W&amp;S by group'!#REF!</definedName>
    <definedName name="PAGE2" localSheetId="27">#REF!</definedName>
    <definedName name="PAGE2">#REF!</definedName>
    <definedName name="PAGE3" localSheetId="1">[7]FERCFACT!#REF!</definedName>
    <definedName name="PAGE3" localSheetId="8">[7]FERCFACT!#REF!</definedName>
    <definedName name="PAGE3" localSheetId="10">[7]FERCFACT!#REF!</definedName>
    <definedName name="PAGE3" localSheetId="15">[7]FERCFACT!#REF!</definedName>
    <definedName name="page3" localSheetId="20">'[10]W&amp;S by group'!#REF!</definedName>
    <definedName name="PAGE3" localSheetId="27">#REF!</definedName>
    <definedName name="PAGE3">[7]FERCFACT!#REF!</definedName>
    <definedName name="PAGE3A" localSheetId="1">#REF!</definedName>
    <definedName name="PAGE3A" localSheetId="10">#REF!</definedName>
    <definedName name="PAGE3A" localSheetId="27">#REF!</definedName>
    <definedName name="PAGE3A">#REF!</definedName>
    <definedName name="PAGE4" localSheetId="1">#REF!</definedName>
    <definedName name="PAGE4" localSheetId="8">#REF!</definedName>
    <definedName name="PAGE4" localSheetId="10">#REF!</definedName>
    <definedName name="PAGE4" localSheetId="15">#REF!</definedName>
    <definedName name="PAGE4" localSheetId="19">#REF!</definedName>
    <definedName name="page4" localSheetId="20">'[10]W&amp;S by group'!#REF!</definedName>
    <definedName name="PAGE4" localSheetId="23">#REF!</definedName>
    <definedName name="PAGE4" localSheetId="27">#REF!</definedName>
    <definedName name="PAGE4">#REF!</definedName>
    <definedName name="PAGE4A" localSheetId="1">#REF!</definedName>
    <definedName name="PAGE4A" localSheetId="10">#REF!</definedName>
    <definedName name="PAGE4A" localSheetId="27">#REF!</definedName>
    <definedName name="PAGE4A">#REF!</definedName>
    <definedName name="PAGE5" localSheetId="1">#REF!</definedName>
    <definedName name="PAGE5" localSheetId="8">#REF!</definedName>
    <definedName name="PAGE5" localSheetId="10">#REF!</definedName>
    <definedName name="PAGE5" localSheetId="19">#REF!</definedName>
    <definedName name="page5" localSheetId="20">#REF!</definedName>
    <definedName name="PAGE5" localSheetId="23">#REF!</definedName>
    <definedName name="PAGE5" localSheetId="27">#REF!</definedName>
    <definedName name="PAGE5">#REF!</definedName>
    <definedName name="PAGE6" localSheetId="1">#REF!</definedName>
    <definedName name="PAGE6" localSheetId="8">#REF!</definedName>
    <definedName name="PAGE6" localSheetId="10">#REF!</definedName>
    <definedName name="PAGE6" localSheetId="19">#REF!</definedName>
    <definedName name="page6" localSheetId="20">#REF!</definedName>
    <definedName name="PAGE6" localSheetId="23">#REF!</definedName>
    <definedName name="PAGE6" localSheetId="27">#REF!</definedName>
    <definedName name="PAGE6">#REF!</definedName>
    <definedName name="PAGE7" localSheetId="1">#REF!</definedName>
    <definedName name="PAGE7" localSheetId="8">#REF!</definedName>
    <definedName name="PAGE7" localSheetId="10">#REF!</definedName>
    <definedName name="PAGE7" localSheetId="15">#REF!</definedName>
    <definedName name="PAGE7" localSheetId="19">#REF!</definedName>
    <definedName name="page7" localSheetId="20">'[10]W&amp;S by group'!#REF!</definedName>
    <definedName name="PAGE7" localSheetId="23">#REF!</definedName>
    <definedName name="PAGE7" localSheetId="27">#REF!</definedName>
    <definedName name="PAGE7">#REF!</definedName>
    <definedName name="PAGE8" localSheetId="1">#REF!</definedName>
    <definedName name="PAGE8" localSheetId="8">#REF!</definedName>
    <definedName name="PAGE8" localSheetId="10">#REF!</definedName>
    <definedName name="PAGE8" localSheetId="15">#REF!</definedName>
    <definedName name="PAGE8" localSheetId="19">#REF!</definedName>
    <definedName name="page8" localSheetId="20">'[10]W&amp;S by group'!#REF!</definedName>
    <definedName name="PAGE8" localSheetId="23">#REF!</definedName>
    <definedName name="PAGE8">#REF!</definedName>
    <definedName name="PAGE9" localSheetId="1">#REF!</definedName>
    <definedName name="PAGE9" localSheetId="8">#REF!</definedName>
    <definedName name="PAGE9" localSheetId="10">#REF!</definedName>
    <definedName name="PAGE9" localSheetId="15">#REF!</definedName>
    <definedName name="PAGE9" localSheetId="19">#REF!</definedName>
    <definedName name="page9" localSheetId="20">'[10]W&amp;S by group'!#REF!</definedName>
    <definedName name="PAGE9" localSheetId="23">#REF!</definedName>
    <definedName name="PAGE9">#REF!</definedName>
    <definedName name="PageA" localSheetId="1">#REF!</definedName>
    <definedName name="PageA" localSheetId="10">#REF!</definedName>
    <definedName name="PageA" localSheetId="19">#REF!</definedName>
    <definedName name="PageA" localSheetId="23">#REF!</definedName>
    <definedName name="PageA">#REF!</definedName>
    <definedName name="PageB" localSheetId="1">#REF!</definedName>
    <definedName name="PageB" localSheetId="10">#REF!</definedName>
    <definedName name="PageB" localSheetId="19">#REF!</definedName>
    <definedName name="PageB">#REF!</definedName>
    <definedName name="PageC" localSheetId="1">#REF!</definedName>
    <definedName name="PageC" localSheetId="10">#REF!</definedName>
    <definedName name="PageC" localSheetId="19">#REF!</definedName>
    <definedName name="PageC">#REF!</definedName>
    <definedName name="PEAK">#N/A</definedName>
    <definedName name="PF" localSheetId="1">'[4]C. Input'!$F$35</definedName>
    <definedName name="PF" localSheetId="8">'[4]C. Input'!$F$35</definedName>
    <definedName name="PF" localSheetId="27">'[4]C. Input'!$F$35</definedName>
    <definedName name="PF">'[4]C. Input'!$F$35</definedName>
    <definedName name="PF_EAI" localSheetId="1">'[4]C. Input'!$I$35</definedName>
    <definedName name="PF_EAI" localSheetId="8">'[4]C. Input'!$I$35</definedName>
    <definedName name="PF_EAI" localSheetId="27">'[4]C. Input'!$I$35</definedName>
    <definedName name="PF_EAI">'[4]C. Input'!$I$35</definedName>
    <definedName name="PF_EGSI" localSheetId="1">'[4]C. Input'!$L$35</definedName>
    <definedName name="PF_EGSI" localSheetId="8">'[4]C. Input'!$L$35</definedName>
    <definedName name="PF_EGSI" localSheetId="27">'[4]C. Input'!$L$35</definedName>
    <definedName name="PF_EGSI">'[4]C. Input'!$L$35</definedName>
    <definedName name="PF_ELI" localSheetId="1">'[4]C. Input'!$O$35</definedName>
    <definedName name="PF_ELI" localSheetId="8">'[4]C. Input'!$O$35</definedName>
    <definedName name="PF_ELI" localSheetId="27">'[4]C. Input'!$O$35</definedName>
    <definedName name="PF_ELI">'[4]C. Input'!$O$35</definedName>
    <definedName name="PF_EMI" localSheetId="1">'[4]C. Input'!$R$35</definedName>
    <definedName name="PF_EMI" localSheetId="8">'[4]C. Input'!$R$35</definedName>
    <definedName name="PF_EMI" localSheetId="27">'[4]C. Input'!$R$35</definedName>
    <definedName name="PF_EMI">'[4]C. Input'!$R$35</definedName>
    <definedName name="PF_ENOI" localSheetId="1">'[4]C. Input'!$X$35</definedName>
    <definedName name="PF_ENOI" localSheetId="8">'[4]C. Input'!$X$35</definedName>
    <definedName name="PF_ENOI" localSheetId="27">'[4]C. Input'!$X$35</definedName>
    <definedName name="PF_ENOI">'[4]C. Input'!$X$35</definedName>
    <definedName name="PK_1">#N/A</definedName>
    <definedName name="PPLT" localSheetId="1">'[4]C. Input'!$F$152</definedName>
    <definedName name="PPLT" localSheetId="8">'[4]C. Input'!$F$152</definedName>
    <definedName name="PPLT" localSheetId="27">'[4]C. Input'!$F$152</definedName>
    <definedName name="PPLT">'[4]C. Input'!$F$152</definedName>
    <definedName name="PPT" localSheetId="1">'[4]C. Input'!$F$244</definedName>
    <definedName name="PPT" localSheetId="8">'[4]C. Input'!$F$244</definedName>
    <definedName name="PPT" localSheetId="27">'[4]C. Input'!$F$244</definedName>
    <definedName name="PPT">'[4]C. Input'!$F$244</definedName>
    <definedName name="PR" localSheetId="1">'[4]C. Input'!$F$25</definedName>
    <definedName name="PR" localSheetId="8">'[4]C. Input'!$F$25</definedName>
    <definedName name="PR" localSheetId="27">'[4]C. Input'!$F$25</definedName>
    <definedName name="PR">'[4]C. Input'!$F$25</definedName>
    <definedName name="_xlnm.Print_Area" localSheetId="2">'Appendix A'!$A:$H</definedName>
    <definedName name="_xlnm.Print_Area" localSheetId="0">'Explanatory Stmnts'!$A$1:$C$28</definedName>
    <definedName name="_xlnm.Print_Area" localSheetId="1">'MISO Cover'!$A$1:$K$239</definedName>
    <definedName name="_xlnm.Print_Area" localSheetId="31">'WP AJ1 MISO'!$A:$K</definedName>
    <definedName name="_xlnm.Print_Area" localSheetId="32">'WP AJ2 ITC'!$A$1:$F$68</definedName>
    <definedName name="_xlnm.Print_Area" localSheetId="33">'WP AJ3 GPRD'!$A$1:$E$30</definedName>
    <definedName name="_xlnm.Print_Area" localSheetId="4">'WP01 True-Up'!$A$1:$I$78</definedName>
    <definedName name="_xlnm.Print_Area" localSheetId="5">'WP01 TU Support'!$A$1:$I$82</definedName>
    <definedName name="_xlnm.Print_Area" localSheetId="6">'WP02 Support'!$A:$I</definedName>
    <definedName name="_xlnm.Print_Area" localSheetId="7">'WP03 W&amp;S'!$A$1:$D$37</definedName>
    <definedName name="_xlnm.Print_Area" localSheetId="8">'WP04 PIS'!$A:$L</definedName>
    <definedName name="_xlnm.Print_Area" localSheetId="9">'WP04 Support'!$A$1:$L$29</definedName>
    <definedName name="_xlnm.Print_Area" localSheetId="10">'WP05 CapAds'!$A$1:$D$28</definedName>
    <definedName name="_xlnm.Print_Area" localSheetId="11">'WP06 ADIT'!$A$1:$N$142</definedName>
    <definedName name="_xlnm.Print_Area" localSheetId="12">'WP06 ADIT Support'!$A$1:$F$43</definedName>
    <definedName name="_xlnm.Print_Area" localSheetId="13">'WP07 M&amp;S'!$A$1:$Q$14</definedName>
    <definedName name="_xlnm.Print_Area" localSheetId="14">'WP08 Prepay'!$A$1:$Q$68</definedName>
    <definedName name="_xlnm.Print_Area" localSheetId="15">'WP09 PHFU'!$A$1:$P$18</definedName>
    <definedName name="_xlnm.Print_Area" localSheetId="16">'WP10 Storm'!$A$1:$E$68</definedName>
    <definedName name="_xlnm.Print_Area" localSheetId="17">'WP11 Credits'!$A$1:$E$16</definedName>
    <definedName name="_xlnm.Print_Area" localSheetId="18">'WP12 PBOP'!$A$1:$C$16</definedName>
    <definedName name="_xlnm.Print_Area" localSheetId="19">'WP13 TOTI'!$A$1:$H$46</definedName>
    <definedName name="_xlnm.Print_Area" localSheetId="20">'WP14 COC'!$A$1:$J$57,'WP14 COC'!$K$1:$Q$48</definedName>
    <definedName name="_xlnm.Print_Area" localSheetId="21">'WP15 Radials'!$A$1:$G$106</definedName>
    <definedName name="_xlnm.Print_Area" localSheetId="22">'WP16 Interconn'!$A$1:$P$23</definedName>
    <definedName name="_xlnm.Print_Area" localSheetId="23">'WP17 Rev'!$A$1:$I$70</definedName>
    <definedName name="_xlnm.Print_Area" localSheetId="24">'WP17 Rev Support'!$A$1:$E$46</definedName>
    <definedName name="_xlnm.Print_Area" localSheetId="26">'WP18 Depr Support'!$A$1:$D$28</definedName>
    <definedName name="_xlnm.Print_Area" localSheetId="25">'WP18 Deprec'!$A$1:$F$56</definedName>
    <definedName name="_xlnm.Print_Area" localSheetId="27">'WP19 Load'!$A$1:$O$57</definedName>
    <definedName name="_xlnm.Print_Area" localSheetId="28">'WP20 Reserves'!$A$1:$Q$30</definedName>
    <definedName name="_xlnm.Print_Area" localSheetId="29">'WP21 Pension'!$A$1:$K$30</definedName>
    <definedName name="_xlnm.Print_Area">'[2]BC 2 2005BC'!#REF!</definedName>
    <definedName name="PRINT_AREA_MI" localSheetId="1">'[2]BC 2 2005BC'!#REF!</definedName>
    <definedName name="PRINT_AREA_MI" localSheetId="8">'[2]BC 2 2005BC'!#REF!</definedName>
    <definedName name="PRINT_AREA_MI" localSheetId="10">'[2]BC 2 2005BC'!#REF!</definedName>
    <definedName name="PRINT_AREA_MI" localSheetId="23">'[2]BC 2 2005BC'!#REF!</definedName>
    <definedName name="Print_Area_MI" localSheetId="27">#REF!</definedName>
    <definedName name="PRINT_AREA_MI">'[2]BC 2 2005BC'!#REF!</definedName>
    <definedName name="Print_Area_MI.1" localSheetId="1">#REF!</definedName>
    <definedName name="Print_Area_MI.1" localSheetId="10">#REF!</definedName>
    <definedName name="Print_Area_MI.1">#REF!</definedName>
    <definedName name="_xlnm.Print_Titles" localSheetId="2">'Appendix A'!$1:$6</definedName>
    <definedName name="_xlnm.Print_Titles" localSheetId="31">'WP AJ1 MISO'!$1:$11</definedName>
    <definedName name="_xlnm.Print_Titles" localSheetId="32">'WP AJ2 ITC'!$B:$C,'WP AJ2 ITC'!$1:$7</definedName>
    <definedName name="_xlnm.Print_Titles" localSheetId="4">'WP01 True-Up'!$1:$7</definedName>
    <definedName name="_xlnm.Print_Titles" localSheetId="5">'WP01 TU Support'!$1:$7</definedName>
    <definedName name="_xlnm.Print_Titles" localSheetId="6">'WP02 Support'!$1:$6</definedName>
    <definedName name="_xlnm.Print_Titles" localSheetId="8">'WP04 PIS'!$1:$3</definedName>
    <definedName name="_xlnm.Print_Titles" localSheetId="11">'WP06 ADIT'!$1:$7</definedName>
    <definedName name="_xlnm.Print_Titles" localSheetId="20">'WP14 COC'!$A:$C,'WP14 COC'!$1:$6</definedName>
    <definedName name="_xlnm.Print_Titles" localSheetId="21">'WP15 Radials'!$1:$11</definedName>
    <definedName name="_xlnm.Print_Titles" localSheetId="28">'WP20 Reserves'!$B:$C</definedName>
    <definedName name="PRINTFILE" localSheetId="1">#REF!</definedName>
    <definedName name="PRINTFILE" localSheetId="8">#REF!</definedName>
    <definedName name="PRINTFILE" localSheetId="10">#REF!</definedName>
    <definedName name="PRINTFILE" localSheetId="19">#REF!</definedName>
    <definedName name="PRINTFILE" localSheetId="23">#REF!</definedName>
    <definedName name="PRINTFILE">#REF!</definedName>
    <definedName name="PROJ_WOTextLen" localSheetId="1">#REF!</definedName>
    <definedName name="PROJ_WOTextLen" localSheetId="8">#REF!</definedName>
    <definedName name="PROJ_WOTextLen" localSheetId="10">#REF!</definedName>
    <definedName name="PROJ_WOTextLen" localSheetId="19">#REF!</definedName>
    <definedName name="PROJ_WOTextLen" localSheetId="23">#REF!</definedName>
    <definedName name="PROJ_WOTextLen">#REF!</definedName>
    <definedName name="Projection" localSheetId="1">'[5]Appendix A'!$H$7</definedName>
    <definedName name="Projection">'[5]Appendix A'!$H$7</definedName>
    <definedName name="PSLJ8LG">#N/A</definedName>
    <definedName name="PSOKI6">#N/A</definedName>
    <definedName name="PXAG" localSheetId="1">'[4]C. Input'!$F$185</definedName>
    <definedName name="PXAG" localSheetId="8">'[4]C. Input'!$F$185</definedName>
    <definedName name="PXAG" localSheetId="27">'[4]C. Input'!$F$185</definedName>
    <definedName name="PXAG">'[4]C. Input'!$F$185</definedName>
    <definedName name="PXAG_561" localSheetId="1">'[4]C. Input'!#REF!</definedName>
    <definedName name="PXAG_561" localSheetId="8">'[4]C. Input'!#REF!</definedName>
    <definedName name="PXAG_561" localSheetId="10">'[4]C. Input'!#REF!</definedName>
    <definedName name="PXAG_561" localSheetId="27">'[4]C. Input'!#REF!</definedName>
    <definedName name="PXAG_561">'[4]C. Input'!#REF!</definedName>
    <definedName name="PXAG_EAI" localSheetId="1">'[4]C. Input'!#REF!</definedName>
    <definedName name="PXAG_EAI" localSheetId="8">'[4]C. Input'!#REF!</definedName>
    <definedName name="PXAG_EAI" localSheetId="10">'[4]C. Input'!#REF!</definedName>
    <definedName name="PXAG_EAI" localSheetId="27">'[4]C. Input'!#REF!</definedName>
    <definedName name="PXAG_EAI">'[4]C. Input'!#REF!</definedName>
    <definedName name="PXAG_EGSI" localSheetId="1">'[4]C. Input'!#REF!</definedName>
    <definedName name="PXAG_EGSI" localSheetId="8">'[4]C. Input'!#REF!</definedName>
    <definedName name="PXAG_EGSI" localSheetId="10">'[4]C. Input'!#REF!</definedName>
    <definedName name="PXAG_EGSI" localSheetId="27">'[4]C. Input'!#REF!</definedName>
    <definedName name="PXAG_EGSI">'[4]C. Input'!#REF!</definedName>
    <definedName name="PXAG_ELI" localSheetId="1">'[4]C. Input'!#REF!</definedName>
    <definedName name="PXAG_ELI" localSheetId="8">'[4]C. Input'!#REF!</definedName>
    <definedName name="PXAG_ELI" localSheetId="10">'[4]C. Input'!#REF!</definedName>
    <definedName name="PXAG_ELI" localSheetId="27">'[4]C. Input'!#REF!</definedName>
    <definedName name="PXAG_ELI">'[4]C. Input'!#REF!</definedName>
    <definedName name="PXAG_EMI" localSheetId="1">'[4]C. Input'!#REF!</definedName>
    <definedName name="PXAG_EMI" localSheetId="8">'[4]C. Input'!#REF!</definedName>
    <definedName name="PXAG_EMI" localSheetId="10">'[4]C. Input'!#REF!</definedName>
    <definedName name="PXAG_EMI" localSheetId="27">'[4]C. Input'!#REF!</definedName>
    <definedName name="PXAG_EMI">'[4]C. Input'!#REF!</definedName>
    <definedName name="PXAG_ENOI" localSheetId="1">'[4]C. Input'!#REF!</definedName>
    <definedName name="PXAG_ENOI" localSheetId="8">'[4]C. Input'!#REF!</definedName>
    <definedName name="PXAG_ENOI" localSheetId="10">'[4]C. Input'!#REF!</definedName>
    <definedName name="PXAG_ENOI" localSheetId="27">'[4]C. Input'!#REF!</definedName>
    <definedName name="PXAG_ENOI">'[4]C. Input'!#REF!</definedName>
    <definedName name="PXAGBAD" localSheetId="1">'[4]C. Input'!#REF!</definedName>
    <definedName name="PXAGBAD" localSheetId="8">'[4]C. Input'!#REF!</definedName>
    <definedName name="PXAGBAD" localSheetId="10">'[4]C. Input'!#REF!</definedName>
    <definedName name="PXAGBAD" localSheetId="27">'[4]C. Input'!#REF!</definedName>
    <definedName name="PXAGBAD">'[4]C. Input'!#REF!</definedName>
    <definedName name="PYTX" localSheetId="1">'[4]C. Input'!$F$220</definedName>
    <definedName name="PYTX" localSheetId="8">'[4]C. Input'!$F$220</definedName>
    <definedName name="PYTX" localSheetId="27">'[4]C. Input'!$F$220</definedName>
    <definedName name="PYTX">'[4]C. Input'!$F$220</definedName>
    <definedName name="Q" localSheetId="1">#REF!</definedName>
    <definedName name="Q" localSheetId="8">#REF!</definedName>
    <definedName name="Q" localSheetId="10">#REF!</definedName>
    <definedName name="Q" localSheetId="19">#REF!</definedName>
    <definedName name="Q" localSheetId="23">#REF!</definedName>
    <definedName name="Q">#REF!</definedName>
    <definedName name="RA" localSheetId="1">'[4]C. Input'!$F$343</definedName>
    <definedName name="RA" localSheetId="8">'[4]C. Input'!$F$343</definedName>
    <definedName name="RA" localSheetId="27">'[4]C. Input'!$F$343</definedName>
    <definedName name="RA">'[4]C. Input'!$F$343</definedName>
    <definedName name="RECAP" localSheetId="1">#REF!</definedName>
    <definedName name="RECAP" localSheetId="10">#REF!</definedName>
    <definedName name="RECAP" localSheetId="27">#REF!</definedName>
    <definedName name="RECAP">#REF!</definedName>
    <definedName name="_xlnm.Recorder" localSheetId="1">#REF!</definedName>
    <definedName name="_xlnm.Recorder" localSheetId="8">#REF!</definedName>
    <definedName name="_xlnm.Recorder" localSheetId="10">#REF!</definedName>
    <definedName name="_xlnm.Recorder" localSheetId="19">#REF!</definedName>
    <definedName name="_xlnm.Recorder" localSheetId="23">#REF!</definedName>
    <definedName name="_xlnm.Recorder">#REF!</definedName>
    <definedName name="RES_CPB" localSheetId="1">#REF!</definedName>
    <definedName name="RES_CPB" localSheetId="8">#REF!</definedName>
    <definedName name="RES_CPB" localSheetId="10">#REF!</definedName>
    <definedName name="RES_CPB" localSheetId="19">#REF!</definedName>
    <definedName name="RES_CPB" localSheetId="23">#REF!</definedName>
    <definedName name="RES_CPB">#REF!</definedName>
    <definedName name="retail" localSheetId="1" hidden="1">{#N/A,#N/A,FALSE,"Loans";#N/A,#N/A,FALSE,"Program Costs";#N/A,#N/A,FALSE,"Measures";#N/A,#N/A,FALSE,"Net Lost Rev";#N/A,#N/A,FALSE,"Incentive"}</definedName>
    <definedName name="retail" localSheetId="26"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26"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26" hidden="1">{#N/A,#N/A,FALSE,"Loans";#N/A,#N/A,FALSE,"Program Costs";#N/A,#N/A,FALSE,"Measures";#N/A,#N/A,FALSE,"Net Lost Rev";#N/A,#N/A,FALSE,"Incentive"}</definedName>
    <definedName name="retail_CC1" hidden="1">{#N/A,#N/A,FALSE,"Loans";#N/A,#N/A,FALSE,"Program Costs";#N/A,#N/A,FALSE,"Measures";#N/A,#N/A,FALSE,"Net Lost Rev";#N/A,#N/A,FALSE,"Incentive"}</definedName>
    <definedName name="RID" localSheetId="1">#REF!</definedName>
    <definedName name="RID" localSheetId="10">#REF!</definedName>
    <definedName name="RID" localSheetId="27">#REF!</definedName>
    <definedName name="RID">#REF!</definedName>
    <definedName name="right">OFFSET(!A1,0,1)</definedName>
    <definedName name="RRE" localSheetId="1">'[4]C. Input'!$F$207</definedName>
    <definedName name="RRE" localSheetId="8">'[4]C. Input'!$F$207</definedName>
    <definedName name="RRE" localSheetId="27">'[4]C. Input'!$F$207</definedName>
    <definedName name="RRE">'[4]C. Input'!$F$207</definedName>
    <definedName name="RTX" localSheetId="1">'[4]C. Input'!$F$222</definedName>
    <definedName name="RTX" localSheetId="8">'[4]C. Input'!$F$222</definedName>
    <definedName name="RTX" localSheetId="27">'[4]C. Input'!$F$222</definedName>
    <definedName name="RTX">'[4]C. Input'!$F$222</definedName>
    <definedName name="S" localSheetId="1">'[4]C. Input'!$F$76</definedName>
    <definedName name="S" localSheetId="8">'[4]C. Input'!$F$76</definedName>
    <definedName name="S" localSheetId="27">'[4]C. Input'!$F$76</definedName>
    <definedName name="S">'[4]C. Input'!$F$76</definedName>
    <definedName name="SAPBEXrevision" hidden="1">1</definedName>
    <definedName name="SAPBEXsysID" hidden="1">"BWP"</definedName>
    <definedName name="SAPBEXwbID" hidden="1">"45EQYSCWE9WJMGB34OOD1BOQZ"</definedName>
    <definedName name="SECUR_GI" localSheetId="1">'[4]C. Input'!$F$353</definedName>
    <definedName name="SECUR_GI" localSheetId="8">'[4]C. Input'!$F$353</definedName>
    <definedName name="SECUR_GI" localSheetId="27">'[4]C. Input'!$F$353</definedName>
    <definedName name="SECUR_GI">'[4]C. Input'!$F$353</definedName>
    <definedName name="SECUR_IS" localSheetId="1">'[4]C. Input'!$F$357</definedName>
    <definedName name="SECUR_IS" localSheetId="8">'[4]C. Input'!$F$357</definedName>
    <definedName name="SECUR_IS" localSheetId="27">'[4]C. Input'!$F$357</definedName>
    <definedName name="SECUR_IS">'[4]C. Input'!$F$357</definedName>
    <definedName name="SECUR_KR" localSheetId="1">'[4]C. Input'!$F$349</definedName>
    <definedName name="SECUR_KR" localSheetId="8">'[4]C. Input'!$F$349</definedName>
    <definedName name="SECUR_KR" localSheetId="27">'[4]C. Input'!$F$349</definedName>
    <definedName name="SECUR_KR">'[4]C. Input'!$F$349</definedName>
    <definedName name="SELECT">#N/A</definedName>
    <definedName name="SEP">#N/A</definedName>
    <definedName name="SEVEN">#N/A</definedName>
    <definedName name="shit" localSheetId="1" hidden="1">{"PRINT",#N/A,TRUE,"APPA";"PRINT",#N/A,TRUE,"APS";"PRINT",#N/A,TRUE,"BHPL";"PRINT",#N/A,TRUE,"BHPL2";"PRINT",#N/A,TRUE,"CDWR";"PRINT",#N/A,TRUE,"EWEB";"PRINT",#N/A,TRUE,"LADWP";"PRINT",#N/A,TRUE,"NEVBASE"}</definedName>
    <definedName name="shit" localSheetId="26"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X">#N/A</definedName>
    <definedName name="SORT">#N/A</definedName>
    <definedName name="SPACE">#N/A</definedName>
    <definedName name="Spot_Purchases_and_Tailgate" localSheetId="1">#REF!</definedName>
    <definedName name="Spot_Purchases_and_Tailgate" localSheetId="8">#REF!</definedName>
    <definedName name="Spot_Purchases_and_Tailgate" localSheetId="10">#REF!</definedName>
    <definedName name="Spot_Purchases_and_Tailgate" localSheetId="19">#REF!</definedName>
    <definedName name="Spot_Purchases_and_Tailgate" localSheetId="23">#REF!</definedName>
    <definedName name="Spot_Purchases_and_Tailgate">#REF!</definedName>
    <definedName name="SPOTE_04" localSheetId="1">#REF!</definedName>
    <definedName name="SPOTE_04" localSheetId="8">#REF!</definedName>
    <definedName name="SPOTE_04" localSheetId="10">#REF!</definedName>
    <definedName name="SPOTE_04" localSheetId="19">#REF!</definedName>
    <definedName name="SPOTE_04" localSheetId="23">#REF!</definedName>
    <definedName name="SPOTE_04">#REF!</definedName>
    <definedName name="START" localSheetId="1">#REF!</definedName>
    <definedName name="START" localSheetId="8">#REF!</definedName>
    <definedName name="START" localSheetId="10">#REF!</definedName>
    <definedName name="START" localSheetId="19">#REF!</definedName>
    <definedName name="START" localSheetId="23">#REF!</definedName>
    <definedName name="START">#REF!</definedName>
    <definedName name="STARTCR" localSheetId="1">#REF!</definedName>
    <definedName name="STARTCR" localSheetId="10">#REF!</definedName>
    <definedName name="STARTCR" localSheetId="19">#REF!</definedName>
    <definedName name="STARTCR">#REF!</definedName>
    <definedName name="STARTDR" localSheetId="1">#REF!</definedName>
    <definedName name="STARTDR" localSheetId="10">#REF!</definedName>
    <definedName name="STARTDR" localSheetId="19">#REF!</definedName>
    <definedName name="STARTDR">#REF!</definedName>
    <definedName name="SUBTITLE">#N/A</definedName>
    <definedName name="SUMMARY" localSheetId="1">#REF!</definedName>
    <definedName name="SUMMARY" localSheetId="10">#REF!</definedName>
    <definedName name="SUMMARY" localSheetId="27">#REF!</definedName>
    <definedName name="SUMMARY">#REF!</definedName>
    <definedName name="SUPPORTING_DATA_TO_UPLOAD" localSheetId="1">#REF!</definedName>
    <definedName name="SUPPORTING_DATA_TO_UPLOAD" localSheetId="8">#REF!</definedName>
    <definedName name="SUPPORTING_DATA_TO_UPLOAD" localSheetId="10">#REF!</definedName>
    <definedName name="SUPPORTING_DATA_TO_UPLOAD" localSheetId="19">#REF!</definedName>
    <definedName name="SUPPORTING_DATA_TO_UPLOAD" localSheetId="23">#REF!</definedName>
    <definedName name="SUPPORTING_DATA_TO_UPLOAD">#REF!</definedName>
    <definedName name="suz" localSheetId="8">'[2]BC 2 2005BC'!#REF!</definedName>
    <definedName name="suz" localSheetId="10">'[2]BC 2 2005BC'!#REF!</definedName>
    <definedName name="suz" localSheetId="23">'[2]BC 2 2005BC'!#REF!</definedName>
    <definedName name="suz">'[2]BC 2 2005BC'!#REF!</definedName>
    <definedName name="TABLE4_1" localSheetId="1">#REF!</definedName>
    <definedName name="TABLE4_1" localSheetId="10">#REF!</definedName>
    <definedName name="TABLE4_1" localSheetId="27">#REF!</definedName>
    <definedName name="TABLE4_1">#REF!</definedName>
    <definedName name="TABLE4_2" localSheetId="1">#REF!</definedName>
    <definedName name="TABLE4_2" localSheetId="10">#REF!</definedName>
    <definedName name="TABLE4_2" localSheetId="27">#REF!</definedName>
    <definedName name="TABLE4_2">#REF!</definedName>
    <definedName name="TDR_ITC" localSheetId="1">'[4]C. Input'!#REF!</definedName>
    <definedName name="TDR_ITC" localSheetId="8">'[4]C. Input'!#REF!</definedName>
    <definedName name="TDR_ITC" localSheetId="10">'[4]C. Input'!#REF!</definedName>
    <definedName name="TDR_ITC" localSheetId="15">'[4]C. Input'!#REF!</definedName>
    <definedName name="TDR_ITC" localSheetId="27">'[4]C. Input'!#REF!</definedName>
    <definedName name="TDR_ITC">'[4]C. Input'!#REF!</definedName>
    <definedName name="TDR_TD" localSheetId="1">'[4]C. Input'!#REF!</definedName>
    <definedName name="TDR_TD" localSheetId="8">'[4]C. Input'!#REF!</definedName>
    <definedName name="TDR_TD" localSheetId="10">'[4]C. Input'!#REF!</definedName>
    <definedName name="TDR_TD" localSheetId="15">'[4]C. Input'!#REF!</definedName>
    <definedName name="TDR_TD" localSheetId="27">'[4]C. Input'!#REF!</definedName>
    <definedName name="TDR_TD">'[4]C. Input'!#REF!</definedName>
    <definedName name="TDRXS" localSheetId="1">'[4]C. Input'!$F$234</definedName>
    <definedName name="TDRXS" localSheetId="8">'[4]C. Input'!$F$234</definedName>
    <definedName name="TDRXS" localSheetId="27">'[4]C. Input'!$F$234</definedName>
    <definedName name="TDRXS">'[4]C. Input'!$F$234</definedName>
    <definedName name="TDX" localSheetId="1">'[4]C. Input'!$F$304</definedName>
    <definedName name="TDX" localSheetId="8">'[4]C. Input'!$F$304</definedName>
    <definedName name="TDX" localSheetId="27">'[4]C. Input'!$F$304</definedName>
    <definedName name="TDX">'[4]C. Input'!$F$304</definedName>
    <definedName name="TDX_TD" localSheetId="1">'[4]C. Input'!#REF!</definedName>
    <definedName name="TDX_TD" localSheetId="8">'[4]C. Input'!#REF!</definedName>
    <definedName name="TDX_TD" localSheetId="10">'[4]C. Input'!#REF!</definedName>
    <definedName name="TDX_TD" localSheetId="27">'[4]C. Input'!#REF!</definedName>
    <definedName name="TDX_TD">'[4]C. Input'!#REF!</definedName>
    <definedName name="TEN">#N/A</definedName>
    <definedName name="TEQ" localSheetId="1">'[4]C. Input'!$F$277</definedName>
    <definedName name="TEQ" localSheetId="8">'[4]C. Input'!$F$277</definedName>
    <definedName name="TEQ" localSheetId="27">'[4]C. Input'!$F$277</definedName>
    <definedName name="TEQ">'[4]C. Input'!$F$277</definedName>
    <definedName name="test" localSheetId="1" hidden="1">{"LBO Summary",#N/A,FALSE,"Summary"}</definedName>
    <definedName name="test" localSheetId="8" hidden="1">{"LBO Summary",#N/A,FALSE,"Summary"}</definedName>
    <definedName name="test" localSheetId="15" hidden="1">{"LBO Summary",#N/A,FALSE,"Summary"}</definedName>
    <definedName name="test" localSheetId="26" hidden="1">{"LBO Summary",#N/A,FALSE,"Summary"}</definedName>
    <definedName name="test" localSheetId="27" hidden="1">{"LBO Summary",#N/A,FALSE,"Summary"}</definedName>
    <definedName name="test" hidden="1">{"LBO Summary",#N/A,FALSE,"Summary"}</definedName>
    <definedName name="test1" localSheetId="1" hidden="1">{"LBO Summary",#N/A,FALSE,"Summary";"Income Statement",#N/A,FALSE,"Model";"Cash Flow",#N/A,FALSE,"Model";"Balance Sheet",#N/A,FALSE,"Model";"Working Capital",#N/A,FALSE,"Model";"Pro Forma Balance Sheets",#N/A,FALSE,"PFBS";"Debt Balances",#N/A,FALSE,"Model";"Fee Schedules",#N/A,FALSE,"Model"}</definedName>
    <definedName name="test1" localSheetId="8" hidden="1">{"LBO Summary",#N/A,FALSE,"Summary";"Income Statement",#N/A,FALSE,"Model";"Cash Flow",#N/A,FALSE,"Model";"Balance Sheet",#N/A,FALSE,"Model";"Working Capital",#N/A,FALSE,"Model";"Pro Forma Balance Sheets",#N/A,FALSE,"PFBS";"Debt Balances",#N/A,FALSE,"Model";"Fee Schedules",#N/A,FALSE,"Model"}</definedName>
    <definedName name="test1" localSheetId="15" hidden="1">{"LBO Summary",#N/A,FALSE,"Summary";"Income Statement",#N/A,FALSE,"Model";"Cash Flow",#N/A,FALSE,"Model";"Balance Sheet",#N/A,FALSE,"Model";"Working Capital",#N/A,FALSE,"Model";"Pro Forma Balance Sheets",#N/A,FALSE,"PFBS";"Debt Balances",#N/A,FALSE,"Model";"Fee Schedules",#N/A,FALSE,"Model"}</definedName>
    <definedName name="test1" localSheetId="26" hidden="1">{"LBO Summary",#N/A,FALSE,"Summary";"Income Statement",#N/A,FALSE,"Model";"Cash Flow",#N/A,FALSE,"Model";"Balance Sheet",#N/A,FALSE,"Model";"Working Capital",#N/A,FALSE,"Model";"Pro Forma Balance Sheets",#N/A,FALSE,"PFBS";"Debt Balances",#N/A,FALSE,"Model";"Fee Schedules",#N/A,FALSE,"Model"}</definedName>
    <definedName name="test1" localSheetId="27" hidden="1">{"LBO Summary",#N/A,FALSE,"Summary";"Income Statement",#N/A,FALSE,"Model";"Cash Flow",#N/A,FALSE,"Model";"Balance Sheet",#N/A,FALSE,"Model";"Working Capital",#N/A,FALSE,"Model";"Pro Forma Balance Sheets",#N/A,FALSE,"PFBS";"Debt Balances",#N/A,FALSE,"Model";"Fee Schedules",#N/A,FALSE,"Model"}</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localSheetId="1" hidden="1">{"LBO Summary",#N/A,FALSE,"Summary";"Income Statement",#N/A,FALSE,"Model";"Cash Flow",#N/A,FALSE,"Model";"Balance Sheet",#N/A,FALSE,"Model";"Working Capital",#N/A,FALSE,"Model";"Pro Forma Balance Sheets",#N/A,FALSE,"PFBS";"Debt Balances",#N/A,FALSE,"Model";"Fee Schedules",#N/A,FALSE,"Model"}</definedName>
    <definedName name="test10" localSheetId="8" hidden="1">{"LBO Summary",#N/A,FALSE,"Summary";"Income Statement",#N/A,FALSE,"Model";"Cash Flow",#N/A,FALSE,"Model";"Balance Sheet",#N/A,FALSE,"Model";"Working Capital",#N/A,FALSE,"Model";"Pro Forma Balance Sheets",#N/A,FALSE,"PFBS";"Debt Balances",#N/A,FALSE,"Model";"Fee Schedules",#N/A,FALSE,"Model"}</definedName>
    <definedName name="test10" localSheetId="15" hidden="1">{"LBO Summary",#N/A,FALSE,"Summary";"Income Statement",#N/A,FALSE,"Model";"Cash Flow",#N/A,FALSE,"Model";"Balance Sheet",#N/A,FALSE,"Model";"Working Capital",#N/A,FALSE,"Model";"Pro Forma Balance Sheets",#N/A,FALSE,"PFBS";"Debt Balances",#N/A,FALSE,"Model";"Fee Schedules",#N/A,FALSE,"Model"}</definedName>
    <definedName name="test10" localSheetId="26" hidden="1">{"LBO Summary",#N/A,FALSE,"Summary";"Income Statement",#N/A,FALSE,"Model";"Cash Flow",#N/A,FALSE,"Model";"Balance Sheet",#N/A,FALSE,"Model";"Working Capital",#N/A,FALSE,"Model";"Pro Forma Balance Sheets",#N/A,FALSE,"PFBS";"Debt Balances",#N/A,FALSE,"Model";"Fee Schedules",#N/A,FALSE,"Model"}</definedName>
    <definedName name="test10" localSheetId="27"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1" hidden="1">{"LBO Summary",#N/A,FALSE,"Summary"}</definedName>
    <definedName name="test11" localSheetId="8" hidden="1">{"LBO Summary",#N/A,FALSE,"Summary"}</definedName>
    <definedName name="test11" localSheetId="15" hidden="1">{"LBO Summary",#N/A,FALSE,"Summary"}</definedName>
    <definedName name="test11" localSheetId="26" hidden="1">{"LBO Summary",#N/A,FALSE,"Summary"}</definedName>
    <definedName name="test11" localSheetId="27" hidden="1">{"LBO Summary",#N/A,FALSE,"Summary"}</definedName>
    <definedName name="test11" hidden="1">{"LBO Summary",#N/A,FALSE,"Summary"}</definedName>
    <definedName name="test12" localSheetId="1" hidden="1">{"assumptions",#N/A,FALSE,"Scenario 1";"valuation",#N/A,FALSE,"Scenario 1"}</definedName>
    <definedName name="test12" localSheetId="8" hidden="1">{"assumptions",#N/A,FALSE,"Scenario 1";"valuation",#N/A,FALSE,"Scenario 1"}</definedName>
    <definedName name="test12" localSheetId="15" hidden="1">{"assumptions",#N/A,FALSE,"Scenario 1";"valuation",#N/A,FALSE,"Scenario 1"}</definedName>
    <definedName name="test12" localSheetId="26" hidden="1">{"assumptions",#N/A,FALSE,"Scenario 1";"valuation",#N/A,FALSE,"Scenario 1"}</definedName>
    <definedName name="test12" localSheetId="27" hidden="1">{"assumptions",#N/A,FALSE,"Scenario 1";"valuation",#N/A,FALSE,"Scenario 1"}</definedName>
    <definedName name="test12" hidden="1">{"assumptions",#N/A,FALSE,"Scenario 1";"valuation",#N/A,FALSE,"Scenario 1"}</definedName>
    <definedName name="test13" localSheetId="1" hidden="1">{"LBO Summary",#N/A,FALSE,"Summary"}</definedName>
    <definedName name="test13" localSheetId="8" hidden="1">{"LBO Summary",#N/A,FALSE,"Summary"}</definedName>
    <definedName name="test13" localSheetId="15" hidden="1">{"LBO Summary",#N/A,FALSE,"Summary"}</definedName>
    <definedName name="test13" localSheetId="26" hidden="1">{"LBO Summary",#N/A,FALSE,"Summary"}</definedName>
    <definedName name="test13" localSheetId="27" hidden="1">{"LBO Summary",#N/A,FALSE,"Summary"}</definedName>
    <definedName name="test13" hidden="1">{"LBO Summary",#N/A,FALSE,"Summary"}</definedName>
    <definedName name="test14" localSheetId="1" hidden="1">{"LBO Summary",#N/A,FALSE,"Summary";"Income Statement",#N/A,FALSE,"Model";"Cash Flow",#N/A,FALSE,"Model";"Balance Sheet",#N/A,FALSE,"Model";"Working Capital",#N/A,FALSE,"Model";"Pro Forma Balance Sheets",#N/A,FALSE,"PFBS";"Debt Balances",#N/A,FALSE,"Model";"Fee Schedules",#N/A,FALSE,"Model"}</definedName>
    <definedName name="test14" localSheetId="8" hidden="1">{"LBO Summary",#N/A,FALSE,"Summary";"Income Statement",#N/A,FALSE,"Model";"Cash Flow",#N/A,FALSE,"Model";"Balance Sheet",#N/A,FALSE,"Model";"Working Capital",#N/A,FALSE,"Model";"Pro Forma Balance Sheets",#N/A,FALSE,"PFBS";"Debt Balances",#N/A,FALSE,"Model";"Fee Schedules",#N/A,FALSE,"Model"}</definedName>
    <definedName name="test14" localSheetId="15" hidden="1">{"LBO Summary",#N/A,FALSE,"Summary";"Income Statement",#N/A,FALSE,"Model";"Cash Flow",#N/A,FALSE,"Model";"Balance Sheet",#N/A,FALSE,"Model";"Working Capital",#N/A,FALSE,"Model";"Pro Forma Balance Sheets",#N/A,FALSE,"PFBS";"Debt Balances",#N/A,FALSE,"Model";"Fee Schedules",#N/A,FALSE,"Model"}</definedName>
    <definedName name="test14" localSheetId="26" hidden="1">{"LBO Summary",#N/A,FALSE,"Summary";"Income Statement",#N/A,FALSE,"Model";"Cash Flow",#N/A,FALSE,"Model";"Balance Sheet",#N/A,FALSE,"Model";"Working Capital",#N/A,FALSE,"Model";"Pro Forma Balance Sheets",#N/A,FALSE,"PFBS";"Debt Balances",#N/A,FALSE,"Model";"Fee Schedules",#N/A,FALSE,"Model"}</definedName>
    <definedName name="test14" localSheetId="27"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1" hidden="1">{"LBO Summary",#N/A,FALSE,"Summary";"Income Statement",#N/A,FALSE,"Model";"Cash Flow",#N/A,FALSE,"Model";"Balance Sheet",#N/A,FALSE,"Model";"Working Capital",#N/A,FALSE,"Model";"Pro Forma Balance Sheets",#N/A,FALSE,"PFBS";"Debt Balances",#N/A,FALSE,"Model";"Fee Schedules",#N/A,FALSE,"Model"}</definedName>
    <definedName name="test15" localSheetId="8" hidden="1">{"LBO Summary",#N/A,FALSE,"Summary";"Income Statement",#N/A,FALSE,"Model";"Cash Flow",#N/A,FALSE,"Model";"Balance Sheet",#N/A,FALSE,"Model";"Working Capital",#N/A,FALSE,"Model";"Pro Forma Balance Sheets",#N/A,FALSE,"PFBS";"Debt Balances",#N/A,FALSE,"Model";"Fee Schedules",#N/A,FALSE,"Model"}</definedName>
    <definedName name="test15" localSheetId="15" hidden="1">{"LBO Summary",#N/A,FALSE,"Summary";"Income Statement",#N/A,FALSE,"Model";"Cash Flow",#N/A,FALSE,"Model";"Balance Sheet",#N/A,FALSE,"Model";"Working Capital",#N/A,FALSE,"Model";"Pro Forma Balance Sheets",#N/A,FALSE,"PFBS";"Debt Balances",#N/A,FALSE,"Model";"Fee Schedules",#N/A,FALSE,"Model"}</definedName>
    <definedName name="test15" localSheetId="26" hidden="1">{"LBO Summary",#N/A,FALSE,"Summary";"Income Statement",#N/A,FALSE,"Model";"Cash Flow",#N/A,FALSE,"Model";"Balance Sheet",#N/A,FALSE,"Model";"Working Capital",#N/A,FALSE,"Model";"Pro Forma Balance Sheets",#N/A,FALSE,"PFBS";"Debt Balances",#N/A,FALSE,"Model";"Fee Schedules",#N/A,FALSE,"Model"}</definedName>
    <definedName name="test15" localSheetId="27"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1" hidden="1">{"LBO Summary",#N/A,FALSE,"Summary";"Income Statement",#N/A,FALSE,"Model";"Cash Flow",#N/A,FALSE,"Model";"Balance Sheet",#N/A,FALSE,"Model";"Working Capital",#N/A,FALSE,"Model";"Pro Forma Balance Sheets",#N/A,FALSE,"PFBS";"Debt Balances",#N/A,FALSE,"Model";"Fee Schedules",#N/A,FALSE,"Model"}</definedName>
    <definedName name="test16" localSheetId="8" hidden="1">{"LBO Summary",#N/A,FALSE,"Summary";"Income Statement",#N/A,FALSE,"Model";"Cash Flow",#N/A,FALSE,"Model";"Balance Sheet",#N/A,FALSE,"Model";"Working Capital",#N/A,FALSE,"Model";"Pro Forma Balance Sheets",#N/A,FALSE,"PFBS";"Debt Balances",#N/A,FALSE,"Model";"Fee Schedules",#N/A,FALSE,"Model"}</definedName>
    <definedName name="test16" localSheetId="15" hidden="1">{"LBO Summary",#N/A,FALSE,"Summary";"Income Statement",#N/A,FALSE,"Model";"Cash Flow",#N/A,FALSE,"Model";"Balance Sheet",#N/A,FALSE,"Model";"Working Capital",#N/A,FALSE,"Model";"Pro Forma Balance Sheets",#N/A,FALSE,"PFBS";"Debt Balances",#N/A,FALSE,"Model";"Fee Schedules",#N/A,FALSE,"Model"}</definedName>
    <definedName name="test16" localSheetId="26" hidden="1">{"LBO Summary",#N/A,FALSE,"Summary";"Income Statement",#N/A,FALSE,"Model";"Cash Flow",#N/A,FALSE,"Model";"Balance Sheet",#N/A,FALSE,"Model";"Working Capital",#N/A,FALSE,"Model";"Pro Forma Balance Sheets",#N/A,FALSE,"PFBS";"Debt Balances",#N/A,FALSE,"Model";"Fee Schedules",#N/A,FALSE,"Model"}</definedName>
    <definedName name="test16" localSheetId="27"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1" hidden="1">{"LBO Summary",#N/A,FALSE,"Summary"}</definedName>
    <definedName name="test2" localSheetId="8" hidden="1">{"LBO Summary",#N/A,FALSE,"Summary"}</definedName>
    <definedName name="test2" localSheetId="15" hidden="1">{"LBO Summary",#N/A,FALSE,"Summary"}</definedName>
    <definedName name="test2" localSheetId="26" hidden="1">{"LBO Summary",#N/A,FALSE,"Summary"}</definedName>
    <definedName name="test2" localSheetId="27" hidden="1">{"LBO Summary",#N/A,FALSE,"Summary"}</definedName>
    <definedName name="test2" hidden="1">{"LBO Summary",#N/A,FALSE,"Summary"}</definedName>
    <definedName name="test4" localSheetId="1" hidden="1">{"assumptions",#N/A,FALSE,"Scenario 1";"valuation",#N/A,FALSE,"Scenario 1"}</definedName>
    <definedName name="test4" localSheetId="8" hidden="1">{"assumptions",#N/A,FALSE,"Scenario 1";"valuation",#N/A,FALSE,"Scenario 1"}</definedName>
    <definedName name="test4" localSheetId="15" hidden="1">{"assumptions",#N/A,FALSE,"Scenario 1";"valuation",#N/A,FALSE,"Scenario 1"}</definedName>
    <definedName name="test4" localSheetId="26" hidden="1">{"assumptions",#N/A,FALSE,"Scenario 1";"valuation",#N/A,FALSE,"Scenario 1"}</definedName>
    <definedName name="test4" localSheetId="27" hidden="1">{"assumptions",#N/A,FALSE,"Scenario 1";"valuation",#N/A,FALSE,"Scenario 1"}</definedName>
    <definedName name="test4" hidden="1">{"assumptions",#N/A,FALSE,"Scenario 1";"valuation",#N/A,FALSE,"Scenario 1"}</definedName>
    <definedName name="test6" localSheetId="1" hidden="1">{"LBO Summary",#N/A,FALSE,"Summary"}</definedName>
    <definedName name="test6" localSheetId="8" hidden="1">{"LBO Summary",#N/A,FALSE,"Summary"}</definedName>
    <definedName name="test6" localSheetId="15" hidden="1">{"LBO Summary",#N/A,FALSE,"Summary"}</definedName>
    <definedName name="test6" localSheetId="26" hidden="1">{"LBO Summary",#N/A,FALSE,"Summary"}</definedName>
    <definedName name="test6" localSheetId="27" hidden="1">{"LBO Summary",#N/A,FALSE,"Summary"}</definedName>
    <definedName name="test6" hidden="1">{"LBO Summary",#N/A,FALSE,"Summary"}</definedName>
    <definedName name="TextRefCopyRangeCount" hidden="1">1</definedName>
    <definedName name="THREE">#N/A</definedName>
    <definedName name="TKW" localSheetId="1">'[4]C. Input'!$F$330</definedName>
    <definedName name="TKW" localSheetId="8">'[4]C. Input'!$F$330</definedName>
    <definedName name="TKW" localSheetId="27">'[4]C. Input'!$F$330</definedName>
    <definedName name="TKW">'[4]C. Input'!$F$330</definedName>
    <definedName name="TKWS" localSheetId="1">'[4]C. Input'!#REF!</definedName>
    <definedName name="TKWS" localSheetId="8">'[4]C. Input'!#REF!</definedName>
    <definedName name="TKWS" localSheetId="10">'[4]C. Input'!#REF!</definedName>
    <definedName name="TKWS" localSheetId="27">'[4]C. Input'!#REF!</definedName>
    <definedName name="TKWS">'[4]C. Input'!#REF!</definedName>
    <definedName name="TL" localSheetId="1">'[4]C. Input'!$F$178</definedName>
    <definedName name="TL" localSheetId="8">'[4]C. Input'!$F$178</definedName>
    <definedName name="TL" localSheetId="27">'[4]C. Input'!$F$178</definedName>
    <definedName name="TL">'[4]C. Input'!$F$178</definedName>
    <definedName name="TL_561" localSheetId="1">'[4]C. Input'!#REF!</definedName>
    <definedName name="TL_561" localSheetId="8">'[4]C. Input'!#REF!</definedName>
    <definedName name="TL_561" localSheetId="10">'[4]C. Input'!#REF!</definedName>
    <definedName name="TL_561" localSheetId="27">'[4]C. Input'!#REF!</definedName>
    <definedName name="TL_561">'[4]C. Input'!#REF!</definedName>
    <definedName name="TLR_TST" localSheetId="1">'[4]A.2 PTP'!$P$91</definedName>
    <definedName name="TLR_TST" localSheetId="8">'[4]A.2 PTP'!$P$91</definedName>
    <definedName name="TLR_TST" localSheetId="27">'[4]A.2 PTP'!$P$91</definedName>
    <definedName name="TLR_TST">'[4]A.2 PTP'!$P$91</definedName>
    <definedName name="Toggle" localSheetId="1">'[5]Appendix A'!$H$7</definedName>
    <definedName name="Toggle">'[5]Appendix A'!$H$7</definedName>
    <definedName name="TOM" localSheetId="1">'[4]C. Input'!$F$270</definedName>
    <definedName name="TOM" localSheetId="8">'[4]C. Input'!$F$270</definedName>
    <definedName name="TOM" localSheetId="27">'[4]C. Input'!$F$270</definedName>
    <definedName name="TOM">'[4]C. Input'!$F$270</definedName>
    <definedName name="TOM_EAI" localSheetId="1">'[4]C. Input'!#REF!</definedName>
    <definedName name="TOM_EAI" localSheetId="8">'[4]C. Input'!#REF!</definedName>
    <definedName name="TOM_EAI" localSheetId="10">'[4]C. Input'!#REF!</definedName>
    <definedName name="TOM_EAI" localSheetId="27">'[4]C. Input'!#REF!</definedName>
    <definedName name="TOM_EAI">'[4]C. Input'!#REF!</definedName>
    <definedName name="TOM_EGSI" localSheetId="1">'[4]C. Input'!#REF!</definedName>
    <definedName name="TOM_EGSI" localSheetId="8">'[4]C. Input'!#REF!</definedName>
    <definedName name="TOM_EGSI" localSheetId="10">'[4]C. Input'!#REF!</definedName>
    <definedName name="TOM_EGSI" localSheetId="27">'[4]C. Input'!#REF!</definedName>
    <definedName name="TOM_EGSI">'[4]C. Input'!#REF!</definedName>
    <definedName name="TOM_ELI" localSheetId="1">'[4]C. Input'!#REF!</definedName>
    <definedName name="TOM_ELI" localSheetId="8">'[4]C. Input'!#REF!</definedName>
    <definedName name="TOM_ELI" localSheetId="10">'[4]C. Input'!#REF!</definedName>
    <definedName name="TOM_ELI" localSheetId="27">'[4]C. Input'!#REF!</definedName>
    <definedName name="TOM_ELI">'[4]C. Input'!#REF!</definedName>
    <definedName name="TOM_EMI" localSheetId="1">'[4]C. Input'!#REF!</definedName>
    <definedName name="TOM_EMI" localSheetId="8">'[4]C. Input'!#REF!</definedName>
    <definedName name="TOM_EMI" localSheetId="10">'[4]C. Input'!#REF!</definedName>
    <definedName name="TOM_EMI" localSheetId="27">'[4]C. Input'!#REF!</definedName>
    <definedName name="TOM_EMI">'[4]C. Input'!#REF!</definedName>
    <definedName name="TOM_ENOI" localSheetId="1">'[4]C. Input'!#REF!</definedName>
    <definedName name="TOM_ENOI" localSheetId="8">'[4]C. Input'!#REF!</definedName>
    <definedName name="TOM_ENOI" localSheetId="10">'[4]C. Input'!#REF!</definedName>
    <definedName name="TOM_ENOI" localSheetId="27">'[4]C. Input'!#REF!</definedName>
    <definedName name="TOM_ENOI">'[4]C. Input'!#REF!</definedName>
    <definedName name="TOM_ICTC" localSheetId="1">'[4]C. Input'!#REF!</definedName>
    <definedName name="TOM_ICTC" localSheetId="8">'[4]C. Input'!#REF!</definedName>
    <definedName name="TOM_ICTC" localSheetId="10">'[4]C. Input'!#REF!</definedName>
    <definedName name="TOM_ICTC" localSheetId="27">'[4]C. Input'!#REF!</definedName>
    <definedName name="TOM_ICTC">'[4]C. Input'!#REF!</definedName>
    <definedName name="TOTAL" localSheetId="1">#REF!</definedName>
    <definedName name="TOTAL" localSheetId="10">#REF!</definedName>
    <definedName name="TOTAL" localSheetId="27">#REF!</definedName>
    <definedName name="TOTAL">#REF!</definedName>
    <definedName name="TP">'MISO Cover'!$I$194</definedName>
    <definedName name="TPLT" localSheetId="1">'[4]C. Input'!$F$161</definedName>
    <definedName name="TPLT" localSheetId="8">'[4]C. Input'!$F$161</definedName>
    <definedName name="TPLT" localSheetId="27">'[4]C. Input'!$F$161</definedName>
    <definedName name="TPLT">'[4]C. Input'!$F$161</definedName>
    <definedName name="TPLT_ITC" localSheetId="1">'[4]C. Input'!#REF!</definedName>
    <definedName name="TPLT_ITC" localSheetId="8">'[4]C. Input'!#REF!</definedName>
    <definedName name="TPLT_ITC" localSheetId="10">'[4]C. Input'!#REF!</definedName>
    <definedName name="TPLT_ITC" localSheetId="27">'[4]C. Input'!#REF!</definedName>
    <definedName name="TPLT_ITC">'[4]C. Input'!#REF!</definedName>
    <definedName name="TPLTXS" localSheetId="1">'[4]C. Input'!$F$164</definedName>
    <definedName name="TPLTXS" localSheetId="8">'[4]C. Input'!$F$164</definedName>
    <definedName name="TPLTXS" localSheetId="27">'[4]C. Input'!$F$164</definedName>
    <definedName name="TPLTXS">'[4]C. Input'!$F$164</definedName>
    <definedName name="TPR_TST" localSheetId="1">'[4]A.2 PTP'!$P$75</definedName>
    <definedName name="TPR_TST" localSheetId="8">'[4]A.2 PTP'!$P$75</definedName>
    <definedName name="TPR_TST" localSheetId="27">'[4]A.2 PTP'!$P$75</definedName>
    <definedName name="TPR_TST">'[4]A.2 PTP'!$P$75</definedName>
    <definedName name="TRB" localSheetId="1">'[4]A.2 PTP'!$P$165</definedName>
    <definedName name="TRB" localSheetId="8">'[4]A.2 PTP'!$P$165</definedName>
    <definedName name="TRB" localSheetId="27">'[4]A.2 PTP'!$P$165</definedName>
    <definedName name="TRB">'[4]A.2 PTP'!$P$165</definedName>
    <definedName name="TREV" localSheetId="1">'[4]C. Input'!$F$287</definedName>
    <definedName name="TREV" localSheetId="8">'[4]C. Input'!$F$287</definedName>
    <definedName name="TREV" localSheetId="27">'[4]C. Input'!$F$287</definedName>
    <definedName name="TREV">'[4]C. Input'!$F$287</definedName>
    <definedName name="True_up" localSheetId="1">'[5]Appendix A'!$H$6</definedName>
    <definedName name="True_up">'[5]Appendix A'!$H$6</definedName>
    <definedName name="TWELVE">#N/A</definedName>
    <definedName name="TWO">#N/A</definedName>
    <definedName name="TX" localSheetId="1">'[4]A.2 PTP'!$P$31</definedName>
    <definedName name="TX" localSheetId="8">'[4]A.2 PTP'!$P$31</definedName>
    <definedName name="TX" localSheetId="27">'[4]A.2 PTP'!$P$31</definedName>
    <definedName name="TX">'[4]A.2 PTP'!$P$31</definedName>
    <definedName name="TXO" localSheetId="1">'[4]C. Input'!$F$215</definedName>
    <definedName name="TXO" localSheetId="8">'[4]C. Input'!$F$215</definedName>
    <definedName name="TXO" localSheetId="27">'[4]C. Input'!$F$215</definedName>
    <definedName name="TXO">'[4]C. Input'!$F$215</definedName>
    <definedName name="TXP_TST" localSheetId="1">'[4]A.2 PTP'!$P$212</definedName>
    <definedName name="TXP_TST" localSheetId="8">'[4]A.2 PTP'!$P$212</definedName>
    <definedName name="TXP_TST" localSheetId="27">'[4]A.2 PTP'!$P$212</definedName>
    <definedName name="TXP_TST">'[4]A.2 PTP'!$P$212</definedName>
    <definedName name="TYE">#N/A</definedName>
    <definedName name="TYE_1">#N/A</definedName>
    <definedName name="TYPETextLen" localSheetId="1">#REF!</definedName>
    <definedName name="TYPETextLen" localSheetId="8">#REF!</definedName>
    <definedName name="TYPETextLen" localSheetId="10">#REF!</definedName>
    <definedName name="TYPETextLen" localSheetId="19">#REF!</definedName>
    <definedName name="TYPETextLen" localSheetId="23">#REF!</definedName>
    <definedName name="TYPETextLen">#REF!</definedName>
    <definedName name="Underground_Storage_Activity" localSheetId="1">#REF!</definedName>
    <definedName name="Underground_Storage_Activity" localSheetId="8">#REF!</definedName>
    <definedName name="Underground_Storage_Activity" localSheetId="10">#REF!</definedName>
    <definedName name="Underground_Storage_Activity" localSheetId="19">#REF!</definedName>
    <definedName name="Underground_Storage_Activity" localSheetId="23">#REF!</definedName>
    <definedName name="Underground_Storage_Activity">#REF!</definedName>
    <definedName name="URA" localSheetId="1">'[4]C. Input'!$F$337</definedName>
    <definedName name="URA" localSheetId="8">'[4]C. Input'!$F$337</definedName>
    <definedName name="URA" localSheetId="27">'[4]C. Input'!$F$337</definedName>
    <definedName name="URA">'[4]C. Input'!$F$337</definedName>
    <definedName name="Value" localSheetId="1" hidden="1">{"assumptions",#N/A,FALSE,"Scenario 1";"valuation",#N/A,FALSE,"Scenario 1"}</definedName>
    <definedName name="Value" localSheetId="8" hidden="1">{"assumptions",#N/A,FALSE,"Scenario 1";"valuation",#N/A,FALSE,"Scenario 1"}</definedName>
    <definedName name="Value" localSheetId="15" hidden="1">{"assumptions",#N/A,FALSE,"Scenario 1";"valuation",#N/A,FALSE,"Scenario 1"}</definedName>
    <definedName name="Value" localSheetId="26" hidden="1">{"assumptions",#N/A,FALSE,"Scenario 1";"valuation",#N/A,FALSE,"Scenario 1"}</definedName>
    <definedName name="Value" localSheetId="27" hidden="1">{"assumptions",#N/A,FALSE,"Scenario 1";"valuation",#N/A,FALSE,"Scenario 1"}</definedName>
    <definedName name="Value" hidden="1">{"assumptions",#N/A,FALSE,"Scenario 1";"valuation",#N/A,FALSE,"Scenario 1"}</definedName>
    <definedName name="VSPAE" localSheetId="1">'[4]C. Input'!#REF!</definedName>
    <definedName name="VSPAE" localSheetId="8">'[4]C. Input'!#REF!</definedName>
    <definedName name="VSPAE" localSheetId="10">'[4]C. Input'!#REF!</definedName>
    <definedName name="VSPAE" localSheetId="27">'[4]C. Input'!#REF!</definedName>
    <definedName name="VSPAE">'[4]C. Input'!#REF!</definedName>
    <definedName name="VSPRB" localSheetId="1">'[4]C. Input'!#REF!</definedName>
    <definedName name="VSPRB" localSheetId="8">'[4]C. Input'!#REF!</definedName>
    <definedName name="VSPRB" localSheetId="10">'[4]C. Input'!#REF!</definedName>
    <definedName name="VSPRB" localSheetId="27">'[4]C. Input'!#REF!</definedName>
    <definedName name="VSPRB">'[4]C. Input'!#REF!</definedName>
    <definedName name="WELL_HEAD_ESTIMATES" localSheetId="1">#REF!</definedName>
    <definedName name="WELL_HEAD_ESTIMATES" localSheetId="8">#REF!</definedName>
    <definedName name="WELL_HEAD_ESTIMATES" localSheetId="10">#REF!</definedName>
    <definedName name="WELL_HEAD_ESTIMATES" localSheetId="19">#REF!</definedName>
    <definedName name="WELL_HEAD_ESTIMATES" localSheetId="23">#REF!</definedName>
    <definedName name="WELL_HEAD_ESTIMATES">#REF!</definedName>
    <definedName name="WFTSR" localSheetId="1">'[4]A.2 PTP'!$P$282</definedName>
    <definedName name="WFTSR" localSheetId="8">'[4]A.2 PTP'!$P$282</definedName>
    <definedName name="WFTSR" localSheetId="27">'[4]A.2 PTP'!$P$282</definedName>
    <definedName name="WFTSR">'[4]A.2 PTP'!$P$282</definedName>
    <definedName name="WITHSTD" localSheetId="1">#REF!</definedName>
    <definedName name="WITHSTD" localSheetId="8">#REF!</definedName>
    <definedName name="WITHSTD" localSheetId="10">#REF!</definedName>
    <definedName name="WITHSTD" localSheetId="19">#REF!</definedName>
    <definedName name="WITHSTD">#REF!</definedName>
    <definedName name="wrn.All._.Pages." localSheetId="1" hidden="1">{#N/A,#N/A,FALSE,"Cover";#N/A,#N/A,FALSE,"Lead Sheet";#N/A,#N/A,FALSE,"T-Accounts";#N/A,#N/A,FALSE,"Ins &amp; Prem ActualEstimates"}</definedName>
    <definedName name="wrn.All._.Pages." localSheetId="26" hidden="1">{#N/A,#N/A,FALSE,"Cover";#N/A,#N/A,FALSE,"Lead Sheet";#N/A,#N/A,FALSE,"T-Accounts";#N/A,#N/A,FALSE,"Ins &amp; Prem ActualEstimates"}</definedName>
    <definedName name="wrn.All._.Pages." hidden="1">{#N/A,#N/A,FALSE,"Cover";#N/A,#N/A,FALSE,"Lead Sheet";#N/A,#N/A,FALSE,"T-Accounts";#N/A,#N/A,FALSE,"Ins &amp; Prem ActualEstimates"}</definedName>
    <definedName name="wrn.ARKANSAS." localSheetId="1" hidden="1">{#N/A,#N/A,FALSE,"LOCAL.XLS"}</definedName>
    <definedName name="wrn.ARKANSAS." localSheetId="8" hidden="1">{#N/A,#N/A,FALSE,"LOCAL.XLS"}</definedName>
    <definedName name="wrn.ARKANSAS." localSheetId="15" hidden="1">{#N/A,#N/A,FALSE,"LOCAL.XLS"}</definedName>
    <definedName name="wrn.ARKANSAS." localSheetId="26" hidden="1">{#N/A,#N/A,FALSE,"LOCAL.XLS"}</definedName>
    <definedName name="wrn.ARKANSAS." localSheetId="27" hidden="1">{#N/A,#N/A,FALSE,"LOCAL.XLS"}</definedName>
    <definedName name="wrn.ARKANSAS." hidden="1">{#N/A,#N/A,FALSE,"LOCAL.XLS"}</definedName>
    <definedName name="wrn.CP._.Demand." localSheetId="1" hidden="1">{"Retail CP pg1",#N/A,FALSE,"FACTOR3";"Retail CP pg2",#N/A,FALSE,"FACTOR3";"Retail CP pg3",#N/A,FALSE,"FACTOR3"}</definedName>
    <definedName name="wrn.CP._.Demand." localSheetId="8" hidden="1">{"Retail CP pg1",#N/A,FALSE,"FACTOR3";"Retail CP pg2",#N/A,FALSE,"FACTOR3";"Retail CP pg3",#N/A,FALSE,"FACTOR3"}</definedName>
    <definedName name="wrn.CP._.Demand." localSheetId="15" hidden="1">{"Retail CP pg1",#N/A,FALSE,"FACTOR3";"Retail CP pg2",#N/A,FALSE,"FACTOR3";"Retail CP pg3",#N/A,FALSE,"FACTOR3"}</definedName>
    <definedName name="wrn.CP._.Demand." localSheetId="19" hidden="1">{"Retail CP pg1",#N/A,FALSE,"FACTOR3";"Retail CP pg2",#N/A,FALSE,"FACTOR3";"Retail CP pg3",#N/A,FALSE,"FACTOR3"}</definedName>
    <definedName name="wrn.CP._.Demand." localSheetId="23" hidden="1">{"Retail CP pg1",#N/A,FALSE,"FACTOR3";"Retail CP pg2",#N/A,FALSE,"FACTOR3";"Retail CP pg3",#N/A,FALSE,"FACTOR3"}</definedName>
    <definedName name="wrn.CP._.Demand." localSheetId="26" hidden="1">{"Retail CP pg1",#N/A,FALSE,"FACTOR3";"Retail CP pg2",#N/A,FALSE,"FACTOR3";"Retail CP pg3",#N/A,FALSE,"FACTOR3"}</definedName>
    <definedName name="wrn.CP._.Demand." hidden="1">{"Retail CP pg1",#N/A,FALSE,"FACTOR3";"Retail CP pg2",#N/A,FALSE,"FACTOR3";"Retail CP pg3",#N/A,FALSE,"FACTOR3"}</definedName>
    <definedName name="wrn.CP._.Demand2." localSheetId="1" hidden="1">{"Retail CP pg1",#N/A,FALSE,"FACTOR3";"Retail CP pg2",#N/A,FALSE,"FACTOR3";"Retail CP pg3",#N/A,FALSE,"FACTOR3"}</definedName>
    <definedName name="wrn.CP._.Demand2." localSheetId="8" hidden="1">{"Retail CP pg1",#N/A,FALSE,"FACTOR3";"Retail CP pg2",#N/A,FALSE,"FACTOR3";"Retail CP pg3",#N/A,FALSE,"FACTOR3"}</definedName>
    <definedName name="wrn.CP._.Demand2." localSheetId="15" hidden="1">{"Retail CP pg1",#N/A,FALSE,"FACTOR3";"Retail CP pg2",#N/A,FALSE,"FACTOR3";"Retail CP pg3",#N/A,FALSE,"FACTOR3"}</definedName>
    <definedName name="wrn.CP._.Demand2." localSheetId="19" hidden="1">{"Retail CP pg1",#N/A,FALSE,"FACTOR3";"Retail CP pg2",#N/A,FALSE,"FACTOR3";"Retail CP pg3",#N/A,FALSE,"FACTOR3"}</definedName>
    <definedName name="wrn.CP._.Demand2." localSheetId="23" hidden="1">{"Retail CP pg1",#N/A,FALSE,"FACTOR3";"Retail CP pg2",#N/A,FALSE,"FACTOR3";"Retail CP pg3",#N/A,FALSE,"FACTOR3"}</definedName>
    <definedName name="wrn.CP._.Demand2." localSheetId="26" hidden="1">{"Retail CP pg1",#N/A,FALSE,"FACTOR3";"Retail CP pg2",#N/A,FALSE,"FACTOR3";"Retail CP pg3",#N/A,FALSE,"FACTOR3"}</definedName>
    <definedName name="wrn.CP._.Demand2." hidden="1">{"Retail CP pg1",#N/A,FALSE,"FACTOR3";"Retail CP pg2",#N/A,FALSE,"FACTOR3";"Retail CP pg3",#N/A,FALSE,"FACTOR3"}</definedName>
    <definedName name="wrn.Factors._.Tab._.10." localSheetId="1" hidden="1">{"Factors Pages 1-2",#N/A,FALSE,"Factors";"Factors Page 3",#N/A,FALSE,"Factors";"Factors Page 4",#N/A,FALSE,"Factors";"Factors Page 5",#N/A,FALSE,"Factors";"Factors Pages 8-27",#N/A,FALSE,"Factors"}</definedName>
    <definedName name="wrn.Factors._.Tab._.10." localSheetId="26"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IPO._.Valuation." localSheetId="1" hidden="1">{"assumptions",#N/A,FALSE,"Scenario 1";"valuation",#N/A,FALSE,"Scenario 1"}</definedName>
    <definedName name="wrn.IPO._.Valuation." localSheetId="8" hidden="1">{"assumptions",#N/A,FALSE,"Scenario 1";"valuation",#N/A,FALSE,"Scenario 1"}</definedName>
    <definedName name="wrn.IPO._.Valuation." localSheetId="15" hidden="1">{"assumptions",#N/A,FALSE,"Scenario 1";"valuation",#N/A,FALSE,"Scenario 1"}</definedName>
    <definedName name="wrn.IPO._.Valuation." localSheetId="26" hidden="1">{"assumptions",#N/A,FALSE,"Scenario 1";"valuation",#N/A,FALSE,"Scenario 1"}</definedName>
    <definedName name="wrn.IPO._.Valuation." localSheetId="27" hidden="1">{"assumptions",#N/A,FALSE,"Scenario 1";"valuation",#N/A,FALSE,"Scenario 1"}</definedName>
    <definedName name="wrn.IPO._.Valuation." hidden="1">{"assumptions",#N/A,FALSE,"Scenario 1";"valuation",#N/A,FALSE,"Scenario 1"}</definedName>
    <definedName name="wrn.LBO._.Summary." localSheetId="1" hidden="1">{"LBO Summary",#N/A,FALSE,"Summary"}</definedName>
    <definedName name="wrn.LBO._.Summary." localSheetId="8" hidden="1">{"LBO Summary",#N/A,FALSE,"Summary"}</definedName>
    <definedName name="wrn.LBO._.Summary." localSheetId="15" hidden="1">{"LBO Summary",#N/A,FALSE,"Summary"}</definedName>
    <definedName name="wrn.LBO._.Summary." localSheetId="26" hidden="1">{"LBO Summary",#N/A,FALSE,"Summary"}</definedName>
    <definedName name="wrn.LBO._.Summary." localSheetId="27" hidden="1">{"LBO Summary",#N/A,FALSE,"Summary"}</definedName>
    <definedName name="wrn.LBO._.Summary." hidden="1">{"LBO Summary",#N/A,FALSE,"Summary"}</definedName>
    <definedName name="wrn.LOUISIANA." localSheetId="1" hidden="1">{#N/A,#N/A,FALSE,"LOCAL.XLS"}</definedName>
    <definedName name="wrn.LOUISIANA." localSheetId="8" hidden="1">{#N/A,#N/A,FALSE,"LOCAL.XLS"}</definedName>
    <definedName name="wrn.LOUISIANA." localSheetId="15" hidden="1">{#N/A,#N/A,FALSE,"LOCAL.XLS"}</definedName>
    <definedName name="wrn.LOUISIANA." localSheetId="26" hidden="1">{#N/A,#N/A,FALSE,"LOCAL.XLS"}</definedName>
    <definedName name="wrn.LOUISIANA." localSheetId="27" hidden="1">{#N/A,#N/A,FALSE,"LOCAL.XLS"}</definedName>
    <definedName name="wrn.LOUISIANA." hidden="1">{#N/A,#N/A,FALSE,"LOCAL.XLS"}</definedName>
    <definedName name="wrn.OR._.Carrying._.Charge._.JV." localSheetId="1" hidden="1">{#N/A,#N/A,FALSE,"Loans";#N/A,#N/A,FALSE,"Program Costs";#N/A,#N/A,FALSE,"Measures";#N/A,#N/A,FALSE,"Net Lost Rev";#N/A,#N/A,FALSE,"Incentive"}</definedName>
    <definedName name="wrn.OR._.Carrying._.Charge._.JV." localSheetId="26"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26"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int._.All._.Pages." localSheetId="1" hidden="1">{"LBO Summary",#N/A,FALSE,"Summary";"Income Statement",#N/A,FALSE,"Model";"Cash Flow",#N/A,FALSE,"Model";"Balance Sheet",#N/A,FALSE,"Model";"Working Capital",#N/A,FALSE,"Model";"Pro Forma Balance Sheets",#N/A,FALSE,"PFBS";"Debt Balances",#N/A,FALSE,"Model";"Fee Schedules",#N/A,FALSE,"Model"}</definedName>
    <definedName name="wrn.Print._.All._.Pages." localSheetId="8" hidden="1">{"LBO Summary",#N/A,FALSE,"Summary";"Income Statement",#N/A,FALSE,"Model";"Cash Flow",#N/A,FALSE,"Model";"Balance Sheet",#N/A,FALSE,"Model";"Working Capital",#N/A,FALSE,"Model";"Pro Forma Balance Sheets",#N/A,FALSE,"PFBS";"Debt Balances",#N/A,FALSE,"Model";"Fee Schedules",#N/A,FALSE,"Model"}</definedName>
    <definedName name="wrn.Print._.All._.Pages." localSheetId="15" hidden="1">{"LBO Summary",#N/A,FALSE,"Summary";"Income Statement",#N/A,FALSE,"Model";"Cash Flow",#N/A,FALSE,"Model";"Balance Sheet",#N/A,FALSE,"Model";"Working Capital",#N/A,FALSE,"Model";"Pro Forma Balance Sheets",#N/A,FALSE,"PFBS";"Debt Balances",#N/A,FALSE,"Model";"Fee Schedules",#N/A,FALSE,"Model"}</definedName>
    <definedName name="wrn.Print._.All._.Pages." localSheetId="26" hidden="1">{"LBO Summary",#N/A,FALSE,"Summary";"Income Statement",#N/A,FALSE,"Model";"Cash Flow",#N/A,FALSE,"Model";"Balance Sheet",#N/A,FALSE,"Model";"Working Capital",#N/A,FALSE,"Model";"Pro Forma Balance Sheets",#N/A,FALSE,"PFBS";"Debt Balances",#N/A,FALSE,"Model";"Fee Schedules",#N/A,FALSE,"Model"}</definedName>
    <definedName name="wrn.Print._.All._.Pages." localSheetId="27"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vatelecform." localSheetId="1" hidden="1">{#N/A,#N/A,FALSE,"TD 1";#N/A,#N/A,FALSE,"TD 2";#N/A,#N/A,FALSE,"TD 3";#N/A,#N/A,FALSE,"TD 4";#N/A,#N/A,FALSE,"TD 5A";#N/A,#N/A,FALSE,"TD 5B";#N/A,#N/A,FALSE,"TD 6A";#N/A,#N/A,FALSE,"TD 6B";#N/A,#N/A,FALSE,"TD 7";#N/A,#N/A,FALSE,"TD 8";#N/A,#N/A,FALSE,"TD 9A";#N/A,#N/A,FALSE,"TD 9B";#N/A,#N/A,FALSE,"TD 10";#N/A,#N/A,FALSE,"TD 11";#N/A,#N/A,FALSE,"TD 12";#N/A,#N/A,FALSE,"TD DEC"}</definedName>
    <definedName name="wrn.privatelecform." localSheetId="26" hidden="1">{#N/A,#N/A,FALSE,"TD 1";#N/A,#N/A,FALSE,"TD 2";#N/A,#N/A,FALSE,"TD 3";#N/A,#N/A,FALSE,"TD 4";#N/A,#N/A,FALSE,"TD 5A";#N/A,#N/A,FALSE,"TD 5B";#N/A,#N/A,FALSE,"TD 6A";#N/A,#N/A,FALSE,"TD 6B";#N/A,#N/A,FALSE,"TD 7";#N/A,#N/A,FALSE,"TD 8";#N/A,#N/A,FALSE,"TD 9A";#N/A,#N/A,FALSE,"TD 9B";#N/A,#N/A,FALSE,"TD 10";#N/A,#N/A,FALSE,"TD 11";#N/A,#N/A,FALSE,"TD 12";#N/A,#N/A,FALSE,"TD DEC"}</definedName>
    <definedName name="wrn.privatelecform." localSheetId="27" hidden="1">{#N/A,#N/A,FALSE,"TD 1";#N/A,#N/A,FALSE,"TD 2";#N/A,#N/A,FALSE,"TD 3";#N/A,#N/A,FALSE,"TD 4";#N/A,#N/A,FALSE,"TD 5A";#N/A,#N/A,FALSE,"TD 5B";#N/A,#N/A,FALSE,"TD 6A";#N/A,#N/A,FALSE,"TD 6B";#N/A,#N/A,FALSE,"TD 7";#N/A,#N/A,FALSE,"TD 8";#N/A,#N/A,FALSE,"TD 9A";#N/A,#N/A,FALSE,"TD 9B";#N/A,#N/A,FALSE,"TD 10";#N/A,#N/A,FALSE,"TD 11";#N/A,#N/A,FALSE,"TD 12";#N/A,#N/A,FALSE,"TD DEC"}</definedName>
    <definedName name="wrn.privatelecform." hidden="1">{#N/A,#N/A,FALSE,"TD 1";#N/A,#N/A,FALSE,"TD 2";#N/A,#N/A,FALSE,"TD 3";#N/A,#N/A,FALSE,"TD 4";#N/A,#N/A,FALSE,"TD 5A";#N/A,#N/A,FALSE,"TD 5B";#N/A,#N/A,FALSE,"TD 6A";#N/A,#N/A,FALSE,"TD 6B";#N/A,#N/A,FALSE,"TD 7";#N/A,#N/A,FALSE,"TD 8";#N/A,#N/A,FALSE,"TD 9A";#N/A,#N/A,FALSE,"TD 9B";#N/A,#N/A,FALSE,"TD 10";#N/A,#N/A,FALSE,"TD 11";#N/A,#N/A,FALSE,"TD 12";#N/A,#N/A,FALSE,"TD DEC"}</definedName>
    <definedName name="wrn.SALES._.VAR._.95._.BUDGET." localSheetId="1" hidden="1">{"PRINT",#N/A,TRUE,"APPA";"PRINT",#N/A,TRUE,"APS";"PRINT",#N/A,TRUE,"BHPL";"PRINT",#N/A,TRUE,"BHPL2";"PRINT",#N/A,TRUE,"CDWR";"PRINT",#N/A,TRUE,"EWEB";"PRINT",#N/A,TRUE,"LADWP";"PRINT",#N/A,TRUE,"NEVBASE"}</definedName>
    <definedName name="wrn.SALES._.VAR._.95._.BUDGET." localSheetId="26"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ummary." localSheetId="1" hidden="1">{#N/A,#N/A,FALSE,"AP&amp;L"}</definedName>
    <definedName name="wrn.summary." localSheetId="8" hidden="1">{#N/A,#N/A,FALSE,"AP&amp;L"}</definedName>
    <definedName name="wrn.summary." localSheetId="15" hidden="1">{#N/A,#N/A,FALSE,"AP&amp;L"}</definedName>
    <definedName name="wrn.summary." localSheetId="26" hidden="1">{#N/A,#N/A,FALSE,"AP&amp;L"}</definedName>
    <definedName name="wrn.summary." localSheetId="27" hidden="1">{#N/A,#N/A,FALSE,"AP&amp;L"}</definedName>
    <definedName name="wrn.summary." hidden="1">{#N/A,#N/A,FALSE,"AP&amp;L"}</definedName>
    <definedName name="wrn.YearEnd." localSheetId="1" hidden="1">{"Factors Pages 1-2",#N/A,FALSE,"Variables";"Factors Page 3",#N/A,FALSE,"Variables";"Factors Page 4",#N/A,FALSE,"Variables";"Factors Page 5",#N/A,FALSE,"Variables";"YE Pages 7-26",#N/A,FALSE,"Variables"}</definedName>
    <definedName name="wrn.YearEnd." localSheetId="26"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S">'MISO Cover'!$I$202</definedName>
    <definedName name="XLRG_GE" localSheetId="1">#REF!</definedName>
    <definedName name="XLRG_GE" localSheetId="8">#REF!</definedName>
    <definedName name="XLRG_GE" localSheetId="10">#REF!</definedName>
    <definedName name="XLRG_GE" localSheetId="19">#REF!</definedName>
    <definedName name="XLRG_GE" localSheetId="23">#REF!</definedName>
    <definedName name="XLRG_GE">#REF!</definedName>
    <definedName name="XLRG_GJ" localSheetId="1">#REF!</definedName>
    <definedName name="XLRG_GJ" localSheetId="8">#REF!</definedName>
    <definedName name="XLRG_GJ" localSheetId="10">#REF!</definedName>
    <definedName name="XLRG_GJ" localSheetId="19">#REF!</definedName>
    <definedName name="XLRG_GJ" localSheetId="23">#REF!</definedName>
    <definedName name="XLRG_GJ">#REF!</definedName>
    <definedName name="Z_1155D18F_BFDD_426B_8E78_817CEB25FB23_.wvu.Cols" localSheetId="11" hidden="1">'WP06 ADIT'!#REF!</definedName>
    <definedName name="Z_1155D18F_BFDD_426B_8E78_817CEB25FB23_.wvu.PrintArea" localSheetId="11" hidden="1">'WP06 ADIT'!$B$1:$N$142</definedName>
    <definedName name="Z_16940A0E_2B20_4241_BF05_A4686E5A0274_.wvu.Cols" localSheetId="11" hidden="1">'WP06 ADIT'!#REF!</definedName>
    <definedName name="Z_16940A0E_2B20_4241_BF05_A4686E5A0274_.wvu.PrintArea" localSheetId="11" hidden="1">'WP06 ADIT'!$B$1:$N$142</definedName>
    <definedName name="Z_28948E05_8F34_4F1E_96FB_A80A6A844600_.wvu.Cols" localSheetId="11" hidden="1">'WP06 ADIT'!#REF!</definedName>
    <definedName name="Z_28948E05_8F34_4F1E_96FB_A80A6A844600_.wvu.PrintArea" localSheetId="11" hidden="1">'WP06 ADIT'!$B$1:$N$142</definedName>
    <definedName name="Z_3768C7C8_9953_11DA_B318_000FB55D51DC_.wvu.PrintArea" localSheetId="6" hidden="1">'WP02 Support'!$A$147:$M$151</definedName>
    <definedName name="Z_3768C7C8_9953_11DA_B318_000FB55D51DC_.wvu.PrintTitles" localSheetId="6" hidden="1">'WP02 Support'!#REF!</definedName>
    <definedName name="Z_3768C7C8_9953_11DA_B318_000FB55D51DC_.wvu.Rows" localSheetId="6" hidden="1">'WP02 Support'!#REF!</definedName>
    <definedName name="Z_3BDD6235_B127_4929_8311_BDAF7BB89818_.wvu.PrintArea" localSheetId="6" hidden="1">'WP02 Support'!$A$147:$M$151</definedName>
    <definedName name="Z_3BDD6235_B127_4929_8311_BDAF7BB89818_.wvu.PrintTitles" localSheetId="6" hidden="1">'WP02 Support'!#REF!</definedName>
    <definedName name="Z_3BDD6235_B127_4929_8311_BDAF7BB89818_.wvu.Rows" localSheetId="6" hidden="1">'WP02 Support'!#REF!</definedName>
    <definedName name="Z_44504B44_F20F_4B6F_B585_74D55BA74563_.wvu.Cols" localSheetId="11" hidden="1">'WP06 ADIT'!#REF!</definedName>
    <definedName name="Z_44504B44_F20F_4B6F_B585_74D55BA74563_.wvu.PrintArea" localSheetId="11" hidden="1">'WP06 ADIT'!$B$1:$N$142</definedName>
    <definedName name="Z_63011E91_4609_4523_98FE_FD252E915668_.wvu.Cols" localSheetId="11" hidden="1">'WP06 ADIT'!#REF!</definedName>
    <definedName name="Z_63011E91_4609_4523_98FE_FD252E915668_.wvu.PrintArea" localSheetId="4" hidden="1">'WP01 True-Up'!#REF!</definedName>
    <definedName name="Z_63011E91_4609_4523_98FE_FD252E915668_.wvu.PrintArea" localSheetId="10" hidden="1">'WP05 CapAds'!$A$2:$D$23</definedName>
    <definedName name="Z_63011E91_4609_4523_98FE_FD252E915668_.wvu.PrintArea" localSheetId="11" hidden="1">'WP06 ADIT'!$B$1:$N$142</definedName>
    <definedName name="Z_71B42B22_A376_44B5_B0C1_23FC1AA3DBA2_.wvu.Cols" localSheetId="11" hidden="1">'WP06 ADIT'!#REF!</definedName>
    <definedName name="Z_71B42B22_A376_44B5_B0C1_23FC1AA3DBA2_.wvu.PrintArea" localSheetId="11" hidden="1">'WP06 ADIT'!$B$1:$N$142</definedName>
    <definedName name="Z_B0241363_5C8A_48FC_89A6_56D55586BABE_.wvu.PrintArea" localSheetId="6" hidden="1">'WP02 Support'!$A$147:$M$151</definedName>
    <definedName name="Z_B0241363_5C8A_48FC_89A6_56D55586BABE_.wvu.PrintTitles" localSheetId="6" hidden="1">'WP02 Support'!#REF!</definedName>
    <definedName name="Z_B0241363_5C8A_48FC_89A6_56D55586BABE_.wvu.Rows" localSheetId="6" hidden="1">'WP02 Support'!#REF!</definedName>
    <definedName name="Z_B647CB7F_C846_4278_B6B1_1EF7F3C004F5_.wvu.Cols" localSheetId="11" hidden="1">'WP06 ADIT'!#REF!</definedName>
    <definedName name="Z_B647CB7F_C846_4278_B6B1_1EF7F3C004F5_.wvu.PrintArea" localSheetId="11" hidden="1">'WP06 ADIT'!$B$1:$N$142</definedName>
    <definedName name="Z_C0EA0F9F_7310_4201_82C9_7B8FC8DB9137_.wvu.PrintArea" localSheetId="6" hidden="1">'WP02 Support'!$A$147:$M$151</definedName>
    <definedName name="Z_C0EA0F9F_7310_4201_82C9_7B8FC8DB9137_.wvu.PrintTitles" localSheetId="6" hidden="1">'WP02 Support'!#REF!</definedName>
    <definedName name="Z_C0EA0F9F_7310_4201_82C9_7B8FC8DB9137_.wvu.Rows" localSheetId="6" hidden="1">'WP02 Support'!#REF!</definedName>
    <definedName name="Z_DC91DEF3_837B_4BB9_A81E_3B78C5914E6C_.wvu.Cols" localSheetId="11" hidden="1">'WP06 ADIT'!#REF!</definedName>
    <definedName name="Z_DC91DEF3_837B_4BB9_A81E_3B78C5914E6C_.wvu.PrintArea" localSheetId="11" hidden="1">'WP06 ADIT'!$B$1:$N$142</definedName>
    <definedName name="Z_FAAD9AAC_1337_43AB_BF1F_CCF9DFCF5B78_.wvu.Cols" localSheetId="11" hidden="1">'WP06 ADIT'!#REF!</definedName>
    <definedName name="Z_FAAD9AAC_1337_43AB_BF1F_CCF9DFCF5B78_.wvu.PrintArea" localSheetId="11" hidden="1">'WP06 ADIT'!$B$1:$N$142</definedName>
    <definedName name="Zone_Inputs" localSheetId="1">'[9]Attachment O'!$I$19,'[9]Attachment O'!$I$24,'[9]Attachment O'!$D$36:$D$37,'[9]Attachment O'!$D$82:$D$86,'[9]Attachment O'!$D$90:$D$94,'[9]Attachment O'!$D$106:$D$112,'[9]Attachment O'!$D$116,'[9]Attachment O'!$D$120:$D$121,'[9]Attachment O'!$D$139:$D$146,'[9]Attachment O'!$D$150:$D$154,'[9]Attachment O'!$D$159:$D$160,'[9]Attachment O'!$D$162:$D$165,'[9]Attachment O'!$D$174,'[9]Attachment O'!$D$174,'[9]Attachment O'!$D$178,'[9]Attachment O'!$I$188,'[9]Attachment O'!$D$188,'[9]Attachment O'!$D$192,'[9]Attachment O'!$I$192,'[9]Attachment O'!$I$207:$I$208,'[9]Attachment O'!$D$214:$D$217,'[9]Attachment O'!$D$221:$D$223,'[9]Attachment O'!$I$227,'[9]Attachment O'!$I$229,'[9]Attachment O'!$I$232,'[9]Attachment O'!$D$238:$D$239,'[9]Attachment O'!$I$243,'[9]Attachment O'!$I$246:$I$249,'[9]Attachment O'!$D$280:$D$282</definedName>
    <definedName name="Zone_Inputs" localSheetId="8">'[9]Attachment O'!$I$19,'[9]Attachment O'!$I$24,'[9]Attachment O'!$D$36:$D$37,'[9]Attachment O'!$D$82:$D$86,'[9]Attachment O'!$D$90:$D$94,'[9]Attachment O'!$D$106:$D$112,'[9]Attachment O'!$D$116,'[9]Attachment O'!$D$120:$D$121,'[9]Attachment O'!$D$139:$D$146,'[9]Attachment O'!$D$150:$D$154,'[9]Attachment O'!$D$159:$D$160,'[9]Attachment O'!$D$162:$D$165,'[9]Attachment O'!$D$174,'[9]Attachment O'!$D$174,'[9]Attachment O'!$D$178,'[9]Attachment O'!$I$188,'[9]Attachment O'!$D$188,'[9]Attachment O'!$D$192,'[9]Attachment O'!$I$192,'[9]Attachment O'!$I$207:$I$208,'[9]Attachment O'!$D$214:$D$217,'[9]Attachment O'!$D$221:$D$223,'[9]Attachment O'!$I$227,'[9]Attachment O'!$I$229,'[9]Attachment O'!$I$232,'[9]Attachment O'!$D$238:$D$239,'[9]Attachment O'!$I$243,'[9]Attachment O'!$I$246:$I$249,'[9]Attachment O'!$D$280:$D$282</definedName>
    <definedName name="Zone_Inputs" localSheetId="27">'[9]Attachment O'!$I$19,'[9]Attachment O'!$I$24,'[9]Attachment O'!$D$36:$D$37,'[9]Attachment O'!$D$82:$D$86,'[9]Attachment O'!$D$90:$D$94,'[9]Attachment O'!$D$106:$D$112,'[9]Attachment O'!$D$116,'[9]Attachment O'!$D$120:$D$121,'[9]Attachment O'!$D$139:$D$146,'[9]Attachment O'!$D$150:$D$154,'[9]Attachment O'!$D$159:$D$160,'[9]Attachment O'!$D$162:$D$165,'[9]Attachment O'!$D$174,'[9]Attachment O'!$D$174,'[9]Attachment O'!$D$178,'[9]Attachment O'!$I$188,'[9]Attachment O'!$D$188,'[9]Attachment O'!$D$192,'[9]Attachment O'!$I$192,'[9]Attachment O'!$I$207:$I$208,'[9]Attachment O'!$D$214:$D$217,'[9]Attachment O'!$D$221:$D$223,'[9]Attachment O'!$I$227,'[9]Attachment O'!$I$229,'[9]Attachment O'!$I$232,'[9]Attachment O'!$D$238:$D$239,'[9]Attachment O'!$I$243,'[9]Attachment O'!$I$246:$I$249,'[9]Attachment O'!$D$280:$D$282</definedName>
    <definedName name="Zone_Inputs">'[9]Attachment O'!$I$19,'[9]Attachment O'!$I$24,'[9]Attachment O'!$D$36:$D$37,'[9]Attachment O'!$D$82:$D$86,'[9]Attachment O'!$D$90:$D$94,'[9]Attachment O'!$D$106:$D$112,'[9]Attachment O'!$D$116,'[9]Attachment O'!$D$120:$D$121,'[9]Attachment O'!$D$139:$D$146,'[9]Attachment O'!$D$150:$D$154,'[9]Attachment O'!$D$159:$D$160,'[9]Attachment O'!$D$162:$D$165,'[9]Attachment O'!$D$174,'[9]Attachment O'!$D$174,'[9]Attachment O'!$D$178,'[9]Attachment O'!$I$188,'[9]Attachment O'!$D$188,'[9]Attachment O'!$D$192,'[9]Attachment O'!$I$192,'[9]Attachment O'!$I$207:$I$208,'[9]Attachment O'!$D$214:$D$217,'[9]Attachment O'!$D$221:$D$223,'[9]Attachment O'!$I$227,'[9]Attachment O'!$I$229,'[9]Attachment O'!$I$232,'[9]Attachment O'!$D$238:$D$239,'[9]Attachment O'!$I$243,'[9]Attachment O'!$I$246:$I$249,'[9]Attachment O'!$D$280:$D$282</definedName>
  </definedNames>
  <calcPr calcId="145621" concurrentCalc="0"/>
  <customWorkbookViews>
    <customWorkbookView name="Ken Lee - Personal View" guid="{16940A0E-2B20-4241-BF05-A4686E5A0274}" mergeInterval="0" personalView="1" maximized="1" windowWidth="1020" windowHeight="593" tabRatio="809" activeSheetId="1"/>
    <customWorkbookView name="z93536 - Personal View" guid="{44504B44-F20F-4B6F-B585-74D55BA74563}" mergeInterval="0" personalView="1" maximized="1" windowWidth="1020" windowHeight="579" tabRatio="809" activeSheetId="1"/>
    <customWorkbookView name="x317aks - Personal View" guid="{FAAD9AAC-1337-43AB-BF1F-CCF9DFCF5B78}" mergeInterval="0" personalView="1" maximized="1" windowWidth="1020" windowHeight="592" tabRatio="809" activeSheetId="4"/>
    <customWorkbookView name="x086hmh - Personal View" guid="{71B42B22-A376-44B5-B0C1-23FC1AA3DBA2}" mergeInterval="0" personalView="1" maximized="1" windowWidth="1676" windowHeight="904" tabRatio="809" activeSheetId="1"/>
    <customWorkbookView name="Helen Hight - Personal View" guid="{28948E05-8F34-4F1E-96FB-A80A6A844600}" mergeInterval="0" personalView="1" maximized="1" windowWidth="1020" windowHeight="570" tabRatio="809" activeSheetId="1"/>
    <customWorkbookView name="wdbooth - Personal View" guid="{B647CB7F-C846-4278-B6B1-1EF7F3C004F5}" mergeInterval="0" personalView="1" maximized="1" windowWidth="756" windowHeight="354" tabRatio="809" activeSheetId="9"/>
    <customWorkbookView name="Dana Olds - Personal View" guid="{63011E91-4609-4523-98FE-FD252E915668}" mergeInterval="0" personalView="1" maximized="1" windowWidth="1020" windowHeight="605" tabRatio="809" activeSheetId="11"/>
    <customWorkbookView name="Preferred Customer - Personal View" guid="{DC91DEF3-837B-4BB9-A81E-3B78C5914E6C}" mergeInterval="0" personalView="1" maximized="1" windowWidth="1020" windowHeight="603" tabRatio="809" activeSheetId="2"/>
    <customWorkbookView name="alan - Personal View" guid="{1155D18F-BFDD-426B-8E78-817CEB25FB23}" mergeInterval="0" personalView="1" maximized="1" windowWidth="1009" windowHeight="568" tabRatio="809" activeSheetId="1"/>
  </customWorkbookViews>
</workbook>
</file>

<file path=xl/calcChain.xml><?xml version="1.0" encoding="utf-8"?>
<calcChain xmlns="http://schemas.openxmlformats.org/spreadsheetml/2006/main">
  <c r="D26" i="104" l="1"/>
  <c r="F26" i="104"/>
  <c r="B26" i="104"/>
  <c r="A8" i="104"/>
  <c r="A9" i="104"/>
  <c r="A10" i="104"/>
  <c r="A11" i="104"/>
  <c r="A12" i="104"/>
  <c r="A13" i="104"/>
  <c r="A14" i="104"/>
  <c r="A15" i="104"/>
  <c r="A16" i="104"/>
  <c r="A17" i="104"/>
  <c r="A18" i="104"/>
  <c r="A19" i="104"/>
  <c r="A20" i="104"/>
  <c r="A21" i="104"/>
  <c r="A22" i="104"/>
  <c r="A23" i="104"/>
  <c r="A24" i="104"/>
  <c r="A25" i="104"/>
  <c r="A26" i="104"/>
  <c r="A27" i="104"/>
  <c r="C7" i="102"/>
  <c r="F7" i="102"/>
  <c r="L10" i="102"/>
  <c r="J10" i="102"/>
  <c r="L7" i="102"/>
  <c r="L8" i="102"/>
  <c r="L9" i="102"/>
  <c r="L11" i="102"/>
  <c r="E29" i="95"/>
  <c r="D29" i="95"/>
  <c r="K11" i="102"/>
  <c r="K10" i="102"/>
  <c r="K9" i="102"/>
  <c r="K8" i="102"/>
  <c r="K7" i="102"/>
  <c r="C11" i="102"/>
  <c r="C10" i="102"/>
  <c r="C9" i="102"/>
  <c r="C8" i="102"/>
  <c r="J28" i="2"/>
  <c r="J12" i="102"/>
  <c r="I12" i="102"/>
  <c r="H12" i="102"/>
  <c r="G12" i="102"/>
  <c r="F12" i="102"/>
  <c r="E12" i="102"/>
  <c r="D12" i="102"/>
  <c r="A10" i="102"/>
  <c r="A11" i="102"/>
  <c r="A12" i="102"/>
  <c r="F31" i="95"/>
  <c r="F28" i="95"/>
  <c r="F26" i="95"/>
  <c r="F17" i="95"/>
  <c r="F21" i="95"/>
  <c r="F25" i="95"/>
  <c r="F22" i="95"/>
  <c r="F18" i="95"/>
  <c r="F14" i="95"/>
  <c r="F13" i="95"/>
  <c r="F10" i="95"/>
  <c r="A30" i="95"/>
  <c r="A31" i="95"/>
  <c r="K22" i="99"/>
  <c r="K21" i="99"/>
  <c r="K20" i="99"/>
  <c r="K19" i="99"/>
  <c r="K18" i="99"/>
  <c r="K17" i="99"/>
  <c r="K16" i="99"/>
  <c r="K15" i="99"/>
  <c r="K14" i="99"/>
  <c r="K13" i="99"/>
  <c r="K12" i="99"/>
  <c r="K11" i="99"/>
  <c r="K10" i="99"/>
  <c r="F164" i="75"/>
  <c r="F163" i="75"/>
  <c r="F161" i="75"/>
  <c r="E165" i="75"/>
  <c r="E164" i="75"/>
  <c r="E22" i="66"/>
  <c r="E35" i="66"/>
  <c r="E51" i="66"/>
  <c r="J27" i="2"/>
  <c r="F27" i="2"/>
  <c r="F28" i="2"/>
  <c r="E9" i="95"/>
  <c r="E10" i="95"/>
  <c r="E13" i="95"/>
  <c r="E14" i="95"/>
  <c r="E17" i="95"/>
  <c r="E18" i="95"/>
  <c r="E21" i="95"/>
  <c r="E22" i="95"/>
  <c r="E25" i="95"/>
  <c r="E26" i="95"/>
  <c r="E28" i="95"/>
  <c r="E8" i="94"/>
  <c r="E25" i="94"/>
  <c r="A25" i="94"/>
  <c r="E9" i="94"/>
  <c r="E10" i="94"/>
  <c r="E11" i="94"/>
  <c r="E12" i="94"/>
  <c r="E13" i="94"/>
  <c r="E14" i="94"/>
  <c r="E15" i="94"/>
  <c r="E16" i="94"/>
  <c r="E17" i="94"/>
  <c r="E18" i="94"/>
  <c r="E19" i="94"/>
  <c r="E20" i="94"/>
  <c r="E21" i="94"/>
  <c r="E22" i="94"/>
  <c r="D8" i="94"/>
  <c r="C9" i="94"/>
  <c r="D9" i="94"/>
  <c r="C10" i="94"/>
  <c r="D10" i="94"/>
  <c r="C11" i="94"/>
  <c r="D11" i="94"/>
  <c r="C12" i="94"/>
  <c r="D12" i="94"/>
  <c r="C13" i="94"/>
  <c r="D13" i="94"/>
  <c r="C14" i="94"/>
  <c r="D14" i="94"/>
  <c r="C15" i="94"/>
  <c r="D15" i="94"/>
  <c r="C16" i="94"/>
  <c r="D16" i="94"/>
  <c r="C17" i="94"/>
  <c r="D17" i="94"/>
  <c r="C18" i="94"/>
  <c r="D18" i="94"/>
  <c r="C19" i="94"/>
  <c r="D19" i="94"/>
  <c r="C20" i="94"/>
  <c r="D20" i="94"/>
  <c r="C21" i="94"/>
  <c r="D21" i="94"/>
  <c r="C22" i="94"/>
  <c r="D22" i="94"/>
  <c r="B9" i="94"/>
  <c r="B10" i="94"/>
  <c r="B11" i="94"/>
  <c r="B12" i="94"/>
  <c r="B13" i="94"/>
  <c r="B14" i="94"/>
  <c r="B15" i="94"/>
  <c r="B16" i="94"/>
  <c r="B17" i="94"/>
  <c r="B18" i="94"/>
  <c r="B19" i="94"/>
  <c r="B20" i="94"/>
  <c r="B21" i="94"/>
  <c r="B22" i="94"/>
  <c r="A8" i="94"/>
  <c r="A9" i="94"/>
  <c r="A10" i="94"/>
  <c r="A11" i="94"/>
  <c r="A12" i="94"/>
  <c r="A13" i="94"/>
  <c r="A14" i="94"/>
  <c r="A15" i="94"/>
  <c r="A16" i="94"/>
  <c r="A17" i="94"/>
  <c r="A18" i="94"/>
  <c r="A19" i="94"/>
  <c r="A20" i="94"/>
  <c r="A21" i="94"/>
  <c r="A22" i="94"/>
  <c r="A4" i="103"/>
  <c r="A1" i="103"/>
  <c r="A3" i="102"/>
  <c r="A1" i="102"/>
  <c r="D25" i="95"/>
  <c r="F40" i="62"/>
  <c r="F28" i="62"/>
  <c r="D21" i="95"/>
  <c r="D17" i="95"/>
  <c r="D13" i="95"/>
  <c r="D9" i="95"/>
  <c r="E8" i="93"/>
  <c r="E9" i="93"/>
  <c r="E10" i="93"/>
  <c r="E11" i="93"/>
  <c r="E12" i="93"/>
  <c r="E13" i="93"/>
  <c r="E14" i="93"/>
  <c r="E15" i="93"/>
  <c r="E16" i="93"/>
  <c r="E17" i="93"/>
  <c r="E18" i="93"/>
  <c r="E19" i="93"/>
  <c r="E20" i="93"/>
  <c r="E21" i="93"/>
  <c r="E22" i="93"/>
  <c r="E23" i="93"/>
  <c r="E24" i="93"/>
  <c r="K23" i="55"/>
  <c r="K24" i="55"/>
  <c r="K25" i="55"/>
  <c r="K26" i="55"/>
  <c r="K27" i="55"/>
  <c r="K28" i="55"/>
  <c r="K29" i="55"/>
  <c r="K30" i="55"/>
  <c r="K31" i="55"/>
  <c r="K32" i="55"/>
  <c r="K33" i="55"/>
  <c r="K34" i="55"/>
  <c r="K35" i="55"/>
  <c r="F20" i="56"/>
  <c r="F21" i="56"/>
  <c r="F22" i="56"/>
  <c r="F23" i="56"/>
  <c r="F24" i="56"/>
  <c r="F25" i="56"/>
  <c r="F47" i="56"/>
  <c r="D90" i="77"/>
  <c r="C15" i="61"/>
  <c r="C27" i="61"/>
  <c r="G15" i="75"/>
  <c r="D53" i="93"/>
  <c r="D58" i="93"/>
  <c r="E51" i="56"/>
  <c r="E56" i="56"/>
  <c r="E57" i="56"/>
  <c r="E58" i="56"/>
  <c r="E59" i="56"/>
  <c r="E60" i="56"/>
  <c r="E61" i="56"/>
  <c r="D22" i="77"/>
  <c r="D31" i="77"/>
  <c r="C31" i="61"/>
  <c r="C33" i="61"/>
  <c r="G19" i="75"/>
  <c r="C10" i="61"/>
  <c r="G11" i="75"/>
  <c r="D45" i="93"/>
  <c r="D11" i="77"/>
  <c r="D17" i="77"/>
  <c r="G12" i="75"/>
  <c r="G13" i="75"/>
  <c r="C11" i="57"/>
  <c r="G134" i="75"/>
  <c r="D112" i="77"/>
  <c r="G138" i="75"/>
  <c r="K41" i="55"/>
  <c r="K42" i="55"/>
  <c r="K43" i="55"/>
  <c r="K44" i="55"/>
  <c r="K45" i="55"/>
  <c r="K46" i="55"/>
  <c r="K47" i="55"/>
  <c r="K48" i="55"/>
  <c r="K49" i="55"/>
  <c r="K50" i="55"/>
  <c r="K51" i="55"/>
  <c r="K52" i="55"/>
  <c r="K53" i="55"/>
  <c r="K54" i="55"/>
  <c r="F30" i="56"/>
  <c r="F31" i="56"/>
  <c r="F32" i="56"/>
  <c r="F33" i="56"/>
  <c r="F34" i="56"/>
  <c r="F35" i="56"/>
  <c r="F36" i="56"/>
  <c r="F37" i="56"/>
  <c r="F38" i="56"/>
  <c r="F39" i="56"/>
  <c r="F40" i="56"/>
  <c r="D121" i="77"/>
  <c r="G146" i="75"/>
  <c r="G148" i="75"/>
  <c r="L9" i="62"/>
  <c r="K23" i="62"/>
  <c r="L13" i="62"/>
  <c r="L17" i="62"/>
  <c r="L21" i="62"/>
  <c r="K42" i="62"/>
  <c r="G55" i="75"/>
  <c r="L30" i="62"/>
  <c r="L34" i="62"/>
  <c r="L38" i="62"/>
  <c r="G44" i="75"/>
  <c r="E65" i="93"/>
  <c r="G150" i="75"/>
  <c r="K15" i="55"/>
  <c r="K66" i="55"/>
  <c r="D128" i="77"/>
  <c r="F10" i="56"/>
  <c r="F52" i="56"/>
  <c r="D129" i="77"/>
  <c r="G163" i="75"/>
  <c r="G174" i="75"/>
  <c r="F11" i="49"/>
  <c r="F14" i="49"/>
  <c r="F19" i="49"/>
  <c r="F24" i="49"/>
  <c r="F25" i="49"/>
  <c r="F26" i="49"/>
  <c r="F27" i="49"/>
  <c r="F28" i="49"/>
  <c r="F29" i="49"/>
  <c r="F31" i="49"/>
  <c r="K16" i="55"/>
  <c r="K67" i="55"/>
  <c r="D140" i="77"/>
  <c r="F11" i="56"/>
  <c r="F53" i="56"/>
  <c r="D141" i="77"/>
  <c r="D145" i="77"/>
  <c r="G177" i="75"/>
  <c r="G9" i="49"/>
  <c r="G10" i="49"/>
  <c r="G13" i="49"/>
  <c r="G23" i="49"/>
  <c r="G35" i="49"/>
  <c r="G182" i="75"/>
  <c r="G99" i="2"/>
  <c r="G105" i="2"/>
  <c r="G108" i="2"/>
  <c r="G11" i="2"/>
  <c r="G112" i="2"/>
  <c r="G130" i="2"/>
  <c r="G132" i="2"/>
  <c r="G12" i="2"/>
  <c r="G13" i="2"/>
  <c r="G68" i="75"/>
  <c r="H21" i="2"/>
  <c r="H30" i="2"/>
  <c r="H38" i="2"/>
  <c r="H55" i="2"/>
  <c r="H59" i="2"/>
  <c r="H81" i="2"/>
  <c r="H82" i="2"/>
  <c r="H83" i="2"/>
  <c r="H84" i="2"/>
  <c r="H85" i="2"/>
  <c r="H86" i="2"/>
  <c r="H88" i="2"/>
  <c r="H90" i="2"/>
  <c r="H94" i="2"/>
  <c r="H96" i="2"/>
  <c r="H100" i="2"/>
  <c r="H115" i="2"/>
  <c r="H121" i="2"/>
  <c r="H130" i="2"/>
  <c r="H132" i="2"/>
  <c r="H12" i="2"/>
  <c r="I25" i="2"/>
  <c r="I32" i="2"/>
  <c r="I47" i="2"/>
  <c r="I48" i="2"/>
  <c r="I51" i="2"/>
  <c r="I57" i="2"/>
  <c r="I92" i="2"/>
  <c r="I105" i="2"/>
  <c r="I108" i="2"/>
  <c r="I11" i="2"/>
  <c r="G80" i="75"/>
  <c r="G81" i="75"/>
  <c r="Q14" i="74"/>
  <c r="D52" i="77"/>
  <c r="H52" i="77"/>
  <c r="Q15" i="74"/>
  <c r="D53" i="77"/>
  <c r="H53" i="77"/>
  <c r="H57" i="77"/>
  <c r="Q16" i="74"/>
  <c r="D59" i="77"/>
  <c r="H59" i="77"/>
  <c r="H64" i="77"/>
  <c r="F10" i="99"/>
  <c r="F11" i="99"/>
  <c r="F12" i="99"/>
  <c r="F13" i="99"/>
  <c r="F14" i="99"/>
  <c r="F15" i="99"/>
  <c r="F16" i="99"/>
  <c r="F17" i="99"/>
  <c r="F18" i="99"/>
  <c r="F19" i="99"/>
  <c r="F20" i="99"/>
  <c r="F21" i="99"/>
  <c r="F22" i="99"/>
  <c r="G97" i="75"/>
  <c r="Q10" i="73"/>
  <c r="D38" i="73"/>
  <c r="G38" i="73"/>
  <c r="Q17" i="73"/>
  <c r="D45" i="73"/>
  <c r="G45" i="73"/>
  <c r="G59" i="73"/>
  <c r="G98" i="75"/>
  <c r="Q9" i="73"/>
  <c r="D37" i="73"/>
  <c r="H37" i="73"/>
  <c r="Q11" i="73"/>
  <c r="D39" i="73"/>
  <c r="H39" i="73"/>
  <c r="Q16" i="73"/>
  <c r="D44" i="73"/>
  <c r="H44" i="73"/>
  <c r="Q18" i="73"/>
  <c r="D46" i="73"/>
  <c r="H46" i="73"/>
  <c r="Q20" i="73"/>
  <c r="D48" i="73"/>
  <c r="H48" i="73"/>
  <c r="Q21" i="73"/>
  <c r="D49" i="73"/>
  <c r="H49" i="73"/>
  <c r="Q27" i="73"/>
  <c r="D55" i="73"/>
  <c r="H55" i="73"/>
  <c r="P11" i="58"/>
  <c r="G106" i="75"/>
  <c r="Q9" i="91"/>
  <c r="G90" i="75"/>
  <c r="Q10" i="91"/>
  <c r="G91" i="75"/>
  <c r="G116" i="75"/>
  <c r="Q8" i="44"/>
  <c r="Q9" i="44"/>
  <c r="Q10" i="44"/>
  <c r="Q11" i="44"/>
  <c r="Q33" i="44"/>
  <c r="Q38" i="44"/>
  <c r="Q34" i="44"/>
  <c r="Q35" i="44"/>
  <c r="Q36" i="44"/>
  <c r="Q37" i="44"/>
  <c r="Q39" i="44"/>
  <c r="G200" i="75"/>
  <c r="D39" i="44"/>
  <c r="D45" i="44"/>
  <c r="E39" i="44"/>
  <c r="E45" i="44"/>
  <c r="F39" i="44"/>
  <c r="F45" i="44"/>
  <c r="G39" i="44"/>
  <c r="G45" i="44"/>
  <c r="H39" i="44"/>
  <c r="H45" i="44"/>
  <c r="I39" i="44"/>
  <c r="I45" i="44"/>
  <c r="J39" i="44"/>
  <c r="J45" i="44"/>
  <c r="K39" i="44"/>
  <c r="K45" i="44"/>
  <c r="L39" i="44"/>
  <c r="L45" i="44"/>
  <c r="M39" i="44"/>
  <c r="M45" i="44"/>
  <c r="N39" i="44"/>
  <c r="N45" i="44"/>
  <c r="O39" i="44"/>
  <c r="O45" i="44"/>
  <c r="P39" i="44"/>
  <c r="P45" i="44"/>
  <c r="Q46" i="44"/>
  <c r="Q16" i="44"/>
  <c r="G201" i="75"/>
  <c r="G209" i="75"/>
  <c r="G210" i="75"/>
  <c r="G225" i="75"/>
  <c r="G226" i="75"/>
  <c r="G230" i="75"/>
  <c r="G231" i="75"/>
  <c r="G232" i="75"/>
  <c r="G233" i="75"/>
  <c r="E8" i="86"/>
  <c r="D10" i="51"/>
  <c r="G269" i="75"/>
  <c r="F10" i="51"/>
  <c r="G270" i="75"/>
  <c r="D25" i="51"/>
  <c r="D30" i="51"/>
  <c r="D31" i="51"/>
  <c r="D40" i="51"/>
  <c r="D49" i="51"/>
  <c r="D52" i="51"/>
  <c r="G284" i="75"/>
  <c r="D53" i="51"/>
  <c r="E24" i="51"/>
  <c r="E26" i="51"/>
  <c r="E32" i="51"/>
  <c r="E39" i="51"/>
  <c r="E41" i="51"/>
  <c r="E45" i="51"/>
  <c r="F36" i="51"/>
  <c r="F60" i="51"/>
  <c r="G279" i="75"/>
  <c r="G285" i="75"/>
  <c r="G55" i="78"/>
  <c r="G56" i="78"/>
  <c r="G57" i="78"/>
  <c r="G58" i="78"/>
  <c r="G59" i="78"/>
  <c r="G60" i="78"/>
  <c r="G61" i="78"/>
  <c r="G62" i="78"/>
  <c r="G63" i="78"/>
  <c r="G64" i="78"/>
  <c r="H163" i="75"/>
  <c r="G55" i="101"/>
  <c r="G56" i="101"/>
  <c r="G57" i="101"/>
  <c r="G58" i="101"/>
  <c r="G59" i="101"/>
  <c r="G60" i="101"/>
  <c r="G69" i="101"/>
  <c r="D70" i="2"/>
  <c r="Q25" i="73"/>
  <c r="D53" i="73"/>
  <c r="E53" i="73"/>
  <c r="Q26" i="73"/>
  <c r="D54" i="73"/>
  <c r="E54" i="73"/>
  <c r="Q24" i="73"/>
  <c r="D52" i="73"/>
  <c r="E52" i="73"/>
  <c r="Q23" i="73"/>
  <c r="D51" i="73"/>
  <c r="E51" i="73"/>
  <c r="Q22" i="73"/>
  <c r="D50" i="73"/>
  <c r="E50" i="73"/>
  <c r="B53" i="73"/>
  <c r="B54" i="73"/>
  <c r="B55" i="73"/>
  <c r="A55" i="73"/>
  <c r="A54" i="73"/>
  <c r="A40" i="73"/>
  <c r="A41" i="73"/>
  <c r="A42" i="73"/>
  <c r="A43" i="73"/>
  <c r="A44" i="73"/>
  <c r="A45" i="73"/>
  <c r="A46" i="73"/>
  <c r="A47" i="73"/>
  <c r="A48" i="73"/>
  <c r="A49" i="73"/>
  <c r="A50" i="73"/>
  <c r="A51" i="73"/>
  <c r="A52" i="73"/>
  <c r="A53" i="73"/>
  <c r="A12" i="73"/>
  <c r="A13" i="73"/>
  <c r="A14" i="73"/>
  <c r="A15" i="73"/>
  <c r="A16" i="73"/>
  <c r="A17" i="73"/>
  <c r="A18" i="73"/>
  <c r="A19" i="73"/>
  <c r="A20" i="73"/>
  <c r="A21" i="73"/>
  <c r="A22" i="73"/>
  <c r="A23" i="73"/>
  <c r="A24" i="73"/>
  <c r="A25" i="73"/>
  <c r="A26" i="73"/>
  <c r="A27" i="73"/>
  <c r="A8" i="73"/>
  <c r="A9" i="73"/>
  <c r="A10" i="73"/>
  <c r="A11" i="73"/>
  <c r="A28" i="73"/>
  <c r="A31" i="73"/>
  <c r="A33" i="73"/>
  <c r="A34" i="73"/>
  <c r="A35" i="73"/>
  <c r="A36" i="73"/>
  <c r="A37" i="73"/>
  <c r="A38" i="73"/>
  <c r="A39" i="73"/>
  <c r="B51" i="73"/>
  <c r="B50" i="73"/>
  <c r="Q28" i="73"/>
  <c r="D56" i="73"/>
  <c r="C56" i="73"/>
  <c r="A56" i="73"/>
  <c r="B52" i="73"/>
  <c r="A32" i="49"/>
  <c r="G25" i="74"/>
  <c r="Q8" i="74"/>
  <c r="A3" i="99"/>
  <c r="A1" i="99"/>
  <c r="K40" i="55"/>
  <c r="I70" i="55"/>
  <c r="K21" i="55"/>
  <c r="K19" i="55"/>
  <c r="K13" i="55"/>
  <c r="K12" i="55"/>
  <c r="C16" i="97"/>
  <c r="C28" i="97"/>
  <c r="C40" i="97"/>
  <c r="G24" i="78"/>
  <c r="A10" i="101"/>
  <c r="A11" i="101"/>
  <c r="A12" i="101"/>
  <c r="A13" i="101"/>
  <c r="A14" i="101"/>
  <c r="A15" i="101"/>
  <c r="A16" i="101"/>
  <c r="A17" i="101"/>
  <c r="A18" i="101"/>
  <c r="A19" i="101"/>
  <c r="A20" i="101"/>
  <c r="A21" i="101"/>
  <c r="A22" i="101"/>
  <c r="A23" i="101"/>
  <c r="A24" i="101"/>
  <c r="A25" i="101"/>
  <c r="A26" i="101"/>
  <c r="A27" i="101"/>
  <c r="A28" i="101"/>
  <c r="A29" i="101"/>
  <c r="A30" i="101"/>
  <c r="A31" i="101"/>
  <c r="A32" i="101"/>
  <c r="A33" i="101"/>
  <c r="A36" i="101"/>
  <c r="A66" i="101"/>
  <c r="A67" i="101"/>
  <c r="H68" i="101"/>
  <c r="G22" i="101"/>
  <c r="G25" i="101"/>
  <c r="G29" i="101"/>
  <c r="G37" i="101"/>
  <c r="H37" i="101"/>
  <c r="F37" i="101"/>
  <c r="G38" i="101"/>
  <c r="H38" i="101"/>
  <c r="F38" i="101"/>
  <c r="G39" i="101"/>
  <c r="H39" i="101"/>
  <c r="F39" i="101"/>
  <c r="I37" i="101"/>
  <c r="I38" i="101"/>
  <c r="I39" i="101"/>
  <c r="G40" i="101"/>
  <c r="H40" i="101"/>
  <c r="F40" i="101"/>
  <c r="G41" i="101"/>
  <c r="H41" i="101"/>
  <c r="F41" i="101"/>
  <c r="G42" i="101"/>
  <c r="H42" i="101"/>
  <c r="F42" i="101"/>
  <c r="I40" i="101"/>
  <c r="I41" i="101"/>
  <c r="I42" i="101"/>
  <c r="G43" i="101"/>
  <c r="H43" i="101"/>
  <c r="F43" i="101"/>
  <c r="G44" i="101"/>
  <c r="H44" i="101"/>
  <c r="F44" i="101"/>
  <c r="G45" i="101"/>
  <c r="H45" i="101"/>
  <c r="F45" i="101"/>
  <c r="I43" i="101"/>
  <c r="I44" i="101"/>
  <c r="I45" i="101"/>
  <c r="G46" i="101"/>
  <c r="H46" i="101"/>
  <c r="F46" i="101"/>
  <c r="G47" i="101"/>
  <c r="H47" i="101"/>
  <c r="E47" i="101"/>
  <c r="F47" i="101"/>
  <c r="G48" i="101"/>
  <c r="H48" i="101"/>
  <c r="E48" i="101"/>
  <c r="F48" i="101"/>
  <c r="I46" i="101"/>
  <c r="I47" i="101"/>
  <c r="I48" i="101"/>
  <c r="H49" i="101"/>
  <c r="E49" i="101"/>
  <c r="F49" i="101"/>
  <c r="H50" i="101"/>
  <c r="E50" i="101"/>
  <c r="F50" i="101"/>
  <c r="H51" i="101"/>
  <c r="E51" i="101"/>
  <c r="F51" i="101"/>
  <c r="I49" i="101"/>
  <c r="I50" i="101"/>
  <c r="I51" i="101"/>
  <c r="H52" i="101"/>
  <c r="E52" i="101"/>
  <c r="F52" i="101"/>
  <c r="H53" i="101"/>
  <c r="E53" i="101"/>
  <c r="F53" i="101"/>
  <c r="H54" i="101"/>
  <c r="E54" i="101"/>
  <c r="F54" i="101"/>
  <c r="I52" i="101"/>
  <c r="I53" i="101"/>
  <c r="I54" i="101"/>
  <c r="H55" i="101"/>
  <c r="E55" i="101"/>
  <c r="F55" i="101"/>
  <c r="H56" i="101"/>
  <c r="E56" i="101"/>
  <c r="F56" i="101"/>
  <c r="H57" i="101"/>
  <c r="E57" i="101"/>
  <c r="F57" i="101"/>
  <c r="I55" i="101"/>
  <c r="I56" i="101"/>
  <c r="I57" i="101"/>
  <c r="H58" i="101"/>
  <c r="E58" i="101"/>
  <c r="F58" i="101"/>
  <c r="H59" i="101"/>
  <c r="E59" i="101"/>
  <c r="F59" i="101"/>
  <c r="H60" i="101"/>
  <c r="E60" i="101"/>
  <c r="F60" i="101"/>
  <c r="I58" i="101"/>
  <c r="I59" i="101"/>
  <c r="I60" i="101"/>
  <c r="G61" i="101"/>
  <c r="H61" i="101"/>
  <c r="E61" i="101"/>
  <c r="F61" i="101"/>
  <c r="G62" i="101"/>
  <c r="H62" i="101"/>
  <c r="E62" i="101"/>
  <c r="F62" i="101"/>
  <c r="G63" i="101"/>
  <c r="H63" i="101"/>
  <c r="E63" i="101"/>
  <c r="F63" i="101"/>
  <c r="I61" i="101"/>
  <c r="I62" i="101"/>
  <c r="I63" i="101"/>
  <c r="G64" i="101"/>
  <c r="H64" i="101"/>
  <c r="E64" i="101"/>
  <c r="F64" i="101"/>
  <c r="E65" i="101"/>
  <c r="F65" i="101"/>
  <c r="F66" i="101"/>
  <c r="F67" i="101"/>
  <c r="F68" i="101"/>
  <c r="A68" i="101"/>
  <c r="H67" i="101"/>
  <c r="H66" i="101"/>
  <c r="I64" i="101"/>
  <c r="G65" i="101"/>
  <c r="I65" i="101"/>
  <c r="A37" i="101"/>
  <c r="A38" i="101"/>
  <c r="A39" i="101"/>
  <c r="A40" i="101"/>
  <c r="A41" i="101"/>
  <c r="A42" i="101"/>
  <c r="A43" i="101"/>
  <c r="A44" i="101"/>
  <c r="A45" i="101"/>
  <c r="A46" i="101"/>
  <c r="A47" i="101"/>
  <c r="A48" i="101"/>
  <c r="A49" i="101"/>
  <c r="A50" i="101"/>
  <c r="A51" i="101"/>
  <c r="A52" i="101"/>
  <c r="A53" i="101"/>
  <c r="A54" i="101"/>
  <c r="A55" i="101"/>
  <c r="A56" i="101"/>
  <c r="A57" i="101"/>
  <c r="A58" i="101"/>
  <c r="A59" i="101"/>
  <c r="A60" i="101"/>
  <c r="A61" i="101"/>
  <c r="A62" i="101"/>
  <c r="A63" i="101"/>
  <c r="A64" i="101"/>
  <c r="A65" i="101"/>
  <c r="M64" i="101"/>
  <c r="M62" i="101"/>
  <c r="H29" i="101"/>
  <c r="H25" i="101"/>
  <c r="H22" i="101"/>
  <c r="A12" i="75"/>
  <c r="A13" i="75"/>
  <c r="A15" i="75"/>
  <c r="A16" i="75"/>
  <c r="A17" i="75"/>
  <c r="A19" i="75"/>
  <c r="A20" i="75"/>
  <c r="A21" i="75"/>
  <c r="A23" i="75"/>
  <c r="A24" i="75"/>
  <c r="A27" i="75"/>
  <c r="A28" i="75"/>
  <c r="A29" i="75"/>
  <c r="A31" i="75"/>
  <c r="A32" i="75"/>
  <c r="A34" i="75"/>
  <c r="A35" i="75"/>
  <c r="A40" i="75"/>
  <c r="A41" i="75"/>
  <c r="A42" i="75"/>
  <c r="A44" i="75"/>
  <c r="A45" i="75"/>
  <c r="A46" i="75"/>
  <c r="A47" i="75"/>
  <c r="A48" i="75"/>
  <c r="A50" i="75"/>
  <c r="A53" i="75"/>
  <c r="A55" i="75"/>
  <c r="A56" i="75"/>
  <c r="A57" i="75"/>
  <c r="A58" i="75"/>
  <c r="A59" i="75"/>
  <c r="A61" i="75"/>
  <c r="A63" i="75"/>
  <c r="A68" i="75"/>
  <c r="A69" i="75"/>
  <c r="A70" i="75"/>
  <c r="A71" i="75"/>
  <c r="A72" i="75"/>
  <c r="A73" i="75"/>
  <c r="A74" i="75"/>
  <c r="A75" i="75"/>
  <c r="A77" i="75"/>
  <c r="A80" i="75"/>
  <c r="A81" i="75"/>
  <c r="A82" i="75"/>
  <c r="A83" i="75"/>
  <c r="A84" i="75"/>
  <c r="A85" i="75"/>
  <c r="A86" i="75"/>
  <c r="A87" i="75"/>
  <c r="A90" i="75"/>
  <c r="A91" i="75"/>
  <c r="A92" i="75"/>
  <c r="A93" i="75"/>
  <c r="A94" i="75"/>
  <c r="A97" i="75"/>
  <c r="A98" i="75"/>
  <c r="A99" i="75"/>
  <c r="A100" i="75"/>
  <c r="A101" i="75"/>
  <c r="A102" i="75"/>
  <c r="A103" i="75"/>
  <c r="A104" i="75"/>
  <c r="A106" i="75"/>
  <c r="A109" i="75"/>
  <c r="A110" i="75"/>
  <c r="A111" i="75"/>
  <c r="A114" i="75"/>
  <c r="A115" i="75"/>
  <c r="A116" i="75"/>
  <c r="A118" i="75"/>
  <c r="A120" i="75"/>
  <c r="A125" i="75"/>
  <c r="A126" i="75"/>
  <c r="A127" i="75"/>
  <c r="A128" i="75"/>
  <c r="A129" i="75"/>
  <c r="A130" i="75"/>
  <c r="A133" i="75"/>
  <c r="A134" i="75"/>
  <c r="A135" i="75"/>
  <c r="A136" i="75"/>
  <c r="A137" i="75"/>
  <c r="A138" i="75"/>
  <c r="A139" i="75"/>
  <c r="A140" i="75"/>
  <c r="A141" i="75"/>
  <c r="A142" i="75"/>
  <c r="A143" i="75"/>
  <c r="A146" i="75"/>
  <c r="A147" i="75"/>
  <c r="A148" i="75"/>
  <c r="A149" i="75"/>
  <c r="A150" i="75"/>
  <c r="A151" i="75"/>
  <c r="A152" i="75"/>
  <c r="A153" i="75"/>
  <c r="A154" i="75"/>
  <c r="A155" i="75"/>
  <c r="A156" i="75"/>
  <c r="A161" i="75"/>
  <c r="A162" i="75"/>
  <c r="A163" i="75"/>
  <c r="A164" i="75"/>
  <c r="A165" i="75"/>
  <c r="A166" i="75"/>
  <c r="A167" i="75"/>
  <c r="A168" i="75"/>
  <c r="A169" i="75"/>
  <c r="A170" i="75"/>
  <c r="A174" i="75"/>
  <c r="A175" i="75"/>
  <c r="A176" i="75"/>
  <c r="A177" i="75"/>
  <c r="A178" i="75"/>
  <c r="A179" i="75"/>
  <c r="A180" i="75"/>
  <c r="A181" i="75"/>
  <c r="A182" i="75"/>
  <c r="A183" i="75"/>
  <c r="A184" i="75"/>
  <c r="A185" i="75"/>
  <c r="A189" i="75"/>
  <c r="A190" i="75"/>
  <c r="A191" i="75"/>
  <c r="A192" i="75"/>
  <c r="A193" i="75"/>
  <c r="A197" i="75"/>
  <c r="A198" i="75"/>
  <c r="A199" i="75"/>
  <c r="A200" i="75"/>
  <c r="A201" i="75"/>
  <c r="A202" i="75"/>
  <c r="A204" i="75"/>
  <c r="A205" i="75"/>
  <c r="A206" i="75"/>
  <c r="A208" i="75"/>
  <c r="A209" i="75"/>
  <c r="A210" i="75"/>
  <c r="A212" i="75"/>
  <c r="A213" i="75"/>
  <c r="A214" i="75"/>
  <c r="A215" i="75"/>
  <c r="A217" i="75"/>
  <c r="A222" i="75"/>
  <c r="A223" i="75"/>
  <c r="A224" i="75"/>
  <c r="A225" i="75"/>
  <c r="A226" i="75"/>
  <c r="A229" i="75"/>
  <c r="A231" i="75"/>
  <c r="F232" i="75"/>
  <c r="F231" i="75"/>
  <c r="F230" i="75"/>
  <c r="H230" i="75"/>
  <c r="H231" i="75"/>
  <c r="H232" i="75"/>
  <c r="H225" i="75"/>
  <c r="H233" i="75"/>
  <c r="H27" i="75"/>
  <c r="H44" i="75"/>
  <c r="H45" i="75"/>
  <c r="H46" i="75"/>
  <c r="H15" i="75"/>
  <c r="H19" i="75"/>
  <c r="H11" i="75"/>
  <c r="H12" i="75"/>
  <c r="H13" i="75"/>
  <c r="H40" i="75"/>
  <c r="D9" i="84"/>
  <c r="D10" i="84"/>
  <c r="D11" i="84"/>
  <c r="D12" i="84"/>
  <c r="D13" i="84"/>
  <c r="D14" i="84"/>
  <c r="D15" i="84"/>
  <c r="D16" i="84"/>
  <c r="D17" i="84"/>
  <c r="D18" i="84"/>
  <c r="D19" i="84"/>
  <c r="D20" i="84"/>
  <c r="H55" i="75"/>
  <c r="H56" i="75"/>
  <c r="H57" i="75"/>
  <c r="H53" i="75"/>
  <c r="A232" i="75"/>
  <c r="A233" i="75"/>
  <c r="A234" i="75"/>
  <c r="F235" i="75"/>
  <c r="A235" i="75"/>
  <c r="A230" i="75"/>
  <c r="I78" i="77"/>
  <c r="I77" i="77"/>
  <c r="A50" i="77"/>
  <c r="A51" i="77"/>
  <c r="A57" i="77"/>
  <c r="A58" i="77"/>
  <c r="A64" i="77"/>
  <c r="A65" i="77"/>
  <c r="A73" i="77"/>
  <c r="A74" i="77"/>
  <c r="A75" i="77"/>
  <c r="A76" i="77"/>
  <c r="A77" i="77"/>
  <c r="A78" i="77"/>
  <c r="A79" i="77"/>
  <c r="M25" i="2"/>
  <c r="A3" i="100"/>
  <c r="A1" i="100"/>
  <c r="A8" i="99"/>
  <c r="A9" i="99"/>
  <c r="A10" i="99"/>
  <c r="A11" i="99"/>
  <c r="A12" i="99"/>
  <c r="A13" i="99"/>
  <c r="A14" i="99"/>
  <c r="A15" i="99"/>
  <c r="A16" i="99"/>
  <c r="A17" i="99"/>
  <c r="A18" i="99"/>
  <c r="A19" i="99"/>
  <c r="A20" i="99"/>
  <c r="A21" i="99"/>
  <c r="A22" i="99"/>
  <c r="A23" i="99"/>
  <c r="A24" i="99"/>
  <c r="F118" i="2"/>
  <c r="A41" i="62"/>
  <c r="A20" i="95"/>
  <c r="A21" i="95"/>
  <c r="A22" i="95"/>
  <c r="A23" i="95"/>
  <c r="A24" i="95"/>
  <c r="A25" i="95"/>
  <c r="A26" i="95"/>
  <c r="A27" i="95"/>
  <c r="A28" i="95"/>
  <c r="D26" i="95"/>
  <c r="D22" i="95"/>
  <c r="D10" i="95"/>
  <c r="D18" i="95"/>
  <c r="H210" i="75"/>
  <c r="C9" i="98"/>
  <c r="D7" i="98"/>
  <c r="D8" i="98"/>
  <c r="D9" i="98"/>
  <c r="A3" i="98"/>
  <c r="A1" i="98"/>
  <c r="G54" i="51"/>
  <c r="G55" i="51"/>
  <c r="D55" i="51"/>
  <c r="G56" i="51"/>
  <c r="E56" i="51"/>
  <c r="G15" i="51"/>
  <c r="G17" i="51"/>
  <c r="G18" i="51"/>
  <c r="G19" i="51"/>
  <c r="G20" i="51"/>
  <c r="G21" i="51"/>
  <c r="G22" i="51"/>
  <c r="G23" i="51"/>
  <c r="G27" i="51"/>
  <c r="G28" i="51"/>
  <c r="G29" i="51"/>
  <c r="G33" i="51"/>
  <c r="G34" i="51"/>
  <c r="G35" i="51"/>
  <c r="G37" i="51"/>
  <c r="G42" i="51"/>
  <c r="G43" i="51"/>
  <c r="G44" i="51"/>
  <c r="G46" i="51"/>
  <c r="G47" i="51"/>
  <c r="G48" i="51"/>
  <c r="G50" i="51"/>
  <c r="G51" i="51"/>
  <c r="A54" i="51"/>
  <c r="A55" i="51"/>
  <c r="A56" i="51"/>
  <c r="A57" i="51"/>
  <c r="A3" i="97"/>
  <c r="A1" i="97"/>
  <c r="A7" i="97"/>
  <c r="A8" i="97"/>
  <c r="A11" i="97"/>
  <c r="A12" i="97"/>
  <c r="A13" i="97"/>
  <c r="A14" i="97"/>
  <c r="A16" i="97"/>
  <c r="A17" i="97"/>
  <c r="A18" i="97"/>
  <c r="A19" i="97"/>
  <c r="A22" i="97"/>
  <c r="A23" i="97"/>
  <c r="A24" i="97"/>
  <c r="A25" i="97"/>
  <c r="A26" i="97"/>
  <c r="A28" i="97"/>
  <c r="A29" i="97"/>
  <c r="A30" i="97"/>
  <c r="A31" i="97"/>
  <c r="A32" i="97"/>
  <c r="A33" i="97"/>
  <c r="A34" i="97"/>
  <c r="A35" i="97"/>
  <c r="A36" i="97"/>
  <c r="A37" i="97"/>
  <c r="A38" i="97"/>
  <c r="A40" i="97"/>
  <c r="J64" i="2"/>
  <c r="F64" i="2"/>
  <c r="A64" i="2"/>
  <c r="A65" i="2"/>
  <c r="A8" i="95"/>
  <c r="A9" i="95"/>
  <c r="A10" i="95"/>
  <c r="A11" i="95"/>
  <c r="A12" i="95"/>
  <c r="A13" i="95"/>
  <c r="A14" i="95"/>
  <c r="A15" i="95"/>
  <c r="A16" i="95"/>
  <c r="A17" i="95"/>
  <c r="A18" i="95"/>
  <c r="A19" i="95"/>
  <c r="A29" i="95"/>
  <c r="B31" i="95"/>
  <c r="A3" i="95"/>
  <c r="A1" i="95"/>
  <c r="A3" i="94"/>
  <c r="A1" i="94"/>
  <c r="I130" i="77"/>
  <c r="D130" i="77"/>
  <c r="E55" i="75"/>
  <c r="E38" i="78"/>
  <c r="E39" i="78"/>
  <c r="E40" i="78"/>
  <c r="E41" i="78"/>
  <c r="E42" i="78"/>
  <c r="E43" i="78"/>
  <c r="E44" i="78"/>
  <c r="E45" i="78"/>
  <c r="E46" i="78"/>
  <c r="E47" i="78"/>
  <c r="E48" i="78"/>
  <c r="E49" i="78"/>
  <c r="E50" i="78"/>
  <c r="E51" i="78"/>
  <c r="E52" i="78"/>
  <c r="E53" i="78"/>
  <c r="E54" i="78"/>
  <c r="E55" i="78"/>
  <c r="E56" i="78"/>
  <c r="E57" i="78"/>
  <c r="E58" i="78"/>
  <c r="E59" i="78"/>
  <c r="E60" i="78"/>
  <c r="E61" i="78"/>
  <c r="E62" i="78"/>
  <c r="E63" i="78"/>
  <c r="E64" i="78"/>
  <c r="E65" i="78"/>
  <c r="E37" i="78"/>
  <c r="A82" i="77"/>
  <c r="A83" i="77"/>
  <c r="A84" i="77"/>
  <c r="A85" i="77"/>
  <c r="A86" i="77"/>
  <c r="A87" i="77"/>
  <c r="A94" i="77"/>
  <c r="A95" i="77"/>
  <c r="A96" i="77"/>
  <c r="A103" i="77"/>
  <c r="A104" i="77"/>
  <c r="A105" i="77"/>
  <c r="A112" i="77"/>
  <c r="A113" i="77"/>
  <c r="A114" i="77"/>
  <c r="A115" i="77"/>
  <c r="A121" i="77"/>
  <c r="A122" i="77"/>
  <c r="A123" i="77"/>
  <c r="A124" i="77"/>
  <c r="A125" i="77"/>
  <c r="A126" i="77"/>
  <c r="A127" i="77"/>
  <c r="A128" i="77"/>
  <c r="A129" i="77"/>
  <c r="A130" i="77"/>
  <c r="A131" i="77"/>
  <c r="A141" i="2"/>
  <c r="N108" i="2"/>
  <c r="M92" i="2"/>
  <c r="M105" i="2"/>
  <c r="M108" i="2"/>
  <c r="L81" i="2"/>
  <c r="L82" i="2"/>
  <c r="L83" i="2"/>
  <c r="L84" i="2"/>
  <c r="L85" i="2"/>
  <c r="L86" i="2"/>
  <c r="L87" i="2"/>
  <c r="L88" i="2"/>
  <c r="L90" i="2"/>
  <c r="L94" i="2"/>
  <c r="L96" i="2"/>
  <c r="L100" i="2"/>
  <c r="K99" i="2"/>
  <c r="K105" i="2"/>
  <c r="K108" i="2"/>
  <c r="J89" i="2"/>
  <c r="J91" i="2"/>
  <c r="J93" i="2"/>
  <c r="J95" i="2"/>
  <c r="J97" i="2"/>
  <c r="J98" i="2"/>
  <c r="J107" i="2"/>
  <c r="F91" i="2"/>
  <c r="F93" i="2"/>
  <c r="F95" i="2"/>
  <c r="F97" i="2"/>
  <c r="F98" i="2"/>
  <c r="F107" i="2"/>
  <c r="E105" i="2"/>
  <c r="E107" i="2"/>
  <c r="D105" i="2"/>
  <c r="D107" i="2"/>
  <c r="A108" i="2"/>
  <c r="A106" i="2"/>
  <c r="E10" i="56"/>
  <c r="E52" i="56"/>
  <c r="E11" i="56"/>
  <c r="E53" i="56"/>
  <c r="E12" i="56"/>
  <c r="E13" i="56"/>
  <c r="E14" i="56"/>
  <c r="E15" i="56"/>
  <c r="E16" i="56"/>
  <c r="E17" i="56"/>
  <c r="E18" i="56"/>
  <c r="E19" i="56"/>
  <c r="E54" i="56"/>
  <c r="E20" i="56"/>
  <c r="E21" i="56"/>
  <c r="E22" i="56"/>
  <c r="E23" i="56"/>
  <c r="E24" i="56"/>
  <c r="E25" i="56"/>
  <c r="E55" i="56"/>
  <c r="E63" i="56"/>
  <c r="A63" i="56"/>
  <c r="A62" i="56"/>
  <c r="F9" i="56"/>
  <c r="D10" i="56"/>
  <c r="D11" i="56"/>
  <c r="D12" i="56"/>
  <c r="F12" i="56"/>
  <c r="D13" i="56"/>
  <c r="F13" i="56"/>
  <c r="D14" i="56"/>
  <c r="F14" i="56"/>
  <c r="D15" i="56"/>
  <c r="F15" i="56"/>
  <c r="D16" i="56"/>
  <c r="F16" i="56"/>
  <c r="D17" i="56"/>
  <c r="F17" i="56"/>
  <c r="D18" i="56"/>
  <c r="F18" i="56"/>
  <c r="D19" i="56"/>
  <c r="F19" i="56"/>
  <c r="D20" i="56"/>
  <c r="D21" i="56"/>
  <c r="D22" i="56"/>
  <c r="D23" i="56"/>
  <c r="D24" i="56"/>
  <c r="D25" i="56"/>
  <c r="F55" i="56"/>
  <c r="D56" i="56"/>
  <c r="F26" i="56"/>
  <c r="F56" i="56"/>
  <c r="F27" i="56"/>
  <c r="F57" i="56"/>
  <c r="F29" i="56"/>
  <c r="F58" i="56"/>
  <c r="F28" i="56"/>
  <c r="F59" i="56"/>
  <c r="D51" i="56"/>
  <c r="D52" i="56"/>
  <c r="D53" i="56"/>
  <c r="D54" i="56"/>
  <c r="D55" i="56"/>
  <c r="D57" i="56"/>
  <c r="D58" i="56"/>
  <c r="D60" i="56"/>
  <c r="B61" i="56"/>
  <c r="A61" i="56"/>
  <c r="A60" i="56"/>
  <c r="A59" i="56"/>
  <c r="A58" i="56"/>
  <c r="A57" i="56"/>
  <c r="A56" i="56"/>
  <c r="A55" i="56"/>
  <c r="A54" i="56"/>
  <c r="A53" i="56"/>
  <c r="A52" i="56"/>
  <c r="A51" i="56"/>
  <c r="A50" i="56"/>
  <c r="A49" i="56"/>
  <c r="F45" i="56"/>
  <c r="F46" i="56"/>
  <c r="F48" i="56"/>
  <c r="E45" i="56"/>
  <c r="E46" i="56"/>
  <c r="E47" i="56"/>
  <c r="E48" i="56"/>
  <c r="D45" i="56"/>
  <c r="D46" i="56"/>
  <c r="D47" i="56"/>
  <c r="D48" i="56"/>
  <c r="A48" i="56"/>
  <c r="A47" i="56"/>
  <c r="A46" i="56"/>
  <c r="A45" i="56"/>
  <c r="A44" i="56"/>
  <c r="A43" i="56"/>
  <c r="A42" i="56"/>
  <c r="E41" i="56"/>
  <c r="A41" i="56"/>
  <c r="A40" i="56"/>
  <c r="A39" i="56"/>
  <c r="A38" i="56"/>
  <c r="A37" i="56"/>
  <c r="A36" i="56"/>
  <c r="A35" i="56"/>
  <c r="A34" i="56"/>
  <c r="A33" i="56"/>
  <c r="A32" i="56"/>
  <c r="A31" i="56"/>
  <c r="A30" i="56"/>
  <c r="A29" i="56"/>
  <c r="A28" i="56"/>
  <c r="A27" i="56"/>
  <c r="A26" i="56"/>
  <c r="A25" i="56"/>
  <c r="A24" i="56"/>
  <c r="A23" i="56"/>
  <c r="A22" i="56"/>
  <c r="A21" i="56"/>
  <c r="A20" i="56"/>
  <c r="A19" i="56"/>
  <c r="A18" i="56"/>
  <c r="A17" i="56"/>
  <c r="A16" i="56"/>
  <c r="A15" i="56"/>
  <c r="A14" i="56"/>
  <c r="A13" i="56"/>
  <c r="A12" i="56"/>
  <c r="A11" i="56"/>
  <c r="A10" i="56"/>
  <c r="A9" i="56"/>
  <c r="A8" i="56"/>
  <c r="A3" i="56"/>
  <c r="A1" i="56"/>
  <c r="C11" i="55"/>
  <c r="D11" i="55"/>
  <c r="E11" i="55"/>
  <c r="F11" i="55"/>
  <c r="G11" i="55"/>
  <c r="H11" i="55"/>
  <c r="C12" i="55"/>
  <c r="D12" i="55"/>
  <c r="E12" i="55"/>
  <c r="F12" i="55"/>
  <c r="G12" i="55"/>
  <c r="H12" i="55"/>
  <c r="C13" i="55"/>
  <c r="D13" i="55"/>
  <c r="E13" i="55"/>
  <c r="F13" i="55"/>
  <c r="G13" i="55"/>
  <c r="H13" i="55"/>
  <c r="C14" i="55"/>
  <c r="D14" i="55"/>
  <c r="E14" i="55"/>
  <c r="F14" i="55"/>
  <c r="G14" i="55"/>
  <c r="H14" i="55"/>
  <c r="H65" i="55"/>
  <c r="C15" i="55"/>
  <c r="D15" i="55"/>
  <c r="E15" i="55"/>
  <c r="F15" i="55"/>
  <c r="G15" i="55"/>
  <c r="H15" i="55"/>
  <c r="H66" i="55"/>
  <c r="C16" i="55"/>
  <c r="D16" i="55"/>
  <c r="E16" i="55"/>
  <c r="F16" i="55"/>
  <c r="G16" i="55"/>
  <c r="H16" i="55"/>
  <c r="H67" i="55"/>
  <c r="C17" i="55"/>
  <c r="D17" i="55"/>
  <c r="E17" i="55"/>
  <c r="F17" i="55"/>
  <c r="G17" i="55"/>
  <c r="H17" i="55"/>
  <c r="C18" i="55"/>
  <c r="D18" i="55"/>
  <c r="E18" i="55"/>
  <c r="F18" i="55"/>
  <c r="G18" i="55"/>
  <c r="H18" i="55"/>
  <c r="C19" i="55"/>
  <c r="D19" i="55"/>
  <c r="E19" i="55"/>
  <c r="F19" i="55"/>
  <c r="G19" i="55"/>
  <c r="H19" i="55"/>
  <c r="C20" i="55"/>
  <c r="D20" i="55"/>
  <c r="E20" i="55"/>
  <c r="F20" i="55"/>
  <c r="G20" i="55"/>
  <c r="H20" i="55"/>
  <c r="C21" i="55"/>
  <c r="D21" i="55"/>
  <c r="E21" i="55"/>
  <c r="F21" i="55"/>
  <c r="G21" i="55"/>
  <c r="H21" i="55"/>
  <c r="C22" i="55"/>
  <c r="D22" i="55"/>
  <c r="E22" i="55"/>
  <c r="F22" i="55"/>
  <c r="G22" i="55"/>
  <c r="H22" i="55"/>
  <c r="H68" i="55"/>
  <c r="C23" i="55"/>
  <c r="D23" i="55"/>
  <c r="E23" i="55"/>
  <c r="F23" i="55"/>
  <c r="G23" i="55"/>
  <c r="H23" i="55"/>
  <c r="C24" i="55"/>
  <c r="D24" i="55"/>
  <c r="E24" i="55"/>
  <c r="F24" i="55"/>
  <c r="G24" i="55"/>
  <c r="H24" i="55"/>
  <c r="C25" i="55"/>
  <c r="D25" i="55"/>
  <c r="E25" i="55"/>
  <c r="F25" i="55"/>
  <c r="G25" i="55"/>
  <c r="H25" i="55"/>
  <c r="C26" i="55"/>
  <c r="D26" i="55"/>
  <c r="E26" i="55"/>
  <c r="F26" i="55"/>
  <c r="G26" i="55"/>
  <c r="H26" i="55"/>
  <c r="C27" i="55"/>
  <c r="D27" i="55"/>
  <c r="E27" i="55"/>
  <c r="F27" i="55"/>
  <c r="G27" i="55"/>
  <c r="H27" i="55"/>
  <c r="C28" i="55"/>
  <c r="D28" i="55"/>
  <c r="E28" i="55"/>
  <c r="F28" i="55"/>
  <c r="G28" i="55"/>
  <c r="H28" i="55"/>
  <c r="C29" i="55"/>
  <c r="D29" i="55"/>
  <c r="E29" i="55"/>
  <c r="F29" i="55"/>
  <c r="G29" i="55"/>
  <c r="H29" i="55"/>
  <c r="C30" i="55"/>
  <c r="D30" i="55"/>
  <c r="E30" i="55"/>
  <c r="F30" i="55"/>
  <c r="G30" i="55"/>
  <c r="H30" i="55"/>
  <c r="C31" i="55"/>
  <c r="D31" i="55"/>
  <c r="E31" i="55"/>
  <c r="F31" i="55"/>
  <c r="G31" i="55"/>
  <c r="H31" i="55"/>
  <c r="C32" i="55"/>
  <c r="D32" i="55"/>
  <c r="E32" i="55"/>
  <c r="F32" i="55"/>
  <c r="G32" i="55"/>
  <c r="H32" i="55"/>
  <c r="C33" i="55"/>
  <c r="D33" i="55"/>
  <c r="E33" i="55"/>
  <c r="F33" i="55"/>
  <c r="G33" i="55"/>
  <c r="H33" i="55"/>
  <c r="C34" i="55"/>
  <c r="D34" i="55"/>
  <c r="E34" i="55"/>
  <c r="F34" i="55"/>
  <c r="G34" i="55"/>
  <c r="H34" i="55"/>
  <c r="C35" i="55"/>
  <c r="D35" i="55"/>
  <c r="E35" i="55"/>
  <c r="F35" i="55"/>
  <c r="G35" i="55"/>
  <c r="H35" i="55"/>
  <c r="H69" i="55"/>
  <c r="C36" i="55"/>
  <c r="D36" i="55"/>
  <c r="E36" i="55"/>
  <c r="F36" i="55"/>
  <c r="G36" i="55"/>
  <c r="H36" i="55"/>
  <c r="H70" i="55"/>
  <c r="C37" i="55"/>
  <c r="D37" i="55"/>
  <c r="E37" i="55"/>
  <c r="F37" i="55"/>
  <c r="G37" i="55"/>
  <c r="H37" i="55"/>
  <c r="C38" i="55"/>
  <c r="D38" i="55"/>
  <c r="E38" i="55"/>
  <c r="F38" i="55"/>
  <c r="G38" i="55"/>
  <c r="H38" i="55"/>
  <c r="H72" i="55"/>
  <c r="C39" i="55"/>
  <c r="D39" i="55"/>
  <c r="E39" i="55"/>
  <c r="F39" i="55"/>
  <c r="G39" i="55"/>
  <c r="H39" i="55"/>
  <c r="C40" i="55"/>
  <c r="D40" i="55"/>
  <c r="E40" i="55"/>
  <c r="F40" i="55"/>
  <c r="G40" i="55"/>
  <c r="H40" i="55"/>
  <c r="H73" i="55"/>
  <c r="H77" i="55"/>
  <c r="B77" i="55"/>
  <c r="A77" i="55"/>
  <c r="A76" i="55"/>
  <c r="K11" i="55"/>
  <c r="K14" i="55"/>
  <c r="K18" i="55"/>
  <c r="K20" i="55"/>
  <c r="K22" i="55"/>
  <c r="K69" i="55"/>
  <c r="K37" i="55"/>
  <c r="K38" i="55"/>
  <c r="K72" i="55"/>
  <c r="K39" i="55"/>
  <c r="K73" i="55"/>
  <c r="C41" i="55"/>
  <c r="D41" i="55"/>
  <c r="E41" i="55"/>
  <c r="F41" i="55"/>
  <c r="G41" i="55"/>
  <c r="C42" i="55"/>
  <c r="D42" i="55"/>
  <c r="E42" i="55"/>
  <c r="F42" i="55"/>
  <c r="G42" i="55"/>
  <c r="C43" i="55"/>
  <c r="D43" i="55"/>
  <c r="E43" i="55"/>
  <c r="F43" i="55"/>
  <c r="G43" i="55"/>
  <c r="C44" i="55"/>
  <c r="D44" i="55"/>
  <c r="E44" i="55"/>
  <c r="F44" i="55"/>
  <c r="G44" i="55"/>
  <c r="C45" i="55"/>
  <c r="D45" i="55"/>
  <c r="E45" i="55"/>
  <c r="F45" i="55"/>
  <c r="G45" i="55"/>
  <c r="C46" i="55"/>
  <c r="D46" i="55"/>
  <c r="E46" i="55"/>
  <c r="F46" i="55"/>
  <c r="G46" i="55"/>
  <c r="C47" i="55"/>
  <c r="D47" i="55"/>
  <c r="E47" i="55"/>
  <c r="F47" i="55"/>
  <c r="G47" i="55"/>
  <c r="C48" i="55"/>
  <c r="D48" i="55"/>
  <c r="E48" i="55"/>
  <c r="F48" i="55"/>
  <c r="G48" i="55"/>
  <c r="C49" i="55"/>
  <c r="D49" i="55"/>
  <c r="E49" i="55"/>
  <c r="F49" i="55"/>
  <c r="G49" i="55"/>
  <c r="C50" i="55"/>
  <c r="D50" i="55"/>
  <c r="E50" i="55"/>
  <c r="F50" i="55"/>
  <c r="G50" i="55"/>
  <c r="C51" i="55"/>
  <c r="D51" i="55"/>
  <c r="E51" i="55"/>
  <c r="F51" i="55"/>
  <c r="G51" i="55"/>
  <c r="C52" i="55"/>
  <c r="D52" i="55"/>
  <c r="E52" i="55"/>
  <c r="F52" i="55"/>
  <c r="G52" i="55"/>
  <c r="C53" i="55"/>
  <c r="D53" i="55"/>
  <c r="E53" i="55"/>
  <c r="F53" i="55"/>
  <c r="G53" i="55"/>
  <c r="C54" i="55"/>
  <c r="D54" i="55"/>
  <c r="E54" i="55"/>
  <c r="F54" i="55"/>
  <c r="G54" i="55"/>
  <c r="J65" i="55"/>
  <c r="J66" i="55"/>
  <c r="J67" i="55"/>
  <c r="J68" i="55"/>
  <c r="J69" i="55"/>
  <c r="J70" i="55"/>
  <c r="J72" i="55"/>
  <c r="J73" i="55"/>
  <c r="J74" i="55"/>
  <c r="I66" i="55"/>
  <c r="I67" i="55"/>
  <c r="I69" i="55"/>
  <c r="I72" i="55"/>
  <c r="I74" i="55"/>
  <c r="H41" i="55"/>
  <c r="H42" i="55"/>
  <c r="H43" i="55"/>
  <c r="H44" i="55"/>
  <c r="H45" i="55"/>
  <c r="H46" i="55"/>
  <c r="H47" i="55"/>
  <c r="H48" i="55"/>
  <c r="H49" i="55"/>
  <c r="H50" i="55"/>
  <c r="H51" i="55"/>
  <c r="H52" i="55"/>
  <c r="H53" i="55"/>
  <c r="H54" i="55"/>
  <c r="H74" i="55"/>
  <c r="H75" i="55"/>
  <c r="G65" i="55"/>
  <c r="G66" i="55"/>
  <c r="G67" i="55"/>
  <c r="G68" i="55"/>
  <c r="G69" i="55"/>
  <c r="G70" i="55"/>
  <c r="G72" i="55"/>
  <c r="G73" i="55"/>
  <c r="G74" i="55"/>
  <c r="G75" i="55"/>
  <c r="F65" i="55"/>
  <c r="F66" i="55"/>
  <c r="F67" i="55"/>
  <c r="F68" i="55"/>
  <c r="F69" i="55"/>
  <c r="F70" i="55"/>
  <c r="F72" i="55"/>
  <c r="F73" i="55"/>
  <c r="F74" i="55"/>
  <c r="F75" i="55"/>
  <c r="E65" i="55"/>
  <c r="E66" i="55"/>
  <c r="E67" i="55"/>
  <c r="E68" i="55"/>
  <c r="E69" i="55"/>
  <c r="E70" i="55"/>
  <c r="E72" i="55"/>
  <c r="E73" i="55"/>
  <c r="E74" i="55"/>
  <c r="E75" i="55"/>
  <c r="D65" i="55"/>
  <c r="D66" i="55"/>
  <c r="D67" i="55"/>
  <c r="D68" i="55"/>
  <c r="D69" i="55"/>
  <c r="D70" i="55"/>
  <c r="D72" i="55"/>
  <c r="D73" i="55"/>
  <c r="D74" i="55"/>
  <c r="D75" i="55"/>
  <c r="C65" i="55"/>
  <c r="C66" i="55"/>
  <c r="C67" i="55"/>
  <c r="C68" i="55"/>
  <c r="C69" i="55"/>
  <c r="C70" i="55"/>
  <c r="C72" i="55"/>
  <c r="C73" i="55"/>
  <c r="C74" i="55"/>
  <c r="C75" i="55"/>
  <c r="B75" i="55"/>
  <c r="A75" i="55"/>
  <c r="A74" i="55"/>
  <c r="A73" i="55"/>
  <c r="A72" i="55"/>
  <c r="A71" i="55"/>
  <c r="A70" i="55"/>
  <c r="A69" i="55"/>
  <c r="A68" i="55"/>
  <c r="A67" i="55"/>
  <c r="A66" i="55"/>
  <c r="A65" i="55"/>
  <c r="A64" i="55"/>
  <c r="A63" i="55"/>
  <c r="K58" i="55"/>
  <c r="K59" i="55"/>
  <c r="K60" i="55"/>
  <c r="J58" i="55"/>
  <c r="J59" i="55"/>
  <c r="J60" i="55"/>
  <c r="J61" i="55"/>
  <c r="J62" i="55"/>
  <c r="I58" i="55"/>
  <c r="I59" i="55"/>
  <c r="I60" i="55"/>
  <c r="I61" i="55"/>
  <c r="I62" i="55"/>
  <c r="H58" i="55"/>
  <c r="H59" i="55"/>
  <c r="H60" i="55"/>
  <c r="H61" i="55"/>
  <c r="H62" i="55"/>
  <c r="G58" i="55"/>
  <c r="G59" i="55"/>
  <c r="G60" i="55"/>
  <c r="G61" i="55"/>
  <c r="G62" i="55"/>
  <c r="F58" i="55"/>
  <c r="F59" i="55"/>
  <c r="F60" i="55"/>
  <c r="F61" i="55"/>
  <c r="F62" i="55"/>
  <c r="E58" i="55"/>
  <c r="E59" i="55"/>
  <c r="E60" i="55"/>
  <c r="E61" i="55"/>
  <c r="E62" i="55"/>
  <c r="D58" i="55"/>
  <c r="D59" i="55"/>
  <c r="D60" i="55"/>
  <c r="D61" i="55"/>
  <c r="D62" i="55"/>
  <c r="C58" i="55"/>
  <c r="C59" i="55"/>
  <c r="C60" i="55"/>
  <c r="C61" i="55"/>
  <c r="C62" i="55"/>
  <c r="A62" i="55"/>
  <c r="A61" i="55"/>
  <c r="B60" i="55"/>
  <c r="A60" i="55"/>
  <c r="A59" i="55"/>
  <c r="A58" i="55"/>
  <c r="A57" i="55"/>
  <c r="A56" i="55"/>
  <c r="J55" i="55"/>
  <c r="H55" i="55"/>
  <c r="G55" i="55"/>
  <c r="F55" i="55"/>
  <c r="E55" i="55"/>
  <c r="D55" i="55"/>
  <c r="C55" i="55"/>
  <c r="B55" i="55"/>
  <c r="A55" i="55"/>
  <c r="A52" i="55"/>
  <c r="A51" i="55"/>
  <c r="A50" i="55"/>
  <c r="A49" i="55"/>
  <c r="A48" i="55"/>
  <c r="A47" i="55"/>
  <c r="A46" i="55"/>
  <c r="A45" i="55"/>
  <c r="A44" i="55"/>
  <c r="A43" i="55"/>
  <c r="A42" i="55"/>
  <c r="A41" i="55"/>
  <c r="A40" i="55"/>
  <c r="A39" i="55"/>
  <c r="A38" i="55"/>
  <c r="A37" i="55"/>
  <c r="A36" i="55"/>
  <c r="A35" i="55"/>
  <c r="A34" i="55"/>
  <c r="A33" i="55"/>
  <c r="A32" i="55"/>
  <c r="A31" i="55"/>
  <c r="A30" i="55"/>
  <c r="A29" i="55"/>
  <c r="A28" i="55"/>
  <c r="A27" i="55"/>
  <c r="A26" i="55"/>
  <c r="A25" i="55"/>
  <c r="A24" i="55"/>
  <c r="A23" i="55"/>
  <c r="A22" i="55"/>
  <c r="A21" i="55"/>
  <c r="A20" i="55"/>
  <c r="A19" i="55"/>
  <c r="A18" i="55"/>
  <c r="A17" i="55"/>
  <c r="A16" i="55"/>
  <c r="A15" i="55"/>
  <c r="A14" i="55"/>
  <c r="A13" i="55"/>
  <c r="A12" i="55"/>
  <c r="A11" i="55"/>
  <c r="K7" i="55"/>
  <c r="H7" i="55"/>
  <c r="G7" i="55"/>
  <c r="E7" i="55"/>
  <c r="A3" i="55"/>
  <c r="A1" i="55"/>
  <c r="Q9" i="74"/>
  <c r="Q10" i="74"/>
  <c r="Q11" i="74"/>
  <c r="Q12" i="74"/>
  <c r="Q13" i="74"/>
  <c r="Q17" i="74"/>
  <c r="Q18" i="74"/>
  <c r="Q19" i="74"/>
  <c r="Q20" i="74"/>
  <c r="Q21" i="74"/>
  <c r="Q22" i="74"/>
  <c r="Q23" i="74"/>
  <c r="Q24" i="74"/>
  <c r="P25" i="74"/>
  <c r="O25" i="74"/>
  <c r="N25" i="74"/>
  <c r="M25" i="74"/>
  <c r="L25" i="74"/>
  <c r="K25" i="74"/>
  <c r="J25" i="74"/>
  <c r="I25" i="74"/>
  <c r="H25" i="74"/>
  <c r="F25" i="74"/>
  <c r="E25" i="74"/>
  <c r="D25" i="74"/>
  <c r="C25" i="74"/>
  <c r="A25" i="74"/>
  <c r="A22" i="74"/>
  <c r="A21" i="74"/>
  <c r="A20" i="74"/>
  <c r="A19" i="74"/>
  <c r="A18" i="74"/>
  <c r="A17" i="74"/>
  <c r="A16" i="74"/>
  <c r="A15" i="74"/>
  <c r="A14" i="74"/>
  <c r="A13" i="74"/>
  <c r="A12" i="74"/>
  <c r="A11" i="74"/>
  <c r="A10" i="74"/>
  <c r="A9" i="74"/>
  <c r="A8" i="74"/>
  <c r="A7" i="74"/>
  <c r="A3" i="74"/>
  <c r="A1" i="74"/>
  <c r="B57" i="67"/>
  <c r="B54" i="67"/>
  <c r="B53" i="67"/>
  <c r="B52" i="67"/>
  <c r="B50" i="67"/>
  <c r="C24" i="67"/>
  <c r="C42" i="67"/>
  <c r="O18" i="67"/>
  <c r="E24" i="67"/>
  <c r="E42" i="67"/>
  <c r="E46" i="67"/>
  <c r="G24" i="67"/>
  <c r="G42" i="67"/>
  <c r="G46" i="67"/>
  <c r="I24" i="67"/>
  <c r="I42" i="67"/>
  <c r="I46" i="67"/>
  <c r="K24" i="67"/>
  <c r="K42" i="67"/>
  <c r="K46" i="67"/>
  <c r="M24" i="67"/>
  <c r="M42" i="67"/>
  <c r="M46" i="67"/>
  <c r="B46" i="67"/>
  <c r="A46" i="67"/>
  <c r="A45" i="67"/>
  <c r="O44" i="67"/>
  <c r="A44" i="67"/>
  <c r="B43" i="67"/>
  <c r="A43" i="67"/>
  <c r="B42" i="67"/>
  <c r="A42" i="67"/>
  <c r="A41" i="67"/>
  <c r="A40" i="67"/>
  <c r="O39" i="67"/>
  <c r="A39" i="67"/>
  <c r="A38" i="67"/>
  <c r="A37" i="67"/>
  <c r="O36" i="67"/>
  <c r="N36" i="67"/>
  <c r="M36" i="67"/>
  <c r="L36" i="67"/>
  <c r="K36" i="67"/>
  <c r="J36" i="67"/>
  <c r="I36" i="67"/>
  <c r="H36" i="67"/>
  <c r="G36" i="67"/>
  <c r="F36" i="67"/>
  <c r="E36" i="67"/>
  <c r="D36" i="67"/>
  <c r="C36" i="67"/>
  <c r="B36" i="67"/>
  <c r="A36" i="67"/>
  <c r="O35" i="67"/>
  <c r="O34" i="67"/>
  <c r="O33" i="67"/>
  <c r="A33" i="67"/>
  <c r="A32" i="67"/>
  <c r="A31" i="67"/>
  <c r="O30" i="67"/>
  <c r="N30" i="67"/>
  <c r="M30" i="67"/>
  <c r="L30" i="67"/>
  <c r="K30" i="67"/>
  <c r="J30" i="67"/>
  <c r="I30" i="67"/>
  <c r="H30" i="67"/>
  <c r="G30" i="67"/>
  <c r="F30" i="67"/>
  <c r="E30" i="67"/>
  <c r="D30" i="67"/>
  <c r="C30" i="67"/>
  <c r="B30" i="67"/>
  <c r="A30" i="67"/>
  <c r="O29" i="67"/>
  <c r="O28" i="67"/>
  <c r="O27" i="67"/>
  <c r="A27" i="67"/>
  <c r="B26" i="67"/>
  <c r="A26" i="67"/>
  <c r="A25" i="67"/>
  <c r="O16" i="67"/>
  <c r="O17" i="67"/>
  <c r="O20" i="67"/>
  <c r="O21" i="67"/>
  <c r="O22" i="67"/>
  <c r="O23" i="67"/>
  <c r="B24" i="67"/>
  <c r="A24" i="67"/>
  <c r="A21" i="67"/>
  <c r="A20" i="67"/>
  <c r="A19" i="67"/>
  <c r="A18" i="67"/>
  <c r="A17" i="67"/>
  <c r="A16" i="67"/>
  <c r="A15" i="67"/>
  <c r="A14" i="67"/>
  <c r="A13" i="67"/>
  <c r="A12" i="67"/>
  <c r="A11" i="67"/>
  <c r="A10" i="67"/>
  <c r="A9" i="67"/>
  <c r="A8" i="67"/>
  <c r="A3" i="67"/>
  <c r="A1" i="67"/>
  <c r="B51" i="66"/>
  <c r="A8" i="66"/>
  <c r="A23" i="66"/>
  <c r="A24" i="66"/>
  <c r="A36" i="66"/>
  <c r="A37" i="66"/>
  <c r="A38" i="66"/>
  <c r="A39" i="66"/>
  <c r="A40" i="66"/>
  <c r="A41" i="66"/>
  <c r="A42" i="66"/>
  <c r="A43" i="66"/>
  <c r="A44" i="66"/>
  <c r="A45" i="66"/>
  <c r="A46" i="66"/>
  <c r="A47" i="66"/>
  <c r="A48" i="66"/>
  <c r="A49" i="66"/>
  <c r="A50" i="66"/>
  <c r="A51" i="66"/>
  <c r="B35" i="66"/>
  <c r="A25" i="66"/>
  <c r="A26" i="66"/>
  <c r="A27" i="66"/>
  <c r="A28" i="66"/>
  <c r="A29" i="66"/>
  <c r="A30" i="66"/>
  <c r="A31" i="66"/>
  <c r="A32" i="66"/>
  <c r="A33" i="66"/>
  <c r="A34" i="66"/>
  <c r="A35" i="66"/>
  <c r="B22" i="66"/>
  <c r="A9" i="66"/>
  <c r="A10" i="66"/>
  <c r="A11" i="66"/>
  <c r="A12" i="66"/>
  <c r="A13" i="66"/>
  <c r="A14" i="66"/>
  <c r="A15" i="66"/>
  <c r="A16" i="66"/>
  <c r="A17" i="66"/>
  <c r="A18" i="66"/>
  <c r="A19" i="66"/>
  <c r="A20" i="66"/>
  <c r="A21" i="66"/>
  <c r="A22" i="66"/>
  <c r="A3" i="66"/>
  <c r="A1" i="66"/>
  <c r="A237" i="75"/>
  <c r="A239" i="75"/>
  <c r="A244" i="75"/>
  <c r="A245" i="75"/>
  <c r="A246" i="75"/>
  <c r="A248" i="75"/>
  <c r="A249" i="75"/>
  <c r="A250" i="75"/>
  <c r="A251" i="75"/>
  <c r="A252" i="75"/>
  <c r="A253" i="75"/>
  <c r="A254" i="75"/>
  <c r="A255" i="75"/>
  <c r="A257" i="75"/>
  <c r="A260" i="75"/>
  <c r="A261" i="75"/>
  <c r="A262" i="75"/>
  <c r="A263" i="75"/>
  <c r="A264" i="75"/>
  <c r="A265" i="75"/>
  <c r="A269" i="75"/>
  <c r="A270" i="75"/>
  <c r="A271" i="75"/>
  <c r="A272" i="75"/>
  <c r="A273" i="75"/>
  <c r="A276" i="75"/>
  <c r="A277" i="75"/>
  <c r="A278" i="75"/>
  <c r="A279" i="75"/>
  <c r="A280" i="75"/>
  <c r="A281" i="75"/>
  <c r="A282" i="75"/>
  <c r="A283" i="75"/>
  <c r="A284" i="75"/>
  <c r="A285" i="75"/>
  <c r="B67" i="51"/>
  <c r="G9" i="51"/>
  <c r="C9" i="51"/>
  <c r="F61" i="51"/>
  <c r="B61" i="51"/>
  <c r="A61" i="51"/>
  <c r="B60" i="51"/>
  <c r="A60" i="51"/>
  <c r="A53" i="51"/>
  <c r="A52" i="51"/>
  <c r="A51" i="51"/>
  <c r="A50" i="51"/>
  <c r="A49" i="51"/>
  <c r="A48" i="51"/>
  <c r="A47" i="51"/>
  <c r="A46" i="51"/>
  <c r="A45" i="51"/>
  <c r="A44" i="51"/>
  <c r="A43" i="51"/>
  <c r="A42" i="51"/>
  <c r="A41" i="51"/>
  <c r="A40" i="51"/>
  <c r="A39" i="51"/>
  <c r="A38" i="51"/>
  <c r="A37" i="51"/>
  <c r="A36" i="51"/>
  <c r="A35" i="51"/>
  <c r="A34" i="51"/>
  <c r="A33" i="51"/>
  <c r="A32" i="51"/>
  <c r="A31" i="51"/>
  <c r="A30" i="51"/>
  <c r="A29" i="51"/>
  <c r="A28" i="51"/>
  <c r="A27" i="51"/>
  <c r="A26" i="51"/>
  <c r="A25" i="51"/>
  <c r="A24" i="51"/>
  <c r="A23" i="51"/>
  <c r="A22" i="51"/>
  <c r="A21" i="51"/>
  <c r="A20" i="51"/>
  <c r="A19" i="51"/>
  <c r="A18" i="51"/>
  <c r="A17" i="51"/>
  <c r="A16" i="51"/>
  <c r="A15" i="51"/>
  <c r="A14" i="51"/>
  <c r="A13" i="51"/>
  <c r="A12" i="51"/>
  <c r="A11" i="51"/>
  <c r="I10" i="51"/>
  <c r="A10" i="51"/>
  <c r="A9" i="51"/>
  <c r="A8" i="51"/>
  <c r="A3" i="51"/>
  <c r="A1" i="51"/>
  <c r="B23" i="85"/>
  <c r="B20" i="85"/>
  <c r="P19" i="85"/>
  <c r="O19" i="85"/>
  <c r="N19" i="85"/>
  <c r="M19" i="85"/>
  <c r="L19" i="85"/>
  <c r="K19" i="85"/>
  <c r="J19" i="85"/>
  <c r="I19" i="85"/>
  <c r="H19" i="85"/>
  <c r="G19" i="85"/>
  <c r="F19" i="85"/>
  <c r="E19" i="85"/>
  <c r="D19" i="85"/>
  <c r="C19" i="85"/>
  <c r="A19" i="85"/>
  <c r="A18" i="85"/>
  <c r="P17" i="85"/>
  <c r="O17" i="85"/>
  <c r="N17" i="85"/>
  <c r="M17" i="85"/>
  <c r="L17" i="85"/>
  <c r="K17" i="85"/>
  <c r="J17" i="85"/>
  <c r="I17" i="85"/>
  <c r="H17" i="85"/>
  <c r="G17" i="85"/>
  <c r="F17" i="85"/>
  <c r="E17" i="85"/>
  <c r="D17" i="85"/>
  <c r="C17" i="85"/>
  <c r="B17" i="85"/>
  <c r="A17" i="85"/>
  <c r="P16" i="85"/>
  <c r="P15" i="85"/>
  <c r="P14" i="85"/>
  <c r="A14" i="85"/>
  <c r="A13" i="85"/>
  <c r="A12" i="85"/>
  <c r="P11" i="85"/>
  <c r="O11" i="85"/>
  <c r="N11" i="85"/>
  <c r="M11" i="85"/>
  <c r="L11" i="85"/>
  <c r="K11" i="85"/>
  <c r="J11" i="85"/>
  <c r="I11" i="85"/>
  <c r="H11" i="85"/>
  <c r="G11" i="85"/>
  <c r="F11" i="85"/>
  <c r="E11" i="85"/>
  <c r="D11" i="85"/>
  <c r="C11" i="85"/>
  <c r="B11" i="85"/>
  <c r="A11" i="85"/>
  <c r="P10" i="85"/>
  <c r="P9" i="85"/>
  <c r="P8" i="85"/>
  <c r="A8" i="85"/>
  <c r="A3" i="85"/>
  <c r="A1" i="85"/>
  <c r="B106" i="86"/>
  <c r="G13" i="86"/>
  <c r="G14" i="86"/>
  <c r="G15" i="86"/>
  <c r="G16" i="86"/>
  <c r="G17" i="86"/>
  <c r="G18" i="86"/>
  <c r="G19" i="86"/>
  <c r="G20" i="86"/>
  <c r="G22" i="86"/>
  <c r="G23" i="86"/>
  <c r="G24" i="86"/>
  <c r="G25" i="86"/>
  <c r="G26" i="86"/>
  <c r="G27" i="86"/>
  <c r="G28" i="86"/>
  <c r="G29" i="86"/>
  <c r="G30" i="86"/>
  <c r="G31" i="86"/>
  <c r="G32" i="86"/>
  <c r="G33" i="86"/>
  <c r="G34" i="86"/>
  <c r="G35" i="86"/>
  <c r="G36" i="86"/>
  <c r="G37" i="86"/>
  <c r="G38" i="86"/>
  <c r="G39" i="86"/>
  <c r="G40" i="86"/>
  <c r="G41" i="86"/>
  <c r="G42" i="86"/>
  <c r="G43" i="86"/>
  <c r="G44" i="86"/>
  <c r="G45" i="86"/>
  <c r="G46" i="86"/>
  <c r="G47" i="86"/>
  <c r="G48" i="86"/>
  <c r="G49" i="86"/>
  <c r="G50" i="86"/>
  <c r="G51" i="86"/>
  <c r="G52" i="86"/>
  <c r="G53" i="86"/>
  <c r="G54" i="86"/>
  <c r="G55" i="86"/>
  <c r="G56" i="86"/>
  <c r="G57" i="86"/>
  <c r="G58" i="86"/>
  <c r="G59" i="86"/>
  <c r="G60" i="86"/>
  <c r="G61" i="86"/>
  <c r="G62" i="86"/>
  <c r="G63" i="86"/>
  <c r="G64" i="86"/>
  <c r="G65" i="86"/>
  <c r="G66" i="86"/>
  <c r="G67" i="86"/>
  <c r="G68" i="86"/>
  <c r="G69" i="86"/>
  <c r="G70" i="86"/>
  <c r="G71" i="86"/>
  <c r="G72" i="86"/>
  <c r="G73" i="86"/>
  <c r="G74" i="86"/>
  <c r="G75" i="86"/>
  <c r="G76" i="86"/>
  <c r="G77" i="86"/>
  <c r="G78" i="86"/>
  <c r="G79" i="86"/>
  <c r="G80" i="86"/>
  <c r="G81" i="86"/>
  <c r="G82" i="86"/>
  <c r="G83" i="86"/>
  <c r="G84" i="86"/>
  <c r="G85" i="86"/>
  <c r="G86" i="86"/>
  <c r="G87" i="86"/>
  <c r="G88" i="86"/>
  <c r="G89" i="86"/>
  <c r="G90" i="86"/>
  <c r="G91" i="86"/>
  <c r="G92" i="86"/>
  <c r="G93" i="86"/>
  <c r="G94" i="86"/>
  <c r="G95" i="86"/>
  <c r="G96" i="86"/>
  <c r="G97" i="86"/>
  <c r="G98" i="86"/>
  <c r="G99" i="86"/>
  <c r="G100" i="86"/>
  <c r="G101" i="86"/>
  <c r="G102" i="86"/>
  <c r="A103" i="86"/>
  <c r="A98" i="86"/>
  <c r="A97" i="86"/>
  <c r="A96" i="86"/>
  <c r="A95" i="86"/>
  <c r="A94" i="86"/>
  <c r="A93" i="86"/>
  <c r="A92" i="86"/>
  <c r="A91" i="86"/>
  <c r="A90" i="86"/>
  <c r="A89" i="86"/>
  <c r="A88" i="86"/>
  <c r="A87" i="86"/>
  <c r="A86" i="86"/>
  <c r="A85" i="86"/>
  <c r="A84" i="86"/>
  <c r="A83" i="86"/>
  <c r="A82" i="86"/>
  <c r="A81" i="86"/>
  <c r="A80" i="86"/>
  <c r="A79" i="86"/>
  <c r="A78" i="86"/>
  <c r="A77" i="86"/>
  <c r="A76" i="86"/>
  <c r="A75" i="86"/>
  <c r="A74" i="86"/>
  <c r="A73" i="86"/>
  <c r="A72" i="86"/>
  <c r="A71" i="86"/>
  <c r="A70" i="86"/>
  <c r="A69" i="86"/>
  <c r="A68" i="86"/>
  <c r="A67" i="86"/>
  <c r="A66" i="86"/>
  <c r="A65" i="86"/>
  <c r="A64" i="86"/>
  <c r="A63" i="86"/>
  <c r="A62" i="86"/>
  <c r="A61" i="86"/>
  <c r="A60" i="86"/>
  <c r="A59" i="86"/>
  <c r="A58" i="86"/>
  <c r="A57" i="86"/>
  <c r="A56" i="86"/>
  <c r="A55" i="86"/>
  <c r="A54" i="86"/>
  <c r="A53" i="86"/>
  <c r="A52" i="86"/>
  <c r="A51" i="86"/>
  <c r="A50" i="86"/>
  <c r="A49" i="86"/>
  <c r="A48" i="86"/>
  <c r="A47" i="86"/>
  <c r="A46" i="86"/>
  <c r="A45" i="86"/>
  <c r="A44" i="86"/>
  <c r="A43" i="86"/>
  <c r="A42" i="86"/>
  <c r="A41" i="86"/>
  <c r="A40" i="86"/>
  <c r="A39" i="86"/>
  <c r="A38" i="86"/>
  <c r="A37" i="86"/>
  <c r="A36" i="86"/>
  <c r="A35" i="86"/>
  <c r="A34" i="86"/>
  <c r="A33" i="86"/>
  <c r="A32" i="86"/>
  <c r="A31" i="86"/>
  <c r="A30" i="86"/>
  <c r="A29" i="86"/>
  <c r="A28" i="86"/>
  <c r="A27" i="86"/>
  <c r="A26" i="86"/>
  <c r="A25" i="86"/>
  <c r="A24" i="86"/>
  <c r="A23" i="86"/>
  <c r="A22" i="86"/>
  <c r="A21" i="86"/>
  <c r="A20" i="86"/>
  <c r="A19" i="86"/>
  <c r="A18" i="86"/>
  <c r="A17" i="86"/>
  <c r="A16" i="86"/>
  <c r="A15" i="86"/>
  <c r="A14" i="86"/>
  <c r="A13" i="86"/>
  <c r="A12" i="86"/>
  <c r="G11" i="86"/>
  <c r="F11" i="86"/>
  <c r="E11" i="86"/>
  <c r="A11" i="86"/>
  <c r="A10" i="86"/>
  <c r="A9" i="86"/>
  <c r="C8" i="86"/>
  <c r="A8" i="86"/>
  <c r="C7" i="86"/>
  <c r="A7" i="86"/>
  <c r="A3" i="86"/>
  <c r="A1" i="86"/>
  <c r="P48" i="44"/>
  <c r="O48" i="44"/>
  <c r="N48" i="44"/>
  <c r="M48" i="44"/>
  <c r="L48" i="44"/>
  <c r="K48" i="44"/>
  <c r="J48" i="44"/>
  <c r="I48" i="44"/>
  <c r="H48" i="44"/>
  <c r="G48" i="44"/>
  <c r="F48" i="44"/>
  <c r="E48" i="44"/>
  <c r="D48" i="44"/>
  <c r="C48" i="44"/>
  <c r="A48" i="44"/>
  <c r="A47" i="44"/>
  <c r="A46" i="44"/>
  <c r="C45" i="44"/>
  <c r="A45" i="44"/>
  <c r="A44" i="44"/>
  <c r="A43" i="44"/>
  <c r="A42" i="44"/>
  <c r="A41" i="44"/>
  <c r="A40" i="44"/>
  <c r="C39" i="44"/>
  <c r="A39" i="44"/>
  <c r="A38" i="44"/>
  <c r="A37" i="44"/>
  <c r="A36" i="44"/>
  <c r="A35" i="44"/>
  <c r="A34" i="44"/>
  <c r="A33" i="44"/>
  <c r="A32" i="44"/>
  <c r="A31" i="44"/>
  <c r="C30" i="44"/>
  <c r="A30" i="44"/>
  <c r="A29" i="44"/>
  <c r="A28" i="44"/>
  <c r="A27" i="44"/>
  <c r="A26" i="44"/>
  <c r="A25" i="44"/>
  <c r="A24" i="44"/>
  <c r="A23" i="44"/>
  <c r="A22" i="44"/>
  <c r="A21" i="44"/>
  <c r="P12" i="44"/>
  <c r="P20" i="44"/>
  <c r="H198" i="75"/>
  <c r="O12" i="44"/>
  <c r="O20" i="44"/>
  <c r="N12" i="44"/>
  <c r="N20" i="44"/>
  <c r="M12" i="44"/>
  <c r="M20" i="44"/>
  <c r="L12" i="44"/>
  <c r="L20" i="44"/>
  <c r="K12" i="44"/>
  <c r="K20" i="44"/>
  <c r="J12" i="44"/>
  <c r="J20" i="44"/>
  <c r="I12" i="44"/>
  <c r="I20" i="44"/>
  <c r="H12" i="44"/>
  <c r="H20" i="44"/>
  <c r="G12" i="44"/>
  <c r="G20" i="44"/>
  <c r="F12" i="44"/>
  <c r="F20" i="44"/>
  <c r="E12" i="44"/>
  <c r="E20" i="44"/>
  <c r="D12" i="44"/>
  <c r="D20" i="44"/>
  <c r="C20" i="44"/>
  <c r="A20" i="44"/>
  <c r="A19" i="44"/>
  <c r="A18" i="44"/>
  <c r="A17" i="44"/>
  <c r="A16" i="44"/>
  <c r="A15" i="44"/>
  <c r="A14" i="44"/>
  <c r="A13" i="44"/>
  <c r="C12" i="44"/>
  <c r="A12" i="44"/>
  <c r="A11" i="44"/>
  <c r="A10" i="44"/>
  <c r="A9" i="44"/>
  <c r="A8" i="44"/>
  <c r="A3" i="44"/>
  <c r="A1" i="44"/>
  <c r="A37" i="49"/>
  <c r="A36" i="49"/>
  <c r="E35" i="49"/>
  <c r="D8" i="49"/>
  <c r="D12" i="49"/>
  <c r="D15" i="49"/>
  <c r="D16" i="49"/>
  <c r="D17" i="49"/>
  <c r="D18" i="49"/>
  <c r="D20" i="49"/>
  <c r="D21" i="49"/>
  <c r="D22" i="49"/>
  <c r="D30" i="49"/>
  <c r="D35" i="49"/>
  <c r="C35" i="49"/>
  <c r="B35" i="49"/>
  <c r="A35" i="49"/>
  <c r="A31" i="49"/>
  <c r="A30" i="49"/>
  <c r="A29" i="49"/>
  <c r="B28" i="49"/>
  <c r="A28" i="49"/>
  <c r="B27" i="49"/>
  <c r="A27" i="49"/>
  <c r="B26" i="49"/>
  <c r="A26" i="49"/>
  <c r="B25" i="49"/>
  <c r="A25" i="49"/>
  <c r="B24" i="49"/>
  <c r="A24" i="49"/>
  <c r="B23" i="49"/>
  <c r="A23" i="49"/>
  <c r="A22" i="49"/>
  <c r="A21" i="49"/>
  <c r="A20" i="49"/>
  <c r="A19" i="49"/>
  <c r="A18" i="49"/>
  <c r="A17" i="49"/>
  <c r="A16" i="49"/>
  <c r="A15" i="49"/>
  <c r="A14" i="49"/>
  <c r="A13" i="49"/>
  <c r="A12" i="49"/>
  <c r="A11" i="49"/>
  <c r="A10" i="49"/>
  <c r="A9" i="49"/>
  <c r="A8" i="49"/>
  <c r="A3" i="49"/>
  <c r="A1" i="49"/>
  <c r="B16" i="57"/>
  <c r="A11" i="57"/>
  <c r="A10" i="57"/>
  <c r="A3" i="57"/>
  <c r="A1" i="57"/>
  <c r="C10" i="60"/>
  <c r="B10" i="60"/>
  <c r="A10" i="60"/>
  <c r="A7" i="60"/>
  <c r="A3" i="60"/>
  <c r="A1" i="60"/>
  <c r="B65" i="93"/>
  <c r="A65" i="93"/>
  <c r="A64" i="93"/>
  <c r="A63" i="93"/>
  <c r="A62" i="93"/>
  <c r="D61" i="93"/>
  <c r="B61" i="93"/>
  <c r="A61" i="93"/>
  <c r="A60" i="93"/>
  <c r="E53" i="93"/>
  <c r="E25" i="93"/>
  <c r="E26" i="93"/>
  <c r="E27" i="93"/>
  <c r="E28" i="93"/>
  <c r="E29" i="93"/>
  <c r="E30" i="93"/>
  <c r="E31" i="93"/>
  <c r="E32" i="93"/>
  <c r="E33" i="93"/>
  <c r="E34" i="93"/>
  <c r="E35" i="93"/>
  <c r="E38" i="93"/>
  <c r="C53" i="93"/>
  <c r="C58" i="93"/>
  <c r="C59" i="93"/>
  <c r="B59" i="93"/>
  <c r="A59" i="93"/>
  <c r="A58" i="93"/>
  <c r="A57" i="93"/>
  <c r="A56" i="93"/>
  <c r="A55" i="93"/>
  <c r="A54" i="93"/>
  <c r="A53" i="93"/>
  <c r="A52" i="93"/>
  <c r="A51" i="93"/>
  <c r="A50" i="93"/>
  <c r="A49" i="93"/>
  <c r="A48" i="93"/>
  <c r="A47" i="93"/>
  <c r="E43" i="93"/>
  <c r="E44" i="93"/>
  <c r="D43" i="93"/>
  <c r="D44" i="93"/>
  <c r="D46" i="93"/>
  <c r="C45" i="93"/>
  <c r="C43" i="93"/>
  <c r="C44" i="93"/>
  <c r="C46" i="93"/>
  <c r="B46" i="93"/>
  <c r="A46" i="93"/>
  <c r="A45" i="93"/>
  <c r="B44" i="93"/>
  <c r="A44" i="93"/>
  <c r="A43" i="93"/>
  <c r="A42" i="93"/>
  <c r="A41" i="93"/>
  <c r="A40" i="93"/>
  <c r="E39" i="93"/>
  <c r="D39" i="93"/>
  <c r="C39" i="93"/>
  <c r="B39" i="93"/>
  <c r="A39" i="93"/>
  <c r="A36" i="93"/>
  <c r="A35" i="93"/>
  <c r="A34" i="93"/>
  <c r="A33" i="93"/>
  <c r="A32" i="93"/>
  <c r="A31" i="93"/>
  <c r="A30" i="93"/>
  <c r="A29" i="93"/>
  <c r="A28" i="93"/>
  <c r="A27" i="93"/>
  <c r="A26" i="93"/>
  <c r="A25" i="93"/>
  <c r="A24" i="93"/>
  <c r="A23" i="93"/>
  <c r="A22" i="93"/>
  <c r="A21" i="93"/>
  <c r="A20" i="93"/>
  <c r="A19" i="93"/>
  <c r="A18" i="93"/>
  <c r="A17" i="93"/>
  <c r="A16" i="93"/>
  <c r="A15" i="93"/>
  <c r="A14" i="93"/>
  <c r="A13" i="93"/>
  <c r="A12" i="93"/>
  <c r="A11" i="93"/>
  <c r="A10" i="93"/>
  <c r="A9" i="93"/>
  <c r="A8" i="93"/>
  <c r="A3" i="93"/>
  <c r="A1" i="93"/>
  <c r="E15" i="58"/>
  <c r="I15" i="58"/>
  <c r="M15" i="58"/>
  <c r="P10" i="58"/>
  <c r="J15" i="58"/>
  <c r="P13" i="58"/>
  <c r="N15" i="58"/>
  <c r="L15" i="58"/>
  <c r="H15" i="58"/>
  <c r="F15" i="58"/>
  <c r="D15" i="58"/>
  <c r="A15" i="58"/>
  <c r="A14" i="58"/>
  <c r="A13" i="58"/>
  <c r="A12" i="58"/>
  <c r="A11" i="58"/>
  <c r="A10" i="58"/>
  <c r="A9" i="58"/>
  <c r="A8" i="58"/>
  <c r="A3" i="58"/>
  <c r="A1" i="58"/>
  <c r="F59" i="73"/>
  <c r="Q12" i="73"/>
  <c r="D40" i="73"/>
  <c r="I31" i="73"/>
  <c r="Q13" i="73"/>
  <c r="D41" i="73"/>
  <c r="E41" i="73"/>
  <c r="Q14" i="73"/>
  <c r="D42" i="73"/>
  <c r="E42" i="73"/>
  <c r="Q15" i="73"/>
  <c r="D43" i="73"/>
  <c r="E43" i="73"/>
  <c r="Q19" i="73"/>
  <c r="O31" i="73"/>
  <c r="Q29" i="73"/>
  <c r="D57" i="73"/>
  <c r="F31" i="73"/>
  <c r="H31" i="73"/>
  <c r="J31" i="73"/>
  <c r="L31" i="73"/>
  <c r="N31" i="73"/>
  <c r="P31" i="73"/>
  <c r="C59" i="73"/>
  <c r="B59" i="73"/>
  <c r="A59" i="73"/>
  <c r="C58" i="73"/>
  <c r="C57" i="73"/>
  <c r="B49" i="73"/>
  <c r="B48" i="73"/>
  <c r="B47" i="73"/>
  <c r="B46" i="73"/>
  <c r="B45" i="73"/>
  <c r="B44" i="73"/>
  <c r="B43" i="73"/>
  <c r="B42" i="73"/>
  <c r="B41" i="73"/>
  <c r="B40" i="73"/>
  <c r="B39" i="73"/>
  <c r="B38" i="73"/>
  <c r="B37" i="73"/>
  <c r="C35" i="73"/>
  <c r="B35" i="73"/>
  <c r="M31" i="73"/>
  <c r="K31" i="73"/>
  <c r="G31" i="73"/>
  <c r="E31" i="73"/>
  <c r="C31" i="73"/>
  <c r="A3" i="73"/>
  <c r="A1" i="73"/>
  <c r="A10" i="91"/>
  <c r="A9" i="91"/>
  <c r="A3" i="91"/>
  <c r="A1" i="91"/>
  <c r="A109" i="2"/>
  <c r="A110" i="2"/>
  <c r="A129" i="2"/>
  <c r="A130" i="2"/>
  <c r="A131" i="2"/>
  <c r="A132" i="2"/>
  <c r="A133" i="2"/>
  <c r="A134" i="2"/>
  <c r="A135" i="2"/>
  <c r="A136" i="2"/>
  <c r="A137" i="2"/>
  <c r="A138" i="2"/>
  <c r="A139" i="2"/>
  <c r="A140" i="2"/>
  <c r="B138" i="2"/>
  <c r="B137" i="2"/>
  <c r="B136" i="2"/>
  <c r="B135" i="2"/>
  <c r="N132" i="2"/>
  <c r="M132" i="2"/>
  <c r="L115" i="2"/>
  <c r="L121" i="2"/>
  <c r="K112" i="2"/>
  <c r="K130" i="2"/>
  <c r="K132" i="2"/>
  <c r="K12" i="2"/>
  <c r="J111" i="2"/>
  <c r="J113" i="2"/>
  <c r="J114" i="2"/>
  <c r="J116" i="2"/>
  <c r="J117" i="2"/>
  <c r="J118" i="2"/>
  <c r="J119" i="2"/>
  <c r="J120" i="2"/>
  <c r="J122" i="2"/>
  <c r="J123" i="2"/>
  <c r="J124" i="2"/>
  <c r="J125" i="2"/>
  <c r="J131" i="2"/>
  <c r="I132" i="2"/>
  <c r="F111" i="2"/>
  <c r="F113" i="2"/>
  <c r="F114" i="2"/>
  <c r="F116" i="2"/>
  <c r="F117" i="2"/>
  <c r="F119" i="2"/>
  <c r="F120" i="2"/>
  <c r="F122" i="2"/>
  <c r="F123" i="2"/>
  <c r="F124" i="2"/>
  <c r="F125" i="2"/>
  <c r="E130" i="2"/>
  <c r="E131" i="2"/>
  <c r="E132" i="2"/>
  <c r="D130" i="2"/>
  <c r="D131" i="2"/>
  <c r="D132" i="2"/>
  <c r="M131" i="2"/>
  <c r="L131" i="2"/>
  <c r="K131" i="2"/>
  <c r="I131" i="2"/>
  <c r="H131" i="2"/>
  <c r="G131" i="2"/>
  <c r="N130" i="2"/>
  <c r="M130" i="2"/>
  <c r="I130" i="2"/>
  <c r="A111" i="2"/>
  <c r="A112" i="2"/>
  <c r="A113" i="2"/>
  <c r="A114" i="2"/>
  <c r="A115" i="2"/>
  <c r="A116" i="2"/>
  <c r="A117" i="2"/>
  <c r="A118" i="2"/>
  <c r="A119" i="2"/>
  <c r="A120" i="2"/>
  <c r="A121" i="2"/>
  <c r="A122" i="2"/>
  <c r="A123" i="2"/>
  <c r="A124" i="2"/>
  <c r="A125" i="2"/>
  <c r="A126" i="2"/>
  <c r="J110" i="2"/>
  <c r="F110" i="2"/>
  <c r="M107" i="2"/>
  <c r="L107" i="2"/>
  <c r="K107" i="2"/>
  <c r="I107" i="2"/>
  <c r="H107" i="2"/>
  <c r="G107" i="2"/>
  <c r="A107" i="2"/>
  <c r="N105" i="2"/>
  <c r="A105" i="2"/>
  <c r="A83" i="2"/>
  <c r="A84" i="2"/>
  <c r="A85" i="2"/>
  <c r="A86" i="2"/>
  <c r="A87" i="2"/>
  <c r="A88" i="2"/>
  <c r="A89" i="2"/>
  <c r="A90" i="2"/>
  <c r="A91" i="2"/>
  <c r="A92" i="2"/>
  <c r="A93" i="2"/>
  <c r="A94" i="2"/>
  <c r="A95" i="2"/>
  <c r="A96" i="2"/>
  <c r="A97" i="2"/>
  <c r="A98" i="2"/>
  <c r="A99" i="2"/>
  <c r="A100" i="2"/>
  <c r="A101" i="2"/>
  <c r="A82" i="2"/>
  <c r="A81" i="2"/>
  <c r="J80" i="2"/>
  <c r="F80" i="2"/>
  <c r="A80" i="2"/>
  <c r="A9" i="2"/>
  <c r="A10" i="2"/>
  <c r="A11" i="2"/>
  <c r="A12" i="2"/>
  <c r="A13" i="2"/>
  <c r="A14" i="2"/>
  <c r="A15" i="2"/>
  <c r="A16" i="2"/>
  <c r="A17" i="2"/>
  <c r="A68" i="2"/>
  <c r="A69" i="2"/>
  <c r="A70" i="2"/>
  <c r="A71" i="2"/>
  <c r="A72" i="2"/>
  <c r="A73" i="2"/>
  <c r="N78" i="2"/>
  <c r="M78" i="2"/>
  <c r="L78" i="2"/>
  <c r="K78" i="2"/>
  <c r="J74" i="2"/>
  <c r="J78" i="2"/>
  <c r="I78" i="2"/>
  <c r="H78" i="2"/>
  <c r="G78" i="2"/>
  <c r="F74" i="2"/>
  <c r="E78" i="2"/>
  <c r="D78" i="2"/>
  <c r="A77" i="2"/>
  <c r="A74" i="2"/>
  <c r="A75" i="2"/>
  <c r="J73" i="2"/>
  <c r="F73" i="2"/>
  <c r="N71" i="2"/>
  <c r="M23" i="2"/>
  <c r="M32" i="2"/>
  <c r="M47" i="2"/>
  <c r="M48" i="2"/>
  <c r="M51" i="2"/>
  <c r="M57" i="2"/>
  <c r="L21" i="2"/>
  <c r="L24" i="2"/>
  <c r="L30" i="2"/>
  <c r="L38" i="2"/>
  <c r="L55" i="2"/>
  <c r="L58" i="2"/>
  <c r="L59" i="2"/>
  <c r="L60" i="2"/>
  <c r="K69" i="2"/>
  <c r="K71" i="2"/>
  <c r="J18" i="2"/>
  <c r="J19" i="2"/>
  <c r="J20" i="2"/>
  <c r="J22" i="2"/>
  <c r="J26" i="2"/>
  <c r="J29" i="2"/>
  <c r="J31" i="2"/>
  <c r="J33" i="2"/>
  <c r="J34" i="2"/>
  <c r="J35" i="2"/>
  <c r="J36" i="2"/>
  <c r="J37" i="2"/>
  <c r="J39" i="2"/>
  <c r="J40" i="2"/>
  <c r="J41" i="2"/>
  <c r="J42" i="2"/>
  <c r="J43" i="2"/>
  <c r="J44" i="2"/>
  <c r="J45" i="2"/>
  <c r="J46" i="2"/>
  <c r="J49" i="2"/>
  <c r="J50" i="2"/>
  <c r="J52" i="2"/>
  <c r="J53" i="2"/>
  <c r="J54" i="2"/>
  <c r="J70" i="2"/>
  <c r="J56" i="2"/>
  <c r="J61" i="2"/>
  <c r="J62" i="2"/>
  <c r="J63" i="2"/>
  <c r="J69" i="2"/>
  <c r="J71" i="2"/>
  <c r="J9" i="2"/>
  <c r="G69" i="2"/>
  <c r="G71" i="2"/>
  <c r="F18" i="2"/>
  <c r="F19" i="2"/>
  <c r="F20" i="2"/>
  <c r="F22" i="2"/>
  <c r="F26" i="2"/>
  <c r="F29" i="2"/>
  <c r="F31" i="2"/>
  <c r="F33" i="2"/>
  <c r="F34" i="2"/>
  <c r="F35" i="2"/>
  <c r="F36" i="2"/>
  <c r="F37" i="2"/>
  <c r="F39" i="2"/>
  <c r="F40" i="2"/>
  <c r="F41" i="2"/>
  <c r="F42" i="2"/>
  <c r="F43" i="2"/>
  <c r="F44" i="2"/>
  <c r="F45" i="2"/>
  <c r="F46" i="2"/>
  <c r="F49" i="2"/>
  <c r="F50" i="2"/>
  <c r="F52" i="2"/>
  <c r="F53" i="2"/>
  <c r="F54" i="2"/>
  <c r="F56" i="2"/>
  <c r="F62" i="2"/>
  <c r="F63" i="2"/>
  <c r="F69" i="2"/>
  <c r="E69" i="2"/>
  <c r="E70" i="2"/>
  <c r="E71" i="2"/>
  <c r="D69" i="2"/>
  <c r="D71" i="2"/>
  <c r="M70" i="2"/>
  <c r="L70" i="2"/>
  <c r="K70" i="2"/>
  <c r="I70" i="2"/>
  <c r="H70" i="2"/>
  <c r="G70" i="2"/>
  <c r="N69" i="2"/>
  <c r="A6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J17" i="2"/>
  <c r="F17" i="2"/>
  <c r="N13" i="2"/>
  <c r="M11" i="2"/>
  <c r="K11" i="2"/>
  <c r="K13" i="2"/>
  <c r="H68" i="75"/>
  <c r="K9" i="2"/>
  <c r="J10" i="2"/>
  <c r="G9" i="2"/>
  <c r="N12" i="2"/>
  <c r="M12" i="2"/>
  <c r="I12" i="2"/>
  <c r="N11" i="2"/>
  <c r="N10" i="2"/>
  <c r="N9" i="2"/>
  <c r="A8" i="2"/>
  <c r="A3" i="2"/>
  <c r="A1" i="2"/>
  <c r="A22" i="84"/>
  <c r="C21" i="84"/>
  <c r="A21" i="84"/>
  <c r="A20" i="84"/>
  <c r="A19" i="84"/>
  <c r="A18" i="84"/>
  <c r="A17" i="84"/>
  <c r="A16" i="84"/>
  <c r="A15" i="84"/>
  <c r="A14" i="84"/>
  <c r="A13" i="84"/>
  <c r="A12" i="84"/>
  <c r="A11" i="84"/>
  <c r="A10" i="84"/>
  <c r="A9" i="84"/>
  <c r="A8" i="84"/>
  <c r="A3" i="84"/>
  <c r="A1" i="84"/>
  <c r="J42" i="62"/>
  <c r="H42" i="62"/>
  <c r="F29" i="62"/>
  <c r="F30" i="62"/>
  <c r="F31" i="62"/>
  <c r="F32" i="62"/>
  <c r="F33" i="62"/>
  <c r="F34" i="62"/>
  <c r="F35" i="62"/>
  <c r="F36" i="62"/>
  <c r="F37" i="62"/>
  <c r="F38" i="62"/>
  <c r="F39" i="62"/>
  <c r="E42" i="62"/>
  <c r="D42" i="62"/>
  <c r="A42" i="62"/>
  <c r="B40" i="62"/>
  <c r="A40" i="62"/>
  <c r="B39" i="62"/>
  <c r="A39" i="62"/>
  <c r="B38" i="62"/>
  <c r="A38" i="62"/>
  <c r="B37" i="62"/>
  <c r="A37" i="62"/>
  <c r="B36" i="62"/>
  <c r="A36" i="62"/>
  <c r="B35" i="62"/>
  <c r="A35" i="62"/>
  <c r="B34" i="62"/>
  <c r="A34" i="62"/>
  <c r="B33" i="62"/>
  <c r="A33" i="62"/>
  <c r="B32" i="62"/>
  <c r="A32" i="62"/>
  <c r="B31" i="62"/>
  <c r="A31" i="62"/>
  <c r="B30" i="62"/>
  <c r="A30" i="62"/>
  <c r="B29" i="62"/>
  <c r="A29" i="62"/>
  <c r="B28" i="62"/>
  <c r="A28" i="62"/>
  <c r="A27" i="62"/>
  <c r="A26" i="62"/>
  <c r="A25" i="62"/>
  <c r="A24" i="62"/>
  <c r="J23" i="62"/>
  <c r="F9" i="62"/>
  <c r="F10" i="62"/>
  <c r="F11" i="62"/>
  <c r="F12" i="62"/>
  <c r="F13" i="62"/>
  <c r="F14" i="62"/>
  <c r="F15" i="62"/>
  <c r="F16" i="62"/>
  <c r="F17" i="62"/>
  <c r="F18" i="62"/>
  <c r="F19" i="62"/>
  <c r="F20" i="62"/>
  <c r="F21" i="62"/>
  <c r="F23" i="62"/>
  <c r="D23" i="62"/>
  <c r="A23" i="62"/>
  <c r="A22" i="62"/>
  <c r="A21" i="62"/>
  <c r="A20" i="62"/>
  <c r="A19" i="62"/>
  <c r="A18" i="62"/>
  <c r="A17" i="62"/>
  <c r="A16" i="62"/>
  <c r="A15" i="62"/>
  <c r="A14" i="62"/>
  <c r="A13" i="62"/>
  <c r="A12" i="62"/>
  <c r="A11" i="62"/>
  <c r="A10" i="62"/>
  <c r="A9" i="62"/>
  <c r="A8" i="62"/>
  <c r="A7" i="62"/>
  <c r="A3" i="62"/>
  <c r="A1" i="62"/>
  <c r="D33" i="61"/>
  <c r="B33" i="61"/>
  <c r="A33" i="61"/>
  <c r="D32" i="61"/>
  <c r="C32" i="61"/>
  <c r="A32" i="61"/>
  <c r="D31" i="61"/>
  <c r="A31" i="61"/>
  <c r="A30" i="61"/>
  <c r="A29" i="61"/>
  <c r="A28" i="61"/>
  <c r="D27" i="61"/>
  <c r="A27" i="61"/>
  <c r="A24" i="61"/>
  <c r="A23" i="61"/>
  <c r="A22" i="61"/>
  <c r="A21" i="61"/>
  <c r="A20" i="61"/>
  <c r="A19" i="61"/>
  <c r="A18" i="61"/>
  <c r="A17" i="61"/>
  <c r="A16" i="61"/>
  <c r="D15" i="61"/>
  <c r="A15" i="61"/>
  <c r="A14" i="61"/>
  <c r="A13" i="61"/>
  <c r="A12" i="61"/>
  <c r="A11" i="61"/>
  <c r="D10" i="61"/>
  <c r="A10" i="61"/>
  <c r="A9" i="61"/>
  <c r="A8" i="61"/>
  <c r="A3" i="61"/>
  <c r="A1" i="61"/>
  <c r="B159" i="77"/>
  <c r="A134" i="77"/>
  <c r="A135" i="77"/>
  <c r="A136" i="77"/>
  <c r="A137" i="77"/>
  <c r="A138" i="77"/>
  <c r="A145" i="77"/>
  <c r="A146" i="77"/>
  <c r="A147" i="77"/>
  <c r="A148" i="77"/>
  <c r="A149" i="77"/>
  <c r="I154" i="77"/>
  <c r="F150" i="77"/>
  <c r="F151" i="77"/>
  <c r="F153" i="77"/>
  <c r="D153" i="77"/>
  <c r="C154" i="77"/>
  <c r="A154" i="77"/>
  <c r="I153" i="77"/>
  <c r="A150" i="77"/>
  <c r="A151" i="77"/>
  <c r="A152" i="77"/>
  <c r="A153" i="77"/>
  <c r="I152" i="77"/>
  <c r="I151" i="77"/>
  <c r="I150" i="77"/>
  <c r="I145" i="77"/>
  <c r="D139" i="77"/>
  <c r="A144" i="77"/>
  <c r="A139" i="77"/>
  <c r="A140" i="77"/>
  <c r="A141" i="77"/>
  <c r="A142" i="77"/>
  <c r="I141" i="77"/>
  <c r="I140" i="77"/>
  <c r="I139" i="77"/>
  <c r="I134" i="77"/>
  <c r="D127" i="77"/>
  <c r="A133" i="77"/>
  <c r="I129" i="77"/>
  <c r="I128" i="77"/>
  <c r="I127" i="77"/>
  <c r="I121" i="77"/>
  <c r="C121" i="77"/>
  <c r="A120" i="77"/>
  <c r="A116" i="77"/>
  <c r="A117" i="77"/>
  <c r="A118" i="77"/>
  <c r="I112" i="77"/>
  <c r="C112" i="77"/>
  <c r="A111" i="77"/>
  <c r="A106" i="77"/>
  <c r="A107" i="77"/>
  <c r="A108" i="77"/>
  <c r="A109" i="77"/>
  <c r="I103" i="77"/>
  <c r="A102" i="77"/>
  <c r="A97" i="77"/>
  <c r="A98" i="77"/>
  <c r="A99" i="77"/>
  <c r="A100" i="77"/>
  <c r="I99" i="77"/>
  <c r="I98" i="77"/>
  <c r="I97" i="77"/>
  <c r="I94" i="77"/>
  <c r="A93" i="77"/>
  <c r="A88" i="77"/>
  <c r="A89" i="77"/>
  <c r="A90" i="77"/>
  <c r="A91" i="77"/>
  <c r="I90" i="77"/>
  <c r="I89" i="77"/>
  <c r="I88" i="77"/>
  <c r="I83" i="77"/>
  <c r="H50" i="77"/>
  <c r="H73" i="77"/>
  <c r="G82" i="77"/>
  <c r="G50" i="77"/>
  <c r="G57" i="77"/>
  <c r="G64" i="77"/>
  <c r="G73" i="77"/>
  <c r="G83" i="77"/>
  <c r="F82" i="77"/>
  <c r="F50" i="77"/>
  <c r="F57" i="77"/>
  <c r="F64" i="77"/>
  <c r="F73" i="77"/>
  <c r="F83" i="77"/>
  <c r="D41" i="77"/>
  <c r="E41" i="77"/>
  <c r="D42" i="77"/>
  <c r="E42" i="77"/>
  <c r="D43" i="77"/>
  <c r="E43" i="77"/>
  <c r="D44" i="77"/>
  <c r="E44" i="77"/>
  <c r="D45" i="77"/>
  <c r="D46" i="77"/>
  <c r="E46" i="77"/>
  <c r="D60" i="77"/>
  <c r="E60" i="77"/>
  <c r="E64" i="77"/>
  <c r="D66" i="77"/>
  <c r="D67" i="77"/>
  <c r="E67" i="77"/>
  <c r="D68" i="77"/>
  <c r="E68" i="77"/>
  <c r="D69" i="77"/>
  <c r="E69" i="77"/>
  <c r="E57" i="77"/>
  <c r="D57" i="77"/>
  <c r="D64" i="77"/>
  <c r="I82" i="77"/>
  <c r="C82" i="77"/>
  <c r="A81" i="77"/>
  <c r="A41" i="77"/>
  <c r="A42" i="77"/>
  <c r="A43" i="77"/>
  <c r="A44" i="77"/>
  <c r="A45" i="77"/>
  <c r="I76" i="77"/>
  <c r="I73" i="77"/>
  <c r="C73" i="77"/>
  <c r="A72" i="77"/>
  <c r="A66" i="77"/>
  <c r="A67" i="77"/>
  <c r="A68" i="77"/>
  <c r="A69" i="77"/>
  <c r="A70" i="77"/>
  <c r="I69" i="77"/>
  <c r="I68" i="77"/>
  <c r="I67" i="77"/>
  <c r="I66" i="77"/>
  <c r="I64" i="77"/>
  <c r="C64" i="77"/>
  <c r="A63" i="77"/>
  <c r="A59" i="77"/>
  <c r="A60" i="77"/>
  <c r="A61" i="77"/>
  <c r="I60" i="77"/>
  <c r="I59" i="77"/>
  <c r="I57" i="77"/>
  <c r="C57" i="77"/>
  <c r="A56" i="77"/>
  <c r="A52" i="77"/>
  <c r="A53" i="77"/>
  <c r="A54" i="77"/>
  <c r="I53" i="77"/>
  <c r="I52" i="77"/>
  <c r="I50" i="77"/>
  <c r="C50" i="77"/>
  <c r="A49" i="77"/>
  <c r="A46" i="77"/>
  <c r="A47" i="77"/>
  <c r="I46" i="77"/>
  <c r="I45" i="77"/>
  <c r="I44" i="77"/>
  <c r="I43" i="77"/>
  <c r="I42" i="77"/>
  <c r="I41" i="77"/>
  <c r="A8" i="77"/>
  <c r="A9" i="77"/>
  <c r="A10" i="77"/>
  <c r="A17" i="77"/>
  <c r="A18" i="77"/>
  <c r="A19" i="77"/>
  <c r="A26" i="77"/>
  <c r="A27" i="77"/>
  <c r="A28" i="77"/>
  <c r="A35" i="77"/>
  <c r="A36" i="77"/>
  <c r="A37" i="77"/>
  <c r="A38" i="77"/>
  <c r="A39" i="77"/>
  <c r="I35" i="77"/>
  <c r="D30" i="77"/>
  <c r="C35" i="77"/>
  <c r="A34" i="77"/>
  <c r="A29" i="77"/>
  <c r="A30" i="77"/>
  <c r="A31" i="77"/>
  <c r="A32" i="77"/>
  <c r="I31" i="77"/>
  <c r="I30" i="77"/>
  <c r="I29" i="77"/>
  <c r="I26" i="77"/>
  <c r="D21" i="77"/>
  <c r="C26" i="77"/>
  <c r="A25" i="77"/>
  <c r="A20" i="77"/>
  <c r="A21" i="77"/>
  <c r="A22" i="77"/>
  <c r="A23" i="77"/>
  <c r="I22" i="77"/>
  <c r="I21" i="77"/>
  <c r="I20" i="77"/>
  <c r="I17" i="77"/>
  <c r="D12" i="77"/>
  <c r="D13" i="77"/>
  <c r="C17" i="77"/>
  <c r="A16" i="77"/>
  <c r="A11" i="77"/>
  <c r="A12" i="77"/>
  <c r="A13" i="77"/>
  <c r="A14" i="77"/>
  <c r="I13" i="77"/>
  <c r="I12" i="77"/>
  <c r="I11" i="77"/>
  <c r="A3" i="77"/>
  <c r="A1" i="77"/>
  <c r="A10" i="78"/>
  <c r="A11" i="78"/>
  <c r="A12" i="78"/>
  <c r="A13" i="78"/>
  <c r="A14" i="78"/>
  <c r="A15" i="78"/>
  <c r="A16" i="78"/>
  <c r="A17" i="78"/>
  <c r="A18" i="78"/>
  <c r="A19" i="78"/>
  <c r="A20" i="78"/>
  <c r="A21" i="78"/>
  <c r="A22" i="78"/>
  <c r="A23" i="78"/>
  <c r="A24" i="78"/>
  <c r="A25" i="78"/>
  <c r="A26" i="78"/>
  <c r="A27" i="78"/>
  <c r="A28" i="78"/>
  <c r="A29" i="78"/>
  <c r="A30" i="78"/>
  <c r="A31" i="78"/>
  <c r="A32" i="78"/>
  <c r="A33" i="78"/>
  <c r="A36" i="78"/>
  <c r="A66" i="78"/>
  <c r="A67" i="78"/>
  <c r="H68" i="78"/>
  <c r="G22" i="78"/>
  <c r="F65" i="78"/>
  <c r="A68" i="78"/>
  <c r="H67" i="78"/>
  <c r="H66" i="78"/>
  <c r="G65" i="78"/>
  <c r="A37" i="78"/>
  <c r="A38" i="78"/>
  <c r="A39" i="78"/>
  <c r="A40" i="78"/>
  <c r="A41" i="78"/>
  <c r="A42" i="78"/>
  <c r="A43" i="78"/>
  <c r="A44" i="78"/>
  <c r="A45" i="78"/>
  <c r="A46" i="78"/>
  <c r="A47" i="78"/>
  <c r="A48" i="78"/>
  <c r="A49" i="78"/>
  <c r="A50" i="78"/>
  <c r="A51" i="78"/>
  <c r="A52" i="78"/>
  <c r="A53" i="78"/>
  <c r="A54" i="78"/>
  <c r="A55" i="78"/>
  <c r="A56" i="78"/>
  <c r="A57" i="78"/>
  <c r="A58" i="78"/>
  <c r="A59" i="78"/>
  <c r="A60" i="78"/>
  <c r="A61" i="78"/>
  <c r="A62" i="78"/>
  <c r="A63" i="78"/>
  <c r="A64" i="78"/>
  <c r="A65" i="78"/>
  <c r="M64" i="78"/>
  <c r="M62" i="78"/>
  <c r="H29" i="78"/>
  <c r="H25" i="78"/>
  <c r="H23" i="78"/>
  <c r="H22" i="78"/>
  <c r="A3" i="78"/>
  <c r="A1" i="78"/>
  <c r="D128" i="88"/>
  <c r="H134" i="75"/>
  <c r="H138" i="75"/>
  <c r="H146" i="75"/>
  <c r="H148" i="75"/>
  <c r="H150" i="75"/>
  <c r="H152" i="75"/>
  <c r="H177" i="75"/>
  <c r="H182" i="75"/>
  <c r="H174" i="75"/>
  <c r="H81" i="75"/>
  <c r="H80" i="75"/>
  <c r="H98" i="75"/>
  <c r="H97" i="75"/>
  <c r="H106" i="75"/>
  <c r="H90" i="75"/>
  <c r="H91" i="75"/>
  <c r="H116" i="75"/>
  <c r="H197" i="75"/>
  <c r="H200" i="75"/>
  <c r="H202" i="75"/>
  <c r="H206" i="75"/>
  <c r="H214" i="75"/>
  <c r="H205" i="75"/>
  <c r="H201" i="75"/>
  <c r="H209" i="75"/>
  <c r="H213" i="75"/>
  <c r="H226" i="75"/>
  <c r="H269" i="75"/>
  <c r="H270" i="75"/>
  <c r="H279" i="75"/>
  <c r="H284" i="75"/>
  <c r="H285" i="75"/>
  <c r="A286" i="75"/>
  <c r="A287" i="75"/>
  <c r="A289" i="75"/>
  <c r="A291" i="75"/>
  <c r="A293" i="75"/>
  <c r="A295" i="75"/>
  <c r="A296" i="75"/>
  <c r="A297" i="75"/>
  <c r="A298" i="75"/>
  <c r="A301" i="75"/>
  <c r="A302" i="75"/>
  <c r="F303" i="75"/>
  <c r="A303" i="75"/>
  <c r="F302" i="75"/>
  <c r="F301" i="75"/>
  <c r="E301" i="75"/>
  <c r="F298" i="75"/>
  <c r="E297" i="75"/>
  <c r="E296" i="75"/>
  <c r="F293" i="75"/>
  <c r="F291" i="75"/>
  <c r="F289" i="75"/>
  <c r="E287" i="75"/>
  <c r="F286" i="75"/>
  <c r="C286" i="75"/>
  <c r="F285" i="75"/>
  <c r="E285" i="75"/>
  <c r="F284" i="75"/>
  <c r="E284" i="75"/>
  <c r="F283" i="75"/>
  <c r="C283" i="75"/>
  <c r="F282" i="75"/>
  <c r="F281" i="75"/>
  <c r="C281" i="75"/>
  <c r="F280" i="75"/>
  <c r="C280" i="75"/>
  <c r="F279" i="75"/>
  <c r="F278" i="75"/>
  <c r="F277" i="75"/>
  <c r="F276" i="75"/>
  <c r="F273" i="75"/>
  <c r="F272" i="75"/>
  <c r="C272" i="75"/>
  <c r="F271" i="75"/>
  <c r="C271" i="75"/>
  <c r="F270" i="75"/>
  <c r="F269" i="75"/>
  <c r="F265" i="75"/>
  <c r="F264" i="75"/>
  <c r="F263" i="75"/>
  <c r="F262" i="75"/>
  <c r="F261" i="75"/>
  <c r="E261" i="75"/>
  <c r="F260" i="75"/>
  <c r="C260" i="75"/>
  <c r="F257" i="75"/>
  <c r="E255" i="75"/>
  <c r="E254" i="75"/>
  <c r="F253" i="75"/>
  <c r="F252" i="75"/>
  <c r="F251" i="75"/>
  <c r="F250" i="75"/>
  <c r="F249" i="75"/>
  <c r="F248" i="75"/>
  <c r="F246" i="75"/>
  <c r="F245" i="75"/>
  <c r="F244" i="75"/>
  <c r="C244" i="75"/>
  <c r="F239" i="75"/>
  <c r="F237" i="75"/>
  <c r="F234" i="75"/>
  <c r="F233" i="75"/>
  <c r="E229" i="75"/>
  <c r="E228" i="75"/>
  <c r="E224" i="75"/>
  <c r="E223" i="75"/>
  <c r="E222" i="75"/>
  <c r="F217" i="75"/>
  <c r="F215" i="75"/>
  <c r="F214" i="75"/>
  <c r="F213" i="75"/>
  <c r="F212" i="75"/>
  <c r="E210" i="75"/>
  <c r="F209" i="75"/>
  <c r="F208" i="75"/>
  <c r="F206" i="75"/>
  <c r="F205" i="75"/>
  <c r="F204" i="75"/>
  <c r="F202" i="75"/>
  <c r="E202" i="75"/>
  <c r="F201" i="75"/>
  <c r="F200" i="75"/>
  <c r="E200" i="75"/>
  <c r="F199" i="75"/>
  <c r="E199" i="75"/>
  <c r="F198" i="75"/>
  <c r="E198" i="75"/>
  <c r="F197" i="75"/>
  <c r="E197" i="75"/>
  <c r="F193" i="75"/>
  <c r="E193" i="75"/>
  <c r="F192" i="75"/>
  <c r="C192" i="75"/>
  <c r="F191" i="75"/>
  <c r="F185" i="75"/>
  <c r="F184" i="75"/>
  <c r="C184" i="75"/>
  <c r="F183" i="75"/>
  <c r="F182" i="75"/>
  <c r="F180" i="75"/>
  <c r="C180" i="75"/>
  <c r="F179" i="75"/>
  <c r="C179" i="75"/>
  <c r="F178" i="75"/>
  <c r="F177" i="75"/>
  <c r="E177" i="75"/>
  <c r="F176" i="75"/>
  <c r="F174" i="75"/>
  <c r="F170" i="75"/>
  <c r="F168" i="75"/>
  <c r="F167" i="75"/>
  <c r="F166" i="75"/>
  <c r="F165" i="75"/>
  <c r="E163" i="75"/>
  <c r="E161" i="75"/>
  <c r="F156" i="75"/>
  <c r="F154" i="75"/>
  <c r="F153" i="75"/>
  <c r="F152" i="75"/>
  <c r="E151" i="75"/>
  <c r="F150" i="75"/>
  <c r="E150" i="75"/>
  <c r="F148" i="75"/>
  <c r="E147" i="75"/>
  <c r="F146" i="75"/>
  <c r="E146" i="75"/>
  <c r="F143" i="75"/>
  <c r="C143" i="75"/>
  <c r="F142" i="75"/>
  <c r="F141" i="75"/>
  <c r="F140" i="75"/>
  <c r="E140" i="75"/>
  <c r="F138" i="75"/>
  <c r="E138" i="75"/>
  <c r="E136" i="75"/>
  <c r="F134" i="75"/>
  <c r="E134" i="75"/>
  <c r="E133" i="75"/>
  <c r="F130" i="75"/>
  <c r="F129" i="75"/>
  <c r="E129" i="75"/>
  <c r="E126" i="75"/>
  <c r="E125" i="75"/>
  <c r="F120" i="75"/>
  <c r="F118" i="75"/>
  <c r="F116" i="75"/>
  <c r="E115" i="75"/>
  <c r="E114" i="75"/>
  <c r="F111" i="75"/>
  <c r="E110" i="75"/>
  <c r="F109" i="75"/>
  <c r="F106" i="75"/>
  <c r="E106" i="75"/>
  <c r="F104" i="75"/>
  <c r="E104" i="75"/>
  <c r="F103" i="75"/>
  <c r="C103" i="75"/>
  <c r="F102" i="75"/>
  <c r="F101" i="75"/>
  <c r="E101" i="75"/>
  <c r="F100" i="75"/>
  <c r="C100" i="75"/>
  <c r="F99" i="75"/>
  <c r="F98" i="75"/>
  <c r="E98" i="75"/>
  <c r="F97" i="75"/>
  <c r="E97" i="75"/>
  <c r="F94" i="75"/>
  <c r="F93" i="75"/>
  <c r="F92" i="75"/>
  <c r="F91" i="75"/>
  <c r="E91" i="75"/>
  <c r="F90" i="75"/>
  <c r="E90" i="75"/>
  <c r="F87" i="75"/>
  <c r="E87" i="75"/>
  <c r="F86" i="75"/>
  <c r="C86" i="75"/>
  <c r="F85" i="75"/>
  <c r="F84" i="75"/>
  <c r="E84" i="75"/>
  <c r="F83" i="75"/>
  <c r="C83" i="75"/>
  <c r="F82" i="75"/>
  <c r="F81" i="75"/>
  <c r="E81" i="75"/>
  <c r="F80" i="75"/>
  <c r="E80" i="75"/>
  <c r="E77" i="75"/>
  <c r="F75" i="75"/>
  <c r="F74" i="75"/>
  <c r="C74" i="75"/>
  <c r="F73" i="75"/>
  <c r="F72" i="75"/>
  <c r="E72" i="75"/>
  <c r="F71" i="75"/>
  <c r="C71" i="75"/>
  <c r="F70" i="75"/>
  <c r="C70" i="75"/>
  <c r="F69" i="75"/>
  <c r="E69" i="75"/>
  <c r="F68" i="75"/>
  <c r="E68" i="75"/>
  <c r="E67" i="75"/>
  <c r="F63" i="75"/>
  <c r="F61" i="75"/>
  <c r="F59" i="75"/>
  <c r="F58" i="75"/>
  <c r="C58" i="75"/>
  <c r="F57" i="75"/>
  <c r="F56" i="75"/>
  <c r="E56" i="75"/>
  <c r="F55" i="75"/>
  <c r="F53" i="75"/>
  <c r="E53" i="75"/>
  <c r="F50" i="75"/>
  <c r="F48" i="75"/>
  <c r="F47" i="75"/>
  <c r="F46" i="75"/>
  <c r="F45" i="75"/>
  <c r="E45" i="75"/>
  <c r="F44" i="75"/>
  <c r="E44" i="75"/>
  <c r="F42" i="75"/>
  <c r="F41" i="75"/>
  <c r="E41" i="75"/>
  <c r="F40" i="75"/>
  <c r="E40" i="75"/>
  <c r="B39" i="75"/>
  <c r="F35" i="75"/>
  <c r="F34" i="75"/>
  <c r="E34" i="75"/>
  <c r="C34" i="75"/>
  <c r="F32" i="75"/>
  <c r="F31" i="75"/>
  <c r="C31" i="75"/>
  <c r="F29" i="75"/>
  <c r="F28" i="75"/>
  <c r="E28" i="75"/>
  <c r="F27" i="75"/>
  <c r="E27" i="75"/>
  <c r="F24" i="75"/>
  <c r="F23" i="75"/>
  <c r="F21" i="75"/>
  <c r="F20" i="75"/>
  <c r="E20" i="75"/>
  <c r="F19" i="75"/>
  <c r="F17" i="75"/>
  <c r="F16" i="75"/>
  <c r="E16" i="75"/>
  <c r="F15" i="75"/>
  <c r="F13" i="75"/>
  <c r="F12" i="75"/>
  <c r="E12" i="75"/>
  <c r="F11" i="75"/>
  <c r="E8" i="75"/>
  <c r="A3" i="75"/>
  <c r="A1" i="75"/>
  <c r="D236" i="88"/>
  <c r="C236" i="88"/>
  <c r="A236" i="88"/>
  <c r="D235" i="88"/>
  <c r="C235" i="88"/>
  <c r="A235" i="88"/>
  <c r="D234" i="88"/>
  <c r="C234" i="88"/>
  <c r="A234" i="88"/>
  <c r="I229" i="88"/>
  <c r="I230" i="88"/>
  <c r="C231" i="88"/>
  <c r="A231" i="88"/>
  <c r="C230" i="88"/>
  <c r="C229" i="88"/>
  <c r="C228" i="88"/>
  <c r="A228" i="88"/>
  <c r="C227" i="88"/>
  <c r="A227" i="88"/>
  <c r="C224" i="88"/>
  <c r="A224" i="88"/>
  <c r="I222" i="88"/>
  <c r="C222" i="88"/>
  <c r="A222" i="88"/>
  <c r="A221" i="88"/>
  <c r="A220" i="88"/>
  <c r="D212" i="88"/>
  <c r="D213" i="88"/>
  <c r="D214" i="88"/>
  <c r="G213" i="88"/>
  <c r="G214" i="88"/>
  <c r="C215" i="88"/>
  <c r="A215" i="88"/>
  <c r="C214" i="88"/>
  <c r="A214" i="88"/>
  <c r="C213" i="88"/>
  <c r="A213" i="88"/>
  <c r="C212" i="88"/>
  <c r="D208" i="88"/>
  <c r="C208" i="88"/>
  <c r="A208" i="88"/>
  <c r="A207" i="88"/>
  <c r="A206" i="88"/>
  <c r="A205" i="88"/>
  <c r="D198" i="88"/>
  <c r="D199" i="88"/>
  <c r="C202" i="88"/>
  <c r="A202" i="88"/>
  <c r="A201" i="88"/>
  <c r="A200" i="88"/>
  <c r="C199" i="88"/>
  <c r="A199" i="88"/>
  <c r="C198" i="88"/>
  <c r="C194" i="88"/>
  <c r="A194" i="88"/>
  <c r="C192" i="88"/>
  <c r="A192" i="88"/>
  <c r="A191" i="88"/>
  <c r="C190" i="88"/>
  <c r="A190" i="88"/>
  <c r="C189" i="88"/>
  <c r="C183" i="88"/>
  <c r="C182" i="88"/>
  <c r="K180" i="88"/>
  <c r="C179" i="88"/>
  <c r="K177" i="88"/>
  <c r="D125" i="88"/>
  <c r="D127" i="88"/>
  <c r="D173" i="88"/>
  <c r="I173" i="88"/>
  <c r="C174" i="88"/>
  <c r="A174" i="88"/>
  <c r="C173" i="88"/>
  <c r="C170" i="88"/>
  <c r="A169" i="88"/>
  <c r="M125" i="88"/>
  <c r="M127" i="88"/>
  <c r="C167" i="88"/>
  <c r="A167" i="88"/>
  <c r="C165" i="88"/>
  <c r="C162" i="88"/>
  <c r="A162" i="88"/>
  <c r="A161" i="88"/>
  <c r="A160" i="88"/>
  <c r="A159" i="88"/>
  <c r="A158" i="88"/>
  <c r="A157" i="88"/>
  <c r="C156" i="88"/>
  <c r="A156" i="88"/>
  <c r="C155" i="88"/>
  <c r="C153" i="88"/>
  <c r="A153" i="88"/>
  <c r="M152" i="88"/>
  <c r="A152" i="88"/>
  <c r="M151" i="88"/>
  <c r="A151" i="88"/>
  <c r="M150" i="88"/>
  <c r="A150" i="88"/>
  <c r="M149" i="88"/>
  <c r="A149" i="88"/>
  <c r="M148" i="88"/>
  <c r="A148" i="88"/>
  <c r="M147" i="88"/>
  <c r="A147" i="88"/>
  <c r="C146" i="88"/>
  <c r="A146" i="88"/>
  <c r="C143" i="88"/>
  <c r="A143" i="88"/>
  <c r="M142" i="88"/>
  <c r="A142" i="88"/>
  <c r="F141" i="88"/>
  <c r="C141" i="88"/>
  <c r="A141" i="88"/>
  <c r="C140" i="88"/>
  <c r="A140" i="88"/>
  <c r="C137" i="88"/>
  <c r="A137" i="88"/>
  <c r="M136" i="88"/>
  <c r="A136" i="88"/>
  <c r="C135" i="88"/>
  <c r="C134" i="88"/>
  <c r="M133" i="88"/>
  <c r="A133" i="88"/>
  <c r="F132" i="88"/>
  <c r="C132" i="88"/>
  <c r="F131" i="88"/>
  <c r="C131" i="88"/>
  <c r="C130" i="88"/>
  <c r="A130" i="88"/>
  <c r="F129" i="88"/>
  <c r="C129" i="88"/>
  <c r="A129" i="88"/>
  <c r="C128" i="88"/>
  <c r="A128" i="88"/>
  <c r="F127" i="88"/>
  <c r="C127" i="88"/>
  <c r="A127" i="88"/>
  <c r="F126" i="88"/>
  <c r="C126" i="88"/>
  <c r="C125" i="88"/>
  <c r="C120" i="88"/>
  <c r="C119" i="88"/>
  <c r="K117" i="88"/>
  <c r="C116" i="88"/>
  <c r="K114" i="88"/>
  <c r="D67" i="88"/>
  <c r="D76" i="88"/>
  <c r="M76" i="88"/>
  <c r="D70" i="88"/>
  <c r="D79" i="88"/>
  <c r="D104" i="88"/>
  <c r="M104" i="88"/>
  <c r="D66" i="88"/>
  <c r="D75" i="88"/>
  <c r="D84" i="88"/>
  <c r="D69" i="88"/>
  <c r="D78" i="88"/>
  <c r="D88" i="88"/>
  <c r="C112" i="88"/>
  <c r="A112" i="88"/>
  <c r="C110" i="88"/>
  <c r="A110" i="88"/>
  <c r="C109" i="88"/>
  <c r="A109" i="88"/>
  <c r="C108" i="88"/>
  <c r="A108" i="88"/>
  <c r="M107" i="88"/>
  <c r="A107" i="88"/>
  <c r="C104" i="88"/>
  <c r="A104" i="88"/>
  <c r="C102" i="88"/>
  <c r="A102" i="88"/>
  <c r="A101" i="88"/>
  <c r="A100" i="88"/>
  <c r="C99" i="88"/>
  <c r="A99" i="88"/>
  <c r="A98" i="88"/>
  <c r="A97" i="88"/>
  <c r="C95" i="88"/>
  <c r="A95" i="88"/>
  <c r="C90" i="88"/>
  <c r="A90" i="88"/>
  <c r="A89" i="88"/>
  <c r="C88" i="88"/>
  <c r="A88" i="88"/>
  <c r="C87" i="88"/>
  <c r="A87" i="88"/>
  <c r="C86" i="88"/>
  <c r="A86" i="88"/>
  <c r="C85" i="88"/>
  <c r="A85" i="88"/>
  <c r="C84" i="88"/>
  <c r="A84" i="88"/>
  <c r="C81" i="88"/>
  <c r="A81" i="88"/>
  <c r="A80" i="88"/>
  <c r="C79" i="88"/>
  <c r="A79" i="88"/>
  <c r="G78" i="88"/>
  <c r="C78" i="88"/>
  <c r="A78" i="88"/>
  <c r="A77" i="88"/>
  <c r="C76" i="88"/>
  <c r="A76" i="88"/>
  <c r="C75" i="88"/>
  <c r="A75" i="88"/>
  <c r="C72" i="88"/>
  <c r="A72" i="88"/>
  <c r="A71" i="88"/>
  <c r="C70" i="88"/>
  <c r="A70" i="88"/>
  <c r="C69" i="88"/>
  <c r="A69" i="88"/>
  <c r="C68" i="88"/>
  <c r="A68" i="88"/>
  <c r="C67" i="88"/>
  <c r="A67" i="88"/>
  <c r="C66" i="88"/>
  <c r="C60" i="88"/>
  <c r="C59" i="88"/>
  <c r="K57" i="88"/>
  <c r="C56" i="88"/>
  <c r="K54" i="88"/>
  <c r="I52" i="88"/>
  <c r="A52" i="88"/>
  <c r="I51" i="88"/>
  <c r="A51" i="88"/>
  <c r="I25" i="88"/>
  <c r="I26" i="88"/>
  <c r="C48" i="88"/>
  <c r="A48" i="88"/>
  <c r="C47" i="88"/>
  <c r="A47" i="88"/>
  <c r="C46" i="88"/>
  <c r="A46" i="88"/>
  <c r="C42" i="88"/>
  <c r="A42" i="88"/>
  <c r="C41" i="88"/>
  <c r="A41" i="88"/>
  <c r="C39" i="88"/>
  <c r="B39" i="88"/>
  <c r="A39" i="88"/>
  <c r="A38" i="88"/>
  <c r="A37" i="88"/>
  <c r="A36" i="88"/>
  <c r="A35" i="88"/>
  <c r="A34" i="88"/>
  <c r="A33" i="88"/>
  <c r="C32" i="88"/>
  <c r="A32" i="88"/>
  <c r="C28" i="88"/>
  <c r="C26" i="88"/>
  <c r="C25" i="88"/>
  <c r="C23" i="88"/>
  <c r="C21" i="88"/>
  <c r="A21" i="88"/>
  <c r="C19" i="88"/>
  <c r="A19" i="88"/>
  <c r="A18" i="88"/>
  <c r="A17" i="88"/>
  <c r="C16" i="88"/>
  <c r="B16" i="88"/>
  <c r="A16" i="88"/>
  <c r="C15" i="88"/>
  <c r="B15" i="88"/>
  <c r="A15" i="88"/>
  <c r="C12" i="88"/>
  <c r="L10" i="88"/>
  <c r="C7" i="88"/>
  <c r="E31" i="95"/>
  <c r="E106" i="2"/>
  <c r="L106" i="2"/>
  <c r="N76" i="88"/>
  <c r="D81" i="88"/>
  <c r="E45" i="77"/>
  <c r="D76" i="77"/>
  <c r="F78" i="2"/>
  <c r="F10" i="2"/>
  <c r="D47" i="73"/>
  <c r="E47" i="73"/>
  <c r="Q30" i="73"/>
  <c r="D58" i="73"/>
  <c r="D87" i="88"/>
  <c r="M67" i="88"/>
  <c r="D85" i="88"/>
  <c r="D134" i="88"/>
  <c r="E50" i="77"/>
  <c r="I42" i="62"/>
  <c r="M69" i="2"/>
  <c r="M71" i="2"/>
  <c r="M9" i="2"/>
  <c r="M13" i="2"/>
  <c r="H72" i="75"/>
  <c r="D215" i="88"/>
  <c r="H204" i="75"/>
  <c r="D132" i="88"/>
  <c r="L69" i="2"/>
  <c r="L71" i="2"/>
  <c r="L9" i="2"/>
  <c r="F131" i="2"/>
  <c r="J130" i="2"/>
  <c r="J132" i="2"/>
  <c r="J12" i="2"/>
  <c r="F42" i="62"/>
  <c r="F130" i="2"/>
  <c r="F132" i="2"/>
  <c r="F12" i="2"/>
  <c r="F54" i="56"/>
  <c r="L105" i="2"/>
  <c r="L108" i="2"/>
  <c r="L11" i="2"/>
  <c r="P14" i="58"/>
  <c r="P9" i="58"/>
  <c r="E7" i="86"/>
  <c r="C46" i="67"/>
  <c r="I65" i="55"/>
  <c r="D59" i="56"/>
  <c r="D170" i="88"/>
  <c r="I170" i="88"/>
  <c r="D131" i="88"/>
  <c r="D50" i="77"/>
  <c r="E23" i="62"/>
  <c r="L130" i="2"/>
  <c r="L132" i="2"/>
  <c r="L12" i="2"/>
  <c r="D31" i="73"/>
  <c r="D59" i="73"/>
  <c r="E40" i="73"/>
  <c r="E59" i="73"/>
  <c r="O15" i="58"/>
  <c r="K15" i="58"/>
  <c r="G15" i="58"/>
  <c r="P8" i="58"/>
  <c r="C15" i="58"/>
  <c r="E58" i="93"/>
  <c r="E59" i="93"/>
  <c r="G21" i="86"/>
  <c r="G12" i="86"/>
  <c r="E103" i="86"/>
  <c r="I55" i="55"/>
  <c r="J75" i="55"/>
  <c r="J105" i="2"/>
  <c r="J108" i="2"/>
  <c r="J11" i="2"/>
  <c r="J13" i="2"/>
  <c r="G16" i="51"/>
  <c r="G60" i="51"/>
  <c r="C60" i="51"/>
  <c r="D22" i="84"/>
  <c r="H41" i="75"/>
  <c r="D68" i="88"/>
  <c r="D72" i="88"/>
  <c r="F103" i="86"/>
  <c r="F7" i="86"/>
  <c r="G8" i="51"/>
  <c r="H10" i="51"/>
  <c r="N24" i="67"/>
  <c r="N42" i="67"/>
  <c r="N46" i="67"/>
  <c r="L24" i="67"/>
  <c r="L42" i="67"/>
  <c r="L46" i="67"/>
  <c r="J24" i="67"/>
  <c r="J42" i="67"/>
  <c r="J46" i="67"/>
  <c r="H24" i="67"/>
  <c r="H42" i="67"/>
  <c r="H46" i="67"/>
  <c r="F24" i="67"/>
  <c r="F42" i="67"/>
  <c r="F46" i="67"/>
  <c r="O19" i="67"/>
  <c r="D24" i="67"/>
  <c r="D42" i="67"/>
  <c r="D46" i="67"/>
  <c r="O15" i="67"/>
  <c r="O24" i="67"/>
  <c r="F8" i="56"/>
  <c r="D41" i="56"/>
  <c r="F105" i="2"/>
  <c r="F108" i="2"/>
  <c r="F11" i="2"/>
  <c r="H42" i="75"/>
  <c r="H260" i="75"/>
  <c r="E66" i="77"/>
  <c r="E73" i="77"/>
  <c r="D73" i="77"/>
  <c r="F70" i="2"/>
  <c r="F71" i="2"/>
  <c r="F9" i="2"/>
  <c r="F13" i="2"/>
  <c r="P12" i="58"/>
  <c r="D61" i="56"/>
  <c r="K65" i="55"/>
  <c r="K17" i="55"/>
  <c r="K68" i="55"/>
  <c r="I68" i="55"/>
  <c r="Q25" i="74"/>
  <c r="E54" i="51"/>
  <c r="E60" i="51"/>
  <c r="P30" i="44"/>
  <c r="Q47" i="44"/>
  <c r="K24" i="99"/>
  <c r="D78" i="77"/>
  <c r="H78" i="77"/>
  <c r="I73" i="55"/>
  <c r="K36" i="55"/>
  <c r="K70" i="55"/>
  <c r="D38" i="51"/>
  <c r="D54" i="51"/>
  <c r="D60" i="51"/>
  <c r="I23" i="62"/>
  <c r="D151" i="77"/>
  <c r="Q19" i="44"/>
  <c r="Q15" i="44"/>
  <c r="H23" i="62"/>
  <c r="D150" i="77"/>
  <c r="Q18" i="44"/>
  <c r="Q45" i="44"/>
  <c r="Q12" i="44"/>
  <c r="F24" i="99"/>
  <c r="D77" i="77"/>
  <c r="H77" i="77"/>
  <c r="H82" i="77"/>
  <c r="H83" i="77"/>
  <c r="F8" i="86"/>
  <c r="F152" i="77"/>
  <c r="F154" i="77"/>
  <c r="H261" i="75"/>
  <c r="I190" i="88"/>
  <c r="Q17" i="44"/>
  <c r="Q44" i="44"/>
  <c r="H59" i="73"/>
  <c r="G42" i="62"/>
  <c r="G53" i="75"/>
  <c r="K74" i="55"/>
  <c r="D98" i="77"/>
  <c r="D59" i="93"/>
  <c r="D20" i="77"/>
  <c r="D26" i="77"/>
  <c r="D29" i="77"/>
  <c r="D35" i="77"/>
  <c r="I23" i="2"/>
  <c r="I69" i="2"/>
  <c r="I71" i="2"/>
  <c r="I9" i="2"/>
  <c r="I13" i="2"/>
  <c r="G72" i="75"/>
  <c r="H87" i="2"/>
  <c r="L37" i="62"/>
  <c r="L33" i="62"/>
  <c r="L29" i="62"/>
  <c r="L20" i="62"/>
  <c r="L16" i="62"/>
  <c r="L12" i="62"/>
  <c r="F60" i="56"/>
  <c r="D99" i="77"/>
  <c r="E45" i="93"/>
  <c r="D88" i="77"/>
  <c r="K61" i="55"/>
  <c r="D89" i="77"/>
  <c r="D94" i="77"/>
  <c r="D12" i="95"/>
  <c r="D14" i="95"/>
  <c r="D28" i="95"/>
  <c r="D31" i="95"/>
  <c r="D106" i="2"/>
  <c r="H24" i="2"/>
  <c r="H69" i="2"/>
  <c r="H71" i="2"/>
  <c r="H9" i="2"/>
  <c r="F35" i="49"/>
  <c r="G152" i="75"/>
  <c r="L40" i="62"/>
  <c r="H28" i="75"/>
  <c r="H29" i="75"/>
  <c r="L36" i="62"/>
  <c r="L32" i="62"/>
  <c r="L28" i="62"/>
  <c r="L19" i="62"/>
  <c r="L15" i="62"/>
  <c r="L11" i="62"/>
  <c r="G23" i="62"/>
  <c r="G40" i="75"/>
  <c r="G42" i="75"/>
  <c r="G260" i="75"/>
  <c r="H105" i="2"/>
  <c r="D134" i="77"/>
  <c r="L39" i="62"/>
  <c r="L35" i="62"/>
  <c r="L31" i="62"/>
  <c r="L18" i="62"/>
  <c r="L14" i="62"/>
  <c r="L10" i="62"/>
  <c r="L23" i="62"/>
  <c r="G27" i="75"/>
  <c r="C42" i="62"/>
  <c r="G56" i="75"/>
  <c r="G57" i="75"/>
  <c r="C23" i="62"/>
  <c r="G45" i="75"/>
  <c r="G46" i="75"/>
  <c r="H106" i="2"/>
  <c r="H108" i="2"/>
  <c r="H11" i="2"/>
  <c r="H13" i="2"/>
  <c r="G69" i="75"/>
  <c r="E108" i="2"/>
  <c r="G277" i="75"/>
  <c r="G283" i="75"/>
  <c r="E61" i="51"/>
  <c r="G23" i="78"/>
  <c r="G25" i="78"/>
  <c r="H277" i="75"/>
  <c r="H283" i="75"/>
  <c r="I228" i="88"/>
  <c r="L42" i="62"/>
  <c r="G28" i="75"/>
  <c r="G29" i="75"/>
  <c r="G165" i="75"/>
  <c r="H165" i="75"/>
  <c r="G129" i="75"/>
  <c r="G130" i="75"/>
  <c r="H129" i="75"/>
  <c r="G20" i="75"/>
  <c r="G21" i="75"/>
  <c r="H20" i="75"/>
  <c r="H21" i="75"/>
  <c r="K75" i="55"/>
  <c r="E46" i="93"/>
  <c r="I75" i="55"/>
  <c r="E9" i="86"/>
  <c r="G7" i="86"/>
  <c r="L13" i="2"/>
  <c r="H69" i="75"/>
  <c r="G176" i="75"/>
  <c r="G178" i="75"/>
  <c r="H176" i="75"/>
  <c r="H178" i="75"/>
  <c r="G164" i="75"/>
  <c r="G166" i="75"/>
  <c r="H164" i="75"/>
  <c r="H166" i="75"/>
  <c r="G16" i="75"/>
  <c r="G17" i="75"/>
  <c r="G23" i="75"/>
  <c r="G24" i="75"/>
  <c r="H16" i="75"/>
  <c r="H17" i="75"/>
  <c r="H23" i="75"/>
  <c r="Q48" i="44"/>
  <c r="G202" i="75"/>
  <c r="Q20" i="44"/>
  <c r="G198" i="75"/>
  <c r="G199" i="75"/>
  <c r="G208" i="75"/>
  <c r="G197" i="75"/>
  <c r="H199" i="75"/>
  <c r="H208" i="75"/>
  <c r="G212" i="88"/>
  <c r="D108" i="2"/>
  <c r="G10" i="51"/>
  <c r="G61" i="51"/>
  <c r="C8" i="51"/>
  <c r="C10" i="51"/>
  <c r="C61" i="51"/>
  <c r="G103" i="86"/>
  <c r="P15" i="58"/>
  <c r="M131" i="88"/>
  <c r="K62" i="55"/>
  <c r="M85" i="88"/>
  <c r="N85" i="88"/>
  <c r="N67" i="88"/>
  <c r="Q31" i="73"/>
  <c r="G84" i="75"/>
  <c r="H84" i="75"/>
  <c r="G276" i="75"/>
  <c r="G278" i="75"/>
  <c r="D61" i="51"/>
  <c r="H276" i="75"/>
  <c r="H278" i="75"/>
  <c r="F9" i="86"/>
  <c r="D86" i="88"/>
  <c r="D90" i="88"/>
  <c r="M68" i="88"/>
  <c r="M86" i="88"/>
  <c r="O46" i="67"/>
  <c r="H301" i="75"/>
  <c r="M134" i="88"/>
  <c r="E76" i="77"/>
  <c r="E82" i="77"/>
  <c r="E83" i="77"/>
  <c r="D82" i="77"/>
  <c r="D83" i="77"/>
  <c r="G161" i="75"/>
  <c r="H161" i="75"/>
  <c r="D103" i="77"/>
  <c r="G101" i="75"/>
  <c r="H101" i="75"/>
  <c r="G8" i="86"/>
  <c r="D152" i="77"/>
  <c r="D154" i="77"/>
  <c r="G261" i="75"/>
  <c r="G262" i="75"/>
  <c r="G263" i="75"/>
  <c r="K55" i="55"/>
  <c r="H262" i="75"/>
  <c r="H263" i="75"/>
  <c r="I189" i="88"/>
  <c r="F41" i="56"/>
  <c r="F51" i="56"/>
  <c r="F61" i="56"/>
  <c r="O42" i="67"/>
  <c r="F214" i="88"/>
  <c r="I214" i="88"/>
  <c r="F213" i="88"/>
  <c r="I213" i="88"/>
  <c r="F212" i="88"/>
  <c r="I212" i="88"/>
  <c r="I215" i="88"/>
  <c r="D140" i="88"/>
  <c r="H24" i="75"/>
  <c r="D202" i="88"/>
  <c r="G140" i="75"/>
  <c r="G141" i="75"/>
  <c r="H140" i="75"/>
  <c r="G205" i="75"/>
  <c r="G206" i="75"/>
  <c r="G214" i="75"/>
  <c r="G142" i="75"/>
  <c r="G143" i="75"/>
  <c r="G58" i="75"/>
  <c r="G59" i="75"/>
  <c r="G61" i="75"/>
  <c r="G167" i="75"/>
  <c r="G183" i="75"/>
  <c r="G184" i="75"/>
  <c r="G47" i="75"/>
  <c r="G48" i="75"/>
  <c r="G50" i="75"/>
  <c r="G85" i="75"/>
  <c r="G86" i="75"/>
  <c r="G280" i="75"/>
  <c r="G281" i="75"/>
  <c r="G73" i="75"/>
  <c r="G74" i="75"/>
  <c r="G102" i="75"/>
  <c r="G103" i="75"/>
  <c r="G92" i="75"/>
  <c r="G93" i="75"/>
  <c r="G94" i="75"/>
  <c r="G271" i="75"/>
  <c r="G272" i="75"/>
  <c r="G273" i="75"/>
  <c r="G191" i="75"/>
  <c r="G192" i="75"/>
  <c r="G193" i="75"/>
  <c r="G251" i="75"/>
  <c r="I192" i="88"/>
  <c r="I194" i="88"/>
  <c r="G282" i="75"/>
  <c r="G286" i="75"/>
  <c r="H212" i="75"/>
  <c r="H215" i="75"/>
  <c r="D126" i="88"/>
  <c r="H130" i="75"/>
  <c r="I32" i="88"/>
  <c r="I39" i="88"/>
  <c r="G168" i="75"/>
  <c r="G170" i="75"/>
  <c r="G249" i="75"/>
  <c r="G9" i="86"/>
  <c r="G127" i="88"/>
  <c r="I127" i="88"/>
  <c r="G141" i="88"/>
  <c r="I141" i="88"/>
  <c r="G146" i="88"/>
  <c r="I146" i="88"/>
  <c r="I153" i="88"/>
  <c r="L153" i="88"/>
  <c r="G95" i="88"/>
  <c r="F199" i="88"/>
  <c r="G199" i="88"/>
  <c r="L200" i="88"/>
  <c r="G126" i="88"/>
  <c r="I126" i="88"/>
  <c r="G131" i="88"/>
  <c r="I131" i="88"/>
  <c r="G140" i="88"/>
  <c r="I140" i="88"/>
  <c r="G156" i="88"/>
  <c r="G135" i="88"/>
  <c r="I135" i="88"/>
  <c r="G99" i="88"/>
  <c r="G76" i="88"/>
  <c r="I76" i="88"/>
  <c r="G125" i="88"/>
  <c r="I125" i="88"/>
  <c r="G129" i="88"/>
  <c r="G108" i="88"/>
  <c r="I108" i="88"/>
  <c r="I110" i="88"/>
  <c r="G104" i="88"/>
  <c r="I104" i="88"/>
  <c r="G165" i="88"/>
  <c r="G67" i="88"/>
  <c r="I67" i="88"/>
  <c r="G68" i="88"/>
  <c r="I68" i="88"/>
  <c r="I86" i="88"/>
  <c r="F198" i="88"/>
  <c r="G198" i="88"/>
  <c r="G202" i="88"/>
  <c r="I202" i="88"/>
  <c r="G134" i="88"/>
  <c r="I134" i="88"/>
  <c r="G109" i="88"/>
  <c r="M126" i="88"/>
  <c r="G213" i="75"/>
  <c r="G204" i="75"/>
  <c r="G212" i="75"/>
  <c r="G215" i="75"/>
  <c r="L199" i="88"/>
  <c r="L201" i="88"/>
  <c r="L70" i="88"/>
  <c r="G63" i="75"/>
  <c r="G31" i="75"/>
  <c r="G32" i="75"/>
  <c r="D130" i="88"/>
  <c r="H141" i="75"/>
  <c r="H58" i="75"/>
  <c r="H59" i="75"/>
  <c r="H61" i="75"/>
  <c r="H167" i="75"/>
  <c r="H168" i="75"/>
  <c r="H183" i="75"/>
  <c r="H184" i="75"/>
  <c r="H73" i="75"/>
  <c r="H74" i="75"/>
  <c r="H47" i="75"/>
  <c r="H48" i="75"/>
  <c r="H50" i="75"/>
  <c r="H85" i="75"/>
  <c r="H86" i="75"/>
  <c r="H92" i="75"/>
  <c r="H93" i="75"/>
  <c r="H94" i="75"/>
  <c r="D108" i="88"/>
  <c r="H102" i="75"/>
  <c r="H103" i="75"/>
  <c r="H280" i="75"/>
  <c r="H281" i="75"/>
  <c r="H282" i="75"/>
  <c r="H191" i="75"/>
  <c r="H192" i="75"/>
  <c r="H271" i="75"/>
  <c r="H272" i="75"/>
  <c r="H273" i="75"/>
  <c r="I224" i="88"/>
  <c r="D15" i="88"/>
  <c r="I15" i="88"/>
  <c r="H142" i="75"/>
  <c r="H143" i="75"/>
  <c r="M140" i="88"/>
  <c r="M108" i="88"/>
  <c r="L79" i="88"/>
  <c r="M70" i="88"/>
  <c r="D135" i="88"/>
  <c r="H193" i="75"/>
  <c r="H251" i="75"/>
  <c r="D141" i="88"/>
  <c r="H170" i="75"/>
  <c r="G70" i="75"/>
  <c r="G71" i="75"/>
  <c r="G75" i="75"/>
  <c r="G179" i="75"/>
  <c r="G180" i="75"/>
  <c r="G185" i="75"/>
  <c r="G250" i="75"/>
  <c r="I227" i="88"/>
  <c r="I231" i="88"/>
  <c r="D16" i="88"/>
  <c r="I16" i="88"/>
  <c r="I19" i="88"/>
  <c r="H286" i="75"/>
  <c r="H63" i="75"/>
  <c r="H31" i="75"/>
  <c r="H32" i="75"/>
  <c r="G34" i="75"/>
  <c r="G35" i="75"/>
  <c r="G244" i="75"/>
  <c r="N127" i="88"/>
  <c r="O127" i="88"/>
  <c r="G153" i="75"/>
  <c r="G154" i="75"/>
  <c r="G156" i="75"/>
  <c r="G82" i="75"/>
  <c r="G83" i="75"/>
  <c r="G87" i="75"/>
  <c r="G234" i="75"/>
  <c r="G235" i="75"/>
  <c r="G99" i="75"/>
  <c r="G100" i="75"/>
  <c r="G104" i="75"/>
  <c r="H249" i="75"/>
  <c r="N143" i="88"/>
  <c r="M141" i="88"/>
  <c r="M143" i="88"/>
  <c r="O143" i="88"/>
  <c r="D143" i="88"/>
  <c r="H179" i="75"/>
  <c r="H180" i="75"/>
  <c r="H185" i="75"/>
  <c r="H70" i="75"/>
  <c r="H71" i="75"/>
  <c r="H75" i="75"/>
  <c r="M79" i="88"/>
  <c r="M88" i="88"/>
  <c r="M90" i="88"/>
  <c r="M72" i="88"/>
  <c r="H34" i="75"/>
  <c r="H35" i="75"/>
  <c r="H244" i="75"/>
  <c r="M81" i="88"/>
  <c r="L128" i="88"/>
  <c r="H99" i="75"/>
  <c r="H100" i="75"/>
  <c r="H104" i="75"/>
  <c r="D109" i="88"/>
  <c r="H234" i="75"/>
  <c r="H235" i="75"/>
  <c r="H82" i="75"/>
  <c r="H83" i="75"/>
  <c r="H87" i="75"/>
  <c r="D99" i="88"/>
  <c r="H153" i="75"/>
  <c r="H154" i="75"/>
  <c r="G248" i="75"/>
  <c r="G109" i="75"/>
  <c r="G111" i="75"/>
  <c r="G118" i="75"/>
  <c r="M128" i="88"/>
  <c r="L130" i="88"/>
  <c r="D95" i="88"/>
  <c r="H250" i="75"/>
  <c r="N153" i="88"/>
  <c r="D146" i="88"/>
  <c r="G245" i="75"/>
  <c r="G120" i="75"/>
  <c r="D153" i="88"/>
  <c r="M146" i="88"/>
  <c r="M153" i="88"/>
  <c r="O153" i="88"/>
  <c r="M109" i="88"/>
  <c r="M110" i="88"/>
  <c r="D110" i="88"/>
  <c r="I109" i="88"/>
  <c r="D102" i="88"/>
  <c r="M102" i="88"/>
  <c r="M112" i="88"/>
  <c r="M95" i="88"/>
  <c r="I95" i="88"/>
  <c r="L132" i="88"/>
  <c r="M132" i="88"/>
  <c r="M130" i="88"/>
  <c r="D129" i="88"/>
  <c r="H156" i="75"/>
  <c r="M99" i="88"/>
  <c r="I99" i="88"/>
  <c r="I102" i="88"/>
  <c r="D112" i="88"/>
  <c r="H248" i="75"/>
  <c r="H109" i="75"/>
  <c r="H111" i="75"/>
  <c r="H118" i="75"/>
  <c r="N137" i="88"/>
  <c r="I129" i="88"/>
  <c r="M129" i="88"/>
  <c r="M137" i="88"/>
  <c r="D137" i="88"/>
  <c r="G217" i="75"/>
  <c r="G246" i="75"/>
  <c r="O137" i="88"/>
  <c r="H245" i="75"/>
  <c r="H120" i="75"/>
  <c r="G252" i="75"/>
  <c r="G237" i="75"/>
  <c r="G239" i="75"/>
  <c r="G253" i="75"/>
  <c r="H217" i="75"/>
  <c r="H246" i="75"/>
  <c r="N112" i="88"/>
  <c r="G257" i="75"/>
  <c r="G264" i="75"/>
  <c r="G265" i="75"/>
  <c r="G289" i="75"/>
  <c r="G27" i="78"/>
  <c r="G29" i="78"/>
  <c r="G39" i="78"/>
  <c r="G42" i="78"/>
  <c r="G45" i="78"/>
  <c r="G37" i="78"/>
  <c r="H37" i="78"/>
  <c r="G40" i="78"/>
  <c r="G43" i="78"/>
  <c r="G46" i="78"/>
  <c r="G41" i="78"/>
  <c r="G47" i="78"/>
  <c r="G38" i="78"/>
  <c r="G44" i="78"/>
  <c r="F67" i="78"/>
  <c r="G48" i="78"/>
  <c r="H252" i="75"/>
  <c r="D165" i="88"/>
  <c r="N165" i="88"/>
  <c r="H237" i="75"/>
  <c r="H239" i="75"/>
  <c r="F37" i="78"/>
  <c r="H38" i="78"/>
  <c r="D156" i="88"/>
  <c r="H253" i="75"/>
  <c r="N156" i="88"/>
  <c r="I165" i="88"/>
  <c r="M165" i="88"/>
  <c r="O165" i="88"/>
  <c r="H257" i="75"/>
  <c r="L165" i="88"/>
  <c r="N167" i="88"/>
  <c r="H264" i="75"/>
  <c r="H265" i="75"/>
  <c r="I37" i="78"/>
  <c r="I156" i="88"/>
  <c r="L156" i="88"/>
  <c r="M156" i="88"/>
  <c r="M167" i="88"/>
  <c r="D162" i="88"/>
  <c r="D167" i="88"/>
  <c r="D174" i="88"/>
  <c r="H39" i="78"/>
  <c r="F39" i="78"/>
  <c r="F38" i="78"/>
  <c r="O167" i="88"/>
  <c r="I38" i="78"/>
  <c r="I39" i="78"/>
  <c r="H289" i="75"/>
  <c r="L174" i="88"/>
  <c r="H40" i="78"/>
  <c r="F40" i="78"/>
  <c r="H41" i="78"/>
  <c r="F41" i="78"/>
  <c r="H42" i="78"/>
  <c r="F42" i="78"/>
  <c r="I40" i="78"/>
  <c r="I41" i="78"/>
  <c r="I42" i="78"/>
  <c r="H43" i="78"/>
  <c r="F43" i="78"/>
  <c r="H44" i="78"/>
  <c r="I43" i="78"/>
  <c r="H45" i="78"/>
  <c r="F45" i="78"/>
  <c r="F44" i="78"/>
  <c r="I44" i="78"/>
  <c r="I45" i="78"/>
  <c r="H46" i="78"/>
  <c r="H47" i="78"/>
  <c r="F46" i="78"/>
  <c r="I46" i="78"/>
  <c r="H48" i="78"/>
  <c r="F48" i="78"/>
  <c r="F47" i="78"/>
  <c r="I47" i="78"/>
  <c r="I48" i="78"/>
  <c r="H49" i="78"/>
  <c r="F49" i="78"/>
  <c r="I49" i="78"/>
  <c r="H50" i="78"/>
  <c r="H51" i="78"/>
  <c r="F51" i="78"/>
  <c r="F50" i="78"/>
  <c r="I50" i="78"/>
  <c r="I51" i="78"/>
  <c r="H52" i="78"/>
  <c r="H53" i="78"/>
  <c r="F52" i="78"/>
  <c r="I52" i="78"/>
  <c r="F53" i="78"/>
  <c r="I53" i="78"/>
  <c r="H54" i="78"/>
  <c r="F54" i="78"/>
  <c r="I54" i="78"/>
  <c r="H55" i="78"/>
  <c r="F55" i="78"/>
  <c r="I55" i="78"/>
  <c r="H56" i="78"/>
  <c r="F56" i="78"/>
  <c r="H57" i="78"/>
  <c r="F57" i="78"/>
  <c r="I56" i="78"/>
  <c r="I57" i="78"/>
  <c r="H58" i="78"/>
  <c r="F58" i="78"/>
  <c r="I58" i="78"/>
  <c r="H59" i="78"/>
  <c r="H60" i="78"/>
  <c r="F60" i="78"/>
  <c r="F59" i="78"/>
  <c r="I59" i="78"/>
  <c r="I60" i="78"/>
  <c r="H61" i="78"/>
  <c r="F61" i="78"/>
  <c r="I61" i="78"/>
  <c r="H62" i="78"/>
  <c r="F62" i="78"/>
  <c r="I62" i="78"/>
  <c r="H63" i="78"/>
  <c r="F63" i="78"/>
  <c r="I63" i="78"/>
  <c r="H64" i="78"/>
  <c r="F64" i="78"/>
  <c r="F66" i="78"/>
  <c r="F68" i="78"/>
  <c r="H291" i="75"/>
  <c r="I64" i="78"/>
  <c r="I65" i="78"/>
  <c r="D21" i="88"/>
  <c r="I21" i="88"/>
  <c r="M21" i="88"/>
  <c r="H293" i="75"/>
  <c r="M23" i="88"/>
  <c r="H298" i="75"/>
  <c r="H302" i="75"/>
  <c r="H303" i="75"/>
  <c r="M28" i="88"/>
  <c r="N21" i="88"/>
  <c r="M9" i="102"/>
  <c r="L12" i="102"/>
  <c r="M8" i="102"/>
  <c r="C12" i="102"/>
  <c r="K12" i="102"/>
  <c r="M11" i="102"/>
  <c r="G70" i="88"/>
  <c r="I70" i="88"/>
  <c r="I88" i="88"/>
  <c r="G79" i="88"/>
  <c r="I79" i="88"/>
  <c r="I81" i="88"/>
  <c r="G130" i="88"/>
  <c r="I130" i="88"/>
  <c r="G128" i="88"/>
  <c r="I128" i="88"/>
  <c r="I137" i="88"/>
  <c r="G132" i="88"/>
  <c r="I132" i="88"/>
  <c r="I143" i="88"/>
  <c r="L143" i="88"/>
  <c r="I85" i="88"/>
  <c r="I162" i="88"/>
  <c r="I167" i="88"/>
  <c r="I174" i="88"/>
  <c r="L137" i="88"/>
  <c r="I72" i="88"/>
  <c r="I90" i="88"/>
  <c r="I112" i="88"/>
  <c r="I12" i="88"/>
  <c r="I23" i="88"/>
  <c r="M174" i="88"/>
  <c r="N23" i="88"/>
  <c r="I28" i="88"/>
  <c r="D41" i="88"/>
  <c r="N28" i="88"/>
  <c r="D48" i="88"/>
  <c r="D42" i="88"/>
  <c r="D46" i="88"/>
  <c r="I47" i="88"/>
  <c r="I48" i="88"/>
  <c r="D47" i="88"/>
  <c r="I46" i="88"/>
</calcChain>
</file>

<file path=xl/sharedStrings.xml><?xml version="1.0" encoding="utf-8"?>
<sst xmlns="http://schemas.openxmlformats.org/spreadsheetml/2006/main" count="3064" uniqueCount="1651">
  <si>
    <t>Liberalized tax depreciation.</t>
  </si>
  <si>
    <t>Plant basis difference.</t>
  </si>
  <si>
    <t>Intangible and General plant</t>
  </si>
  <si>
    <t>Securitized Plant Related.</t>
  </si>
  <si>
    <t>Production cost related.</t>
  </si>
  <si>
    <t>Mark to market of purchase power contracts.</t>
  </si>
  <si>
    <t>Miscellaneous including Account 186</t>
  </si>
  <si>
    <t>Prepaid costs in FERC account 165 that were deducted for tax.</t>
  </si>
  <si>
    <t xml:space="preserve">Total </t>
  </si>
  <si>
    <t>Taxes Other Than Income</t>
  </si>
  <si>
    <t>FICA</t>
  </si>
  <si>
    <t>Fed Unemployment</t>
  </si>
  <si>
    <t>State Unemployment</t>
  </si>
  <si>
    <t>Gross Receipts &amp; Sales Tax</t>
  </si>
  <si>
    <t>Use Tax</t>
  </si>
  <si>
    <t>State Excise Tax</t>
  </si>
  <si>
    <t>Federal Excise Tax</t>
  </si>
  <si>
    <t>Capital Stock Franchise</t>
  </si>
  <si>
    <t>Regulatory commission</t>
  </si>
  <si>
    <t>Non Income Taxes</t>
  </si>
  <si>
    <t>Distribution</t>
  </si>
  <si>
    <t xml:space="preserve">Composite Income Taxes                                                                                                       </t>
  </si>
  <si>
    <t>Annual Point-to-Point Transmission Rate</t>
  </si>
  <si>
    <t>Net Adjusted Revenue Requirement</t>
  </si>
  <si>
    <t>T = 1-{[(1-SIT) * (1-FIT)]/(1-SIT * FIT * p)}</t>
  </si>
  <si>
    <t>Year</t>
  </si>
  <si>
    <t>May</t>
  </si>
  <si>
    <t>Jan</t>
  </si>
  <si>
    <t>Feb</t>
  </si>
  <si>
    <t>Mar</t>
  </si>
  <si>
    <t>Apr</t>
  </si>
  <si>
    <t>Jun</t>
  </si>
  <si>
    <t>Jul</t>
  </si>
  <si>
    <t>Aug</t>
  </si>
  <si>
    <t>Sep</t>
  </si>
  <si>
    <t>Oct</t>
  </si>
  <si>
    <t>Nov</t>
  </si>
  <si>
    <t>Dec</t>
  </si>
  <si>
    <t>Total Transmission Plant In Service</t>
  </si>
  <si>
    <t xml:space="preserve">Taxes Other than Income                                                    </t>
  </si>
  <si>
    <t>Gross Proceeds Outstanding LT Debt</t>
  </si>
  <si>
    <t>Net Proceeds Long Term Debt</t>
  </si>
  <si>
    <t>Total Long Term Debt Cost</t>
  </si>
  <si>
    <t>Preferred Dividend</t>
  </si>
  <si>
    <t>Total Common Stock</t>
  </si>
  <si>
    <t>Long Term Debt Cost</t>
  </si>
  <si>
    <t>Preferred Stock &amp; Dividend</t>
  </si>
  <si>
    <t>Total Preferred Stock</t>
  </si>
  <si>
    <t>13 month</t>
  </si>
  <si>
    <t>Justification</t>
  </si>
  <si>
    <t>Total Income Taxes</t>
  </si>
  <si>
    <t>Summary</t>
  </si>
  <si>
    <t>Taxes Other than Income</t>
  </si>
  <si>
    <t>Common Stock</t>
  </si>
  <si>
    <t>END</t>
  </si>
  <si>
    <t>C</t>
  </si>
  <si>
    <t>Gross Plant Allocator</t>
  </si>
  <si>
    <t>Total Long Term Debt</t>
  </si>
  <si>
    <t>Total Return ( R )</t>
  </si>
  <si>
    <t>I</t>
  </si>
  <si>
    <t>J</t>
  </si>
  <si>
    <t>Long Term Debt</t>
  </si>
  <si>
    <t>Transmission Depreciation Expense</t>
  </si>
  <si>
    <t>Transmission Wages Expense</t>
  </si>
  <si>
    <t>Total Wages Expense</t>
  </si>
  <si>
    <t xml:space="preserve"> </t>
  </si>
  <si>
    <t>E</t>
  </si>
  <si>
    <t>A</t>
  </si>
  <si>
    <t>D</t>
  </si>
  <si>
    <t>G</t>
  </si>
  <si>
    <t>Preferred Stock</t>
  </si>
  <si>
    <t>K</t>
  </si>
  <si>
    <t>Total Cash Working Capital Allocated to Transmission</t>
  </si>
  <si>
    <t>Transmission Materials &amp; Supplies</t>
  </si>
  <si>
    <t>Directly Assigned A&amp;G</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</si>
  <si>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</si>
  <si>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</si>
  <si>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</si>
  <si>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</si>
  <si>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</si>
  <si>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</si>
  <si>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</si>
  <si>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</si>
  <si>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</si>
  <si>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</si>
  <si>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Cash Working Capital</t>
  </si>
  <si>
    <t>Allocators</t>
  </si>
  <si>
    <t>Wages &amp; Salary Allocation Factor</t>
  </si>
  <si>
    <t>Net Plant Allocation Factor</t>
  </si>
  <si>
    <t>Intangible Amortization</t>
  </si>
  <si>
    <t>Return / Capitalization Calculations</t>
  </si>
  <si>
    <t>SIT=State Income Tax Rate or Composite</t>
  </si>
  <si>
    <t>FIT=Federal Income Tax Rate</t>
  </si>
  <si>
    <t>Investment Return = Rate Base * Rate of Return</t>
  </si>
  <si>
    <t>Income Tax Rates</t>
  </si>
  <si>
    <t>Depreciation &amp; Amortization</t>
  </si>
  <si>
    <t>Depreciation &amp; Amortization Expense</t>
  </si>
  <si>
    <t>Total Transmission Depreciation &amp; Amortization</t>
  </si>
  <si>
    <t>L</t>
  </si>
  <si>
    <t>M</t>
  </si>
  <si>
    <t>Transmission O&amp;M</t>
  </si>
  <si>
    <t>Wages &amp; Salary Allocator</t>
  </si>
  <si>
    <t>Total Transmission O&amp;M</t>
  </si>
  <si>
    <t>Total A&amp;G</t>
  </si>
  <si>
    <t>Adjustment to Rate Base</t>
  </si>
  <si>
    <t>Plant Calculations</t>
  </si>
  <si>
    <t>Net Plant Allocator</t>
  </si>
  <si>
    <t>Rate Base</t>
  </si>
  <si>
    <t xml:space="preserve">Income Tax Component = </t>
  </si>
  <si>
    <t>Plant Allocation Factors</t>
  </si>
  <si>
    <t>Wage &amp; Salary Allocation Factor</t>
  </si>
  <si>
    <t>TOTAL Adjustment to Rate Base</t>
  </si>
  <si>
    <t>Description</t>
  </si>
  <si>
    <t>Total</t>
  </si>
  <si>
    <t>B</t>
  </si>
  <si>
    <t>Proprietary Capital</t>
  </si>
  <si>
    <t>Operation &amp; Maintenance Expense</t>
  </si>
  <si>
    <t>Total Transmission Allocated</t>
  </si>
  <si>
    <t>Investment Return</t>
  </si>
  <si>
    <t>Income Taxes</t>
  </si>
  <si>
    <t>Allocation</t>
  </si>
  <si>
    <t>Gross Revenue Requirement</t>
  </si>
  <si>
    <t>Subtotal - Transmission Related</t>
  </si>
  <si>
    <t>T/ (1-T)</t>
  </si>
  <si>
    <t>Notes</t>
  </si>
  <si>
    <t>Net Revenue Requirement</t>
  </si>
  <si>
    <t>O&amp;M</t>
  </si>
  <si>
    <t>Electric portion only</t>
  </si>
  <si>
    <t>Debt Cost</t>
  </si>
  <si>
    <t>Common Cost</t>
  </si>
  <si>
    <t>Weighted Cost of Debt</t>
  </si>
  <si>
    <t>Weighted Cost of Common</t>
  </si>
  <si>
    <t>Accumulated General Depreciation</t>
  </si>
  <si>
    <t>Preferred Cost</t>
  </si>
  <si>
    <t>Formula Rate -- Appendix A</t>
  </si>
  <si>
    <t>Weighted Cost of Preferred</t>
  </si>
  <si>
    <t>Transmission</t>
  </si>
  <si>
    <t>ADIT-190</t>
  </si>
  <si>
    <t>ADIT- 282</t>
  </si>
  <si>
    <t>ADIT-283</t>
  </si>
  <si>
    <t>Reference</t>
  </si>
  <si>
    <t>Average</t>
  </si>
  <si>
    <t>Cash Working Capital Allowance</t>
  </si>
  <si>
    <t>Cash working capital allowance is 0.00% of O&amp;M</t>
  </si>
  <si>
    <t>Labor</t>
  </si>
  <si>
    <t>ADIT</t>
  </si>
  <si>
    <t>Plant Related</t>
  </si>
  <si>
    <t>Labor Related</t>
  </si>
  <si>
    <t>Amount</t>
  </si>
  <si>
    <t>Network Credits</t>
  </si>
  <si>
    <t>Line No.</t>
  </si>
  <si>
    <t>Outstanding Network Credits</t>
  </si>
  <si>
    <t>Net Outstanding Credits</t>
  </si>
  <si>
    <t>Interest on Network Credits</t>
  </si>
  <si>
    <t>Revenue Credits &amp; Interest on Network Credits</t>
  </si>
  <si>
    <t>Other</t>
  </si>
  <si>
    <t>F</t>
  </si>
  <si>
    <t>N</t>
  </si>
  <si>
    <t>Source</t>
  </si>
  <si>
    <t>Plant</t>
  </si>
  <si>
    <t>End of Year</t>
  </si>
  <si>
    <t>Materials &amp; Supplies</t>
  </si>
  <si>
    <t>1/(1-T)</t>
  </si>
  <si>
    <t>Accumulated Intangible Depreciation</t>
  </si>
  <si>
    <t>Total Transmission Accumulated Depreciation</t>
  </si>
  <si>
    <t>Beginning of Year</t>
  </si>
  <si>
    <t>EOY</t>
  </si>
  <si>
    <t>Monthly rate</t>
  </si>
  <si>
    <t xml:space="preserve">Includes all Regulatory Commission Expenses </t>
  </si>
  <si>
    <t>H</t>
  </si>
  <si>
    <t>(1)</t>
  </si>
  <si>
    <t>Generation</t>
  </si>
  <si>
    <t>General Plant</t>
  </si>
  <si>
    <t>Account</t>
  </si>
  <si>
    <t>560 - Oper Super &amp; Engineering Total</t>
  </si>
  <si>
    <t>566 - Misc. Transmission Expenses Total</t>
  </si>
  <si>
    <t>569 - Maintenance Of Structures Total</t>
  </si>
  <si>
    <t>Customer Services Expenses</t>
  </si>
  <si>
    <t>920 - Adm &amp; General Salaries Total</t>
  </si>
  <si>
    <t>921 - Office Supplies And Expenses</t>
  </si>
  <si>
    <t>923 - Outside Services Employed Total</t>
  </si>
  <si>
    <t>925 - Injuries &amp; Damages Expense Total</t>
  </si>
  <si>
    <t>926 - Employee Pension &amp; Benefits</t>
  </si>
  <si>
    <t>928 - Regulatory Commission Expense Total</t>
  </si>
  <si>
    <t>930.1 - General Advertising Expenses</t>
  </si>
  <si>
    <t>930.2 - Active Development Expenses Total</t>
  </si>
  <si>
    <t>935 - Maintenance Of General Plant</t>
  </si>
  <si>
    <t>Steam Production</t>
  </si>
  <si>
    <t>Nuclear Production</t>
  </si>
  <si>
    <t>Hydraulic Production</t>
  </si>
  <si>
    <t>RTMO</t>
  </si>
  <si>
    <t>General</t>
  </si>
  <si>
    <t>Note:</t>
  </si>
  <si>
    <t>Reserve for Property insurance - a book accrual.</t>
  </si>
  <si>
    <t>Property O&amp;M repair costs for book required to be depreciated for tax.</t>
  </si>
  <si>
    <t>Reserve for Injuries and Damages - a book accrual.</t>
  </si>
  <si>
    <t>Employee Benefit</t>
  </si>
  <si>
    <t>Production related.</t>
  </si>
  <si>
    <t>Net negative salvage is related to plant.</t>
  </si>
  <si>
    <t>FERC account 144 - Book reserve for uncollectible accounts.</t>
  </si>
  <si>
    <t>Rounding</t>
  </si>
  <si>
    <t>Unregulated partnership interest.</t>
  </si>
  <si>
    <t>Deferred Revenue FERC account 242500</t>
  </si>
  <si>
    <t>FERC Accounts 228400 and 228403</t>
  </si>
  <si>
    <t>FASB 109 is removed from filing.</t>
  </si>
  <si>
    <t>Charitable contributions deduction carried forward.</t>
  </si>
  <si>
    <t>OpCo</t>
  </si>
  <si>
    <t>ESI</t>
  </si>
  <si>
    <t>ESI - Production</t>
  </si>
  <si>
    <t>ESI - Transmission</t>
  </si>
  <si>
    <t>ESI - Regional Market</t>
  </si>
  <si>
    <t>ESI - Distribution</t>
  </si>
  <si>
    <t>ESI - Customer Accounts</t>
  </si>
  <si>
    <t>ESI - Customer Service</t>
  </si>
  <si>
    <t>ESI - Sales</t>
  </si>
  <si>
    <t>EOI - Payroll</t>
  </si>
  <si>
    <t>EOI - A&amp;G</t>
  </si>
  <si>
    <t>Difference between unbilled revenue reported for tax and book.</t>
  </si>
  <si>
    <t>ADIT- 281</t>
  </si>
  <si>
    <t>O</t>
  </si>
  <si>
    <t>P</t>
  </si>
  <si>
    <t>Q</t>
  </si>
  <si>
    <t>R</t>
  </si>
  <si>
    <t>S</t>
  </si>
  <si>
    <t>T</t>
  </si>
  <si>
    <t>U</t>
  </si>
  <si>
    <t>V</t>
  </si>
  <si>
    <t>389_1_ Land</t>
  </si>
  <si>
    <t>390_0_ Structures &amp; Improvements</t>
  </si>
  <si>
    <t>391_1_ Office Furn &amp; Equip</t>
  </si>
  <si>
    <t>391_2_ Information Systems</t>
  </si>
  <si>
    <t>391_3_ Data Handling Equipment</t>
  </si>
  <si>
    <t>392_0_ Transportation Equipment</t>
  </si>
  <si>
    <t>393_0_ Stores Equipment</t>
  </si>
  <si>
    <t>394_0_ Tools, Shop &amp; Garage Equip</t>
  </si>
  <si>
    <t>395_0_ Laboratory Equipment</t>
  </si>
  <si>
    <t>396_0_ Power Operated Equipment</t>
  </si>
  <si>
    <t>397_1_ Misc. Comm Equip</t>
  </si>
  <si>
    <t>397_2_ Comm &amp; Microwave Equip</t>
  </si>
  <si>
    <t>398_0_ Miscellaneous Equipment</t>
  </si>
  <si>
    <t>350_1_Land</t>
  </si>
  <si>
    <t>350_2_Land Rights - High Voltage</t>
  </si>
  <si>
    <t>350_3_Land Rights - Low Voltage</t>
  </si>
  <si>
    <t>352_0_Structure &amp; Improvements</t>
  </si>
  <si>
    <t>353_0_Stn Eqpt-Trans</t>
  </si>
  <si>
    <t>354_0_Twrs &amp; Fxtrs-Trans</t>
  </si>
  <si>
    <t>355_0_Poles &amp; Fxtrs -Trans</t>
  </si>
  <si>
    <t>356_1_Overhd Cond &amp; Devices</t>
  </si>
  <si>
    <t>356_2_Overhd Cond &amp; Devs - Dmgs</t>
  </si>
  <si>
    <t>356_3_Overhd Cond &amp; Dev - Clr&amp;Gra</t>
  </si>
  <si>
    <t>357_0_Undergrnd Conduit-Trans</t>
  </si>
  <si>
    <t>358_0_Undergrnd Cond&amp;Devices</t>
  </si>
  <si>
    <t>359_0_Roads &amp; Trails - Trans</t>
  </si>
  <si>
    <t>Utility Account and Description</t>
  </si>
  <si>
    <t>FF1 266.8.f</t>
  </si>
  <si>
    <t>Federal Income Taxes</t>
  </si>
  <si>
    <t>State Income Taxes</t>
  </si>
  <si>
    <t>Total General Plant and Intangibles</t>
  </si>
  <si>
    <t xml:space="preserve"> Intangible</t>
  </si>
  <si>
    <t>General &amp; Intangible Plant Allocated to Transmission</t>
  </si>
  <si>
    <t>General &amp; Intangible Allocated to Transmission</t>
  </si>
  <si>
    <t>Supplemental Upgrades</t>
  </si>
  <si>
    <t>Ad Valorem Tax</t>
  </si>
  <si>
    <t>*</t>
  </si>
  <si>
    <t>13 Month Average</t>
  </si>
  <si>
    <t>Interconnection Facilities</t>
  </si>
  <si>
    <t>Account Name</t>
  </si>
  <si>
    <t>Cumulative</t>
  </si>
  <si>
    <t>301-Organization (5 year life)</t>
  </si>
  <si>
    <t>302-Franchises and Consents (5 year life)</t>
  </si>
  <si>
    <t>302-Franchises and Consents (30 year life)</t>
  </si>
  <si>
    <t>302-Franchises and Consents (50 year life)</t>
  </si>
  <si>
    <t>303-Miscellaneous Intangible Plant (5 year life)</t>
  </si>
  <si>
    <t>303-Miscellaneous Intangible Plant (10 year life)</t>
  </si>
  <si>
    <t>ESI - Administrative &amp; General</t>
  </si>
  <si>
    <t>FERC Form 1  Page # or Reference</t>
  </si>
  <si>
    <t>Tax deduction when reacquired, book amortizes to expense.</t>
  </si>
  <si>
    <t>Ln</t>
  </si>
  <si>
    <t>Debt Capitalization</t>
  </si>
  <si>
    <t>Preferred Capitalization</t>
  </si>
  <si>
    <t>Common Capitalization</t>
  </si>
  <si>
    <t>FERC Annual Interest Rate</t>
  </si>
  <si>
    <t>X</t>
  </si>
  <si>
    <t>Y</t>
  </si>
  <si>
    <t>Z</t>
  </si>
  <si>
    <t>AA</t>
  </si>
  <si>
    <t>W</t>
  </si>
  <si>
    <t>Average of the 12 CP (kW)</t>
  </si>
  <si>
    <t>Less Attachment GG Adj.</t>
  </si>
  <si>
    <t>Less Attachment MM Adj.</t>
  </si>
  <si>
    <t>Asset Location</t>
  </si>
  <si>
    <t>930.2 - Misc. General Expense</t>
  </si>
  <si>
    <t>931 - Rents</t>
  </si>
  <si>
    <t>VSP (Severance)</t>
  </si>
  <si>
    <t>MISO cost deferral account 1823MD.</t>
  </si>
  <si>
    <t>Notes:</t>
  </si>
  <si>
    <t>Total Electric Plant In Service</t>
  </si>
  <si>
    <t>Total Accumulated Depreciation Electric Plant</t>
  </si>
  <si>
    <t>Net Electric Plant</t>
  </si>
  <si>
    <t>TOTAL Plant In Service - Transmission</t>
  </si>
  <si>
    <t>TOTAL Accumulated Depreciation - Transmission</t>
  </si>
  <si>
    <t>TOTAL Net Property, Plant &amp; Equipment - Transmission</t>
  </si>
  <si>
    <t>Unfunded Reserves Rate Base Credits/Debits</t>
  </si>
  <si>
    <t>Prepayments Allocated to Transmission</t>
  </si>
  <si>
    <t>Electric Plant Held for Future Use</t>
  </si>
  <si>
    <t>Long Term Debt Cost - Total</t>
  </si>
  <si>
    <t>Common Stock - Total</t>
  </si>
  <si>
    <t>BB</t>
  </si>
  <si>
    <t>CC</t>
  </si>
  <si>
    <t>DD</t>
  </si>
  <si>
    <t>The gain or loss on the sale of a transmission or general plant asset is only included if the asset has been included as a component of the transmission formula rate base.</t>
  </si>
  <si>
    <t>Page 1 of 4</t>
  </si>
  <si>
    <t xml:space="preserve">Formula Rate - Non-Levelized </t>
  </si>
  <si>
    <t>Rate Formula Template</t>
  </si>
  <si>
    <t>Utilizing FERC Form 1 Data</t>
  </si>
  <si>
    <t>Projected</t>
  </si>
  <si>
    <t>(2)</t>
  </si>
  <si>
    <t>(3)</t>
  </si>
  <si>
    <t>(4)</t>
  </si>
  <si>
    <t>(5)</t>
  </si>
  <si>
    <t>Line</t>
  </si>
  <si>
    <t>Allocated</t>
  </si>
  <si>
    <t>No.</t>
  </si>
  <si>
    <t>GROSS REVENUE REQUIREMENT</t>
  </si>
  <si>
    <t xml:space="preserve">REVENUE CREDITS </t>
  </si>
  <si>
    <t>Allocator</t>
  </si>
  <si>
    <t>DA</t>
  </si>
  <si>
    <t>NA</t>
  </si>
  <si>
    <t>Zero</t>
  </si>
  <si>
    <t xml:space="preserve">TOTAL REVENUE CREDITS </t>
  </si>
  <si>
    <t>NET REVENUE REQUIREMENT</t>
  </si>
  <si>
    <t>True-up Adjustment with Interest</t>
  </si>
  <si>
    <t xml:space="preserve">DIVISOR </t>
  </si>
  <si>
    <t>Annual Cost ($/kW/Yr)</t>
  </si>
  <si>
    <t xml:space="preserve">Network &amp; P-to-P Rate ($/kW/Mo) </t>
  </si>
  <si>
    <t>Peak Rate</t>
  </si>
  <si>
    <t>Off-Peak Rate</t>
  </si>
  <si>
    <t>Point-To-Point Rate ($/kW/Wk)</t>
  </si>
  <si>
    <t>Point-To-Point Rate ($/kW/Day)</t>
  </si>
  <si>
    <t>Capped at weekly rate</t>
  </si>
  <si>
    <t>Point-To-Point Rate ($/MWh)</t>
  </si>
  <si>
    <t>Capped at weekly</t>
  </si>
  <si>
    <t>and daily rates</t>
  </si>
  <si>
    <t>FERC Annual Charge($/MWh)</t>
  </si>
  <si>
    <t xml:space="preserve">          </t>
  </si>
  <si>
    <t>Short Term</t>
  </si>
  <si>
    <t>Long Term</t>
  </si>
  <si>
    <t>Page 2 of 4</t>
  </si>
  <si>
    <t>Company Total</t>
  </si>
  <si>
    <t xml:space="preserve">                  Allocator </t>
  </si>
  <si>
    <t>(Col 3 times Col 4)</t>
  </si>
  <si>
    <t xml:space="preserve">RATE BASE: </t>
  </si>
  <si>
    <t>GROSS PLANT IN SERVICE</t>
  </si>
  <si>
    <t>TP</t>
  </si>
  <si>
    <t>W/S</t>
  </si>
  <si>
    <t>TOTAL GROSS PLANT</t>
  </si>
  <si>
    <t>ACCUMULATED DEPRECIATION</t>
  </si>
  <si>
    <t xml:space="preserve">TOTAL ACCUM. DEPRECIATION </t>
  </si>
  <si>
    <t>NET PLANT IN SERVICE</t>
  </si>
  <si>
    <t>TOTAL NET PLANT</t>
  </si>
  <si>
    <t xml:space="preserve">ADJUSTMENTS TO RATE BASE </t>
  </si>
  <si>
    <t xml:space="preserve">TOTAL ADJUSTMENTS </t>
  </si>
  <si>
    <t xml:space="preserve">LAND HELD FOR FUTURE USE </t>
  </si>
  <si>
    <t xml:space="preserve">WORKING CAPITAL </t>
  </si>
  <si>
    <t xml:space="preserve">TOTAL WORKING CAPITAL  </t>
  </si>
  <si>
    <t xml:space="preserve">RATE BASE </t>
  </si>
  <si>
    <t>Page 3 of 4</t>
  </si>
  <si>
    <t xml:space="preserve">  Transmission </t>
  </si>
  <si>
    <t xml:space="preserve">  A&amp;G</t>
  </si>
  <si>
    <t>TOTAL O&amp;M</t>
  </si>
  <si>
    <t>DEPRECIATION EXPENSE</t>
  </si>
  <si>
    <t xml:space="preserve">TOTAL DEPRECIATION </t>
  </si>
  <si>
    <t xml:space="preserve">TAXES OTHER THAN INCOME TAXES </t>
  </si>
  <si>
    <t>Taxes Other Than Income Taxes</t>
  </si>
  <si>
    <t>TOTAL OTHER TAXES</t>
  </si>
  <si>
    <t xml:space="preserve">INCOME TAXES          </t>
  </si>
  <si>
    <t xml:space="preserve">RETURN </t>
  </si>
  <si>
    <t>Rate Base times Return</t>
  </si>
  <si>
    <t>REV. REQUIREMENT</t>
  </si>
  <si>
    <t xml:space="preserve">REV. REQUIREMENT TO BE COLLECTED UNDER ATTACHMENT O </t>
  </si>
  <si>
    <t>Page 4 of 4</t>
  </si>
  <si>
    <t xml:space="preserve">                SUPPORTING CALCULATIONS AND NOTES</t>
  </si>
  <si>
    <t>TRANSMISSION PLANT INCLUDED IN ISO RATES</t>
  </si>
  <si>
    <t xml:space="preserve">Total Transmission plant  </t>
  </si>
  <si>
    <t xml:space="preserve">Less Transmission plant excluded from ISO rates  </t>
  </si>
  <si>
    <t>Transmission plant included in ISO rates</t>
  </si>
  <si>
    <t xml:space="preserve">Percentage of Transmission plant included in ISO Rates  </t>
  </si>
  <si>
    <t>TP=</t>
  </si>
  <si>
    <t>WAGES &amp; SALARY ALLOCATOR  (W&amp;S)</t>
  </si>
  <si>
    <t>Form 1 Reference</t>
  </si>
  <si>
    <t>$</t>
  </si>
  <si>
    <t>W&amp;S Allocator</t>
  </si>
  <si>
    <t>($ / Allocation)</t>
  </si>
  <si>
    <t>=</t>
  </si>
  <si>
    <t>WS</t>
  </si>
  <si>
    <t>RETURN (R)</t>
  </si>
  <si>
    <t>Cost</t>
  </si>
  <si>
    <t>%</t>
  </si>
  <si>
    <t>Weighted</t>
  </si>
  <si>
    <t>WCLTD</t>
  </si>
  <si>
    <t>REVENUE CREDITS</t>
  </si>
  <si>
    <t>ACCOUNT 447 (SALES FOR RESALE)</t>
  </si>
  <si>
    <t>INCOME TAX RATES</t>
  </si>
  <si>
    <t>FIT =</t>
  </si>
  <si>
    <t>SIT=</t>
  </si>
  <si>
    <t xml:space="preserve">  (State Income Tax Rate or Composite SIT)</t>
  </si>
  <si>
    <t>p =</t>
  </si>
  <si>
    <t>Included Transmission</t>
  </si>
  <si>
    <t>Excluded Transmission</t>
  </si>
  <si>
    <t>Production</t>
  </si>
  <si>
    <t>Intangible</t>
  </si>
  <si>
    <t>13-Mo Avg</t>
  </si>
  <si>
    <t xml:space="preserve">I </t>
  </si>
  <si>
    <t>Adjustments To Rate Base</t>
  </si>
  <si>
    <t>Subtotal ADIT</t>
  </si>
  <si>
    <t>Gas, Prod Or Other Related</t>
  </si>
  <si>
    <t>Transmission Only Related</t>
  </si>
  <si>
    <t>Projected: End of Year</t>
  </si>
  <si>
    <t>Reference or Description</t>
  </si>
  <si>
    <t>(In Dollars)</t>
  </si>
  <si>
    <t>Quarter</t>
  </si>
  <si>
    <t>Service Month</t>
  </si>
  <si>
    <t>Total Balance (quarterly compounding)</t>
  </si>
  <si>
    <t>Total Balance Prior Month Col H + Current Month Col E + Col F</t>
  </si>
  <si>
    <t xml:space="preserve">Excel's "Goal Seek" function in "Data\What-If" tools was used to solve for the monthly amortization amount. </t>
  </si>
  <si>
    <t>Using Goal Seek doesn't leave any indication of how the monthly amortization was calculated.</t>
  </si>
  <si>
    <t>The Goal Seek parameters used were:</t>
  </si>
  <si>
    <t>Set Cell:</t>
  </si>
  <si>
    <t>To Value:</t>
  </si>
  <si>
    <t>By Changing Cell:</t>
  </si>
  <si>
    <t>Instructions for Account 190, 281, 282, &amp; 283</t>
  </si>
  <si>
    <t>Average of BOY/EOY (Col (C+D)/2)</t>
  </si>
  <si>
    <t>Transmission Pricing Zone</t>
  </si>
  <si>
    <t>Avg 12 CP</t>
  </si>
  <si>
    <t>Peak Day</t>
  </si>
  <si>
    <t>Peak Hr</t>
  </si>
  <si>
    <t>Network Customers</t>
  </si>
  <si>
    <t>Long Term Firm PTP</t>
  </si>
  <si>
    <t>OpCo Native Load</t>
  </si>
  <si>
    <t>TPZ load</t>
  </si>
  <si>
    <t xml:space="preserve"> I</t>
  </si>
  <si>
    <t xml:space="preserve"> J</t>
  </si>
  <si>
    <t xml:space="preserve"> K</t>
  </si>
  <si>
    <t xml:space="preserve"> L</t>
  </si>
  <si>
    <t xml:space="preserve"> M</t>
  </si>
  <si>
    <t xml:space="preserve">N </t>
  </si>
  <si>
    <t>Total Revenue Credits</t>
  </si>
  <si>
    <t>Over/Under Collections &amp; Amortization</t>
  </si>
  <si>
    <t>263.41.i</t>
  </si>
  <si>
    <t>ARO</t>
  </si>
  <si>
    <t>Step-Up Facilities</t>
  </si>
  <si>
    <t>A positive value is an under-recovery of revenues and collection from transmission service customers.  A negative value is an over-recovery of revenues and payment to transmission service customers.</t>
  </si>
  <si>
    <t>Long Term Debt - Gross Proceeds</t>
  </si>
  <si>
    <t>Long Term Debt - Net Proceeds</t>
  </si>
  <si>
    <t>Acct</t>
  </si>
  <si>
    <t>Total (1)</t>
  </si>
  <si>
    <t>454000 - Total</t>
  </si>
  <si>
    <t>454100 - Distribution</t>
  </si>
  <si>
    <t>Revenue - Rent From Electric Property</t>
  </si>
  <si>
    <t>Revenue</t>
  </si>
  <si>
    <t>Revenue - Other Electric Revenue</t>
  </si>
  <si>
    <t>Month</t>
  </si>
  <si>
    <t>228100 - Accumulated Provision For Property Insurance</t>
  </si>
  <si>
    <t>228151 - Insurance Proceeds-O&amp;M</t>
  </si>
  <si>
    <t>2281LB - Storm Damage Reserve Lock Box</t>
  </si>
  <si>
    <t>Accumulated Provision for Property Insurance</t>
  </si>
  <si>
    <t>Accumulated Provision for Pensions and Benefits</t>
  </si>
  <si>
    <t>Accumulated Miscellaneous Operating Provisions</t>
  </si>
  <si>
    <t>Income Tax Adjustments</t>
  </si>
  <si>
    <t>Total General &amp; Intangible Accumulated Depreciation</t>
  </si>
  <si>
    <t>Transmission O&amp;M (EOY)</t>
  </si>
  <si>
    <t>Allocated General Expenses (EOY)</t>
  </si>
  <si>
    <t>Adjusted A&amp;G</t>
  </si>
  <si>
    <t>Depreciation Expense (EOY)</t>
  </si>
  <si>
    <t>Total Taxes Other than Income (EOY)</t>
  </si>
  <si>
    <t>Transmission Plant in Service</t>
  </si>
  <si>
    <t>Projected Transmission Plant Capital Additions</t>
  </si>
  <si>
    <t>13-Month</t>
  </si>
  <si>
    <t>Weighted Average (1)</t>
  </si>
  <si>
    <t>Payroll Costs</t>
  </si>
  <si>
    <t>Total Costs</t>
  </si>
  <si>
    <t>Less Accounts 561.0 to 561.8</t>
  </si>
  <si>
    <t>Accumulated Provision for Injuries and Damages</t>
  </si>
  <si>
    <t>2281FR - Property Ins. Prov. Reclassification</t>
  </si>
  <si>
    <t>228200 - Accumulated Provision For Injuries &amp; Damages</t>
  </si>
  <si>
    <t>228210 - Reserve For Injuries &amp; Dam - Legal</t>
  </si>
  <si>
    <t>Other Related</t>
  </si>
  <si>
    <t>Revenue Requirement</t>
  </si>
  <si>
    <t>Total O&amp;M Adjustments</t>
  </si>
  <si>
    <t xml:space="preserve">Total A&amp;G Adjustments </t>
  </si>
  <si>
    <t xml:space="preserve">Total Depreciation Expense Adjustments </t>
  </si>
  <si>
    <t>Less Preferred Stock</t>
  </si>
  <si>
    <t>ADIT Credit - Account 255</t>
  </si>
  <si>
    <t>Enter as negative</t>
  </si>
  <si>
    <t>p205.5.g</t>
  </si>
  <si>
    <t>Intangibles</t>
  </si>
  <si>
    <t>Adjustment to A&amp;G Wages Expense</t>
  </si>
  <si>
    <t>Net Transmission Wage Expense</t>
  </si>
  <si>
    <t>Adjustment to Transmission Wages Expense</t>
  </si>
  <si>
    <t>Net Wages Expense</t>
  </si>
  <si>
    <t>Adjustment to Wages Expense</t>
  </si>
  <si>
    <t>Total Wages Expense Less A&amp;G</t>
  </si>
  <si>
    <t>A&amp;G Wages Expense</t>
  </si>
  <si>
    <t>Less EPRI dues booked to A&amp;G</t>
  </si>
  <si>
    <t>Less Property Insurance Account 924</t>
  </si>
  <si>
    <t>Less Selected Costs from 930.2</t>
  </si>
  <si>
    <t>Transmission (1)</t>
  </si>
  <si>
    <t>Undistr. Stores Exp (2)</t>
  </si>
  <si>
    <t>Plus O&amp;M Adjustments</t>
  </si>
  <si>
    <t>A/C 5614 to 5618</t>
  </si>
  <si>
    <t>Regulatory Commission Expense Account 928</t>
  </si>
  <si>
    <t>CIT=(T/1-T) * Investment Return * (1-(WCLTD/R)) =</t>
  </si>
  <si>
    <t>Transmission Substation</t>
  </si>
  <si>
    <t>Total - Generator &amp; Transmission Substation</t>
  </si>
  <si>
    <t>Station Equipment - A/C 3530</t>
  </si>
  <si>
    <t>p = Percent of Federal Inc Tax Deductible for State Inc Tax</t>
  </si>
  <si>
    <t>Preferred Stock cost  =  Preferred Dividends / Total Preferred Stock</t>
  </si>
  <si>
    <t>Long Term Debt Cost = LT Debt Cost / Net Proceeds LT Debt</t>
  </si>
  <si>
    <t>Total Adjustment</t>
  </si>
  <si>
    <t>See footnote in FERC Form 1 for amount reported.</t>
  </si>
  <si>
    <t>13-Mo Avg.</t>
  </si>
  <si>
    <t>Total ADIT-190 Less FASB 109</t>
  </si>
  <si>
    <t>Less FASB 109 Above</t>
  </si>
  <si>
    <t>Reference FF1 p.234.8b &amp; c</t>
  </si>
  <si>
    <t>Reference FF1 274.2b &amp; 275.2.k</t>
  </si>
  <si>
    <t>Reference FF1 p.276.9b &amp; p.277.9.k</t>
  </si>
  <si>
    <t>p.204.46.b</t>
  </si>
  <si>
    <t>p.204.5.b</t>
  </si>
  <si>
    <t>p.206.58b</t>
  </si>
  <si>
    <t>p.206.75b</t>
  </si>
  <si>
    <t>p.206.99b</t>
  </si>
  <si>
    <t>p.207.99g</t>
  </si>
  <si>
    <t>p.207.75g</t>
  </si>
  <si>
    <t>Entergy shall not include any inputs in the formula for Asset Retirement Obligations (AROs) such as, ARO assets, ARO depreciation expense, accumulated provision for depreciation of ARO assets, ARO accretion expense, or ARO cost of removal/negative salvage, absent Commission approval pursuant to a section 205 or 206 filing.</t>
  </si>
  <si>
    <t>EE</t>
  </si>
  <si>
    <t>Production excluding - ARO</t>
  </si>
  <si>
    <t>(Col. C + Col. D)</t>
  </si>
  <si>
    <t>p.205.46.g</t>
  </si>
  <si>
    <t>FF</t>
  </si>
  <si>
    <t>GG</t>
  </si>
  <si>
    <t>HH</t>
  </si>
  <si>
    <t>II</t>
  </si>
  <si>
    <t>JJ</t>
  </si>
  <si>
    <t>KK</t>
  </si>
  <si>
    <t>Transmission Associated TOTI</t>
  </si>
  <si>
    <t>Work paper provided</t>
  </si>
  <si>
    <t>Rev Credits</t>
  </si>
  <si>
    <t>Transmission Service Revenues (NITS &amp; LT)</t>
  </si>
  <si>
    <t xml:space="preserve">Total Taxes Other Than Income Tax Adjustments </t>
  </si>
  <si>
    <t>General Advertising Acct 930.1 - Safety, Education &amp; Outreach</t>
  </si>
  <si>
    <t>General Plant Depreciation Expense</t>
  </si>
  <si>
    <t xml:space="preserve">Plant Associated </t>
  </si>
  <si>
    <t>Plus Adjustment to Plant Associated</t>
  </si>
  <si>
    <t>Total Plant Associated</t>
  </si>
  <si>
    <t xml:space="preserve">FERC regulatory expenses itemized in the FERC Form No. 1 at 351.h that are directly related to transmission service, RTO filings, OATT compliance and maintenance of the transmission formula rate and retail regulatory expenses associated with siting and certification of qualifying transmission facilities.  </t>
  </si>
  <si>
    <t>(Col B+C+F+I+J)</t>
  </si>
  <si>
    <t>(1)  Estimate of transmission capital additions for the current (projected) year weighted on months in service in the current year.</t>
  </si>
  <si>
    <t>Notes: Allocation Criteria</t>
  </si>
  <si>
    <t xml:space="preserve">J </t>
  </si>
  <si>
    <t>Account 223 will be limited to interest bearing amounts supporting assets and associated ADIT on the company's books.</t>
  </si>
  <si>
    <t>Total p300.19.b</t>
  </si>
  <si>
    <t>p.214.47.d</t>
  </si>
  <si>
    <t>Less FASB 109 Above (Footnote p.234)</t>
  </si>
  <si>
    <t>Less FASB 109 p.276 &amp; 277 Footnote</t>
  </si>
  <si>
    <t>Total ADIT 283 Less FASB 109</t>
  </si>
  <si>
    <t>Related</t>
  </si>
  <si>
    <t>Account 561</t>
  </si>
  <si>
    <t>Less Hedging Expense</t>
  </si>
  <si>
    <t>Account 427 Long Term Interest Expense</t>
  </si>
  <si>
    <t>Account 221 - Bonds</t>
  </si>
  <si>
    <t>Account 224 Other LT Debt</t>
  </si>
  <si>
    <t>Account 204 Preferred Stock Issued</t>
  </si>
  <si>
    <t>Account 428 Amortized Debt Discount &amp; Expense</t>
  </si>
  <si>
    <t>Less Account 429 Amortized Premium</t>
  </si>
  <si>
    <t>Less Account 226 Unamortized Discount</t>
  </si>
  <si>
    <t>Less Account 181 Unamortized Debt Expense</t>
  </si>
  <si>
    <t>Plus Account 225 Unamortized Premium</t>
  </si>
  <si>
    <t>Less Account 219</t>
  </si>
  <si>
    <t>Account 223 LT Advances from Associated Companies (1)</t>
  </si>
  <si>
    <t>p.227.8.b (BOY); p.227.8.c (EOY)</t>
  </si>
  <si>
    <t>p.227.16.b (BOY); p.227.16.c (EOY)</t>
  </si>
  <si>
    <t>Entergy Services, Inc. Income Taxes</t>
  </si>
  <si>
    <t>Long Term Debt Adjustments</t>
  </si>
  <si>
    <t>p.400.1.b</t>
  </si>
  <si>
    <t>p.400.2.b</t>
  </si>
  <si>
    <t>p.400.3.b</t>
  </si>
  <si>
    <t>p.400.5.b</t>
  </si>
  <si>
    <t>p.400.6.b</t>
  </si>
  <si>
    <t>p.400.7.b</t>
  </si>
  <si>
    <t>p.400.9.b</t>
  </si>
  <si>
    <t>p.400.10.b</t>
  </si>
  <si>
    <t>p.400.11.b</t>
  </si>
  <si>
    <t>p.400.13.b</t>
  </si>
  <si>
    <t>p.400.14.b</t>
  </si>
  <si>
    <t>p.400.15.b</t>
  </si>
  <si>
    <t>Transmission Wages &amp; Salary Expense</t>
  </si>
  <si>
    <t>Transmission Wages &amp; Salary Expense Adjustments</t>
  </si>
  <si>
    <t xml:space="preserve">Transmission </t>
  </si>
  <si>
    <t>General &amp; Intangible</t>
  </si>
  <si>
    <t>Property Insurance</t>
  </si>
  <si>
    <t xml:space="preserve">Less Adjustments  </t>
  </si>
  <si>
    <t>Less Account 565</t>
  </si>
  <si>
    <t xml:space="preserve">Long Term Debt </t>
  </si>
  <si>
    <t xml:space="preserve">Preferred Stock </t>
  </si>
  <si>
    <t>Prepayments (Account 165)</t>
  </si>
  <si>
    <t xml:space="preserve">Production </t>
  </si>
  <si>
    <t xml:space="preserve">Distribution </t>
  </si>
  <si>
    <t xml:space="preserve">  (% of FIT deductible for state purposes)</t>
  </si>
  <si>
    <t>(OVER) / UNDER COLLECTIONS BALANCE</t>
  </si>
  <si>
    <t>p.354.21.b</t>
  </si>
  <si>
    <t>p.354.28.b</t>
  </si>
  <si>
    <t>p.354.27.b</t>
  </si>
  <si>
    <t>p.111.57.d</t>
  </si>
  <si>
    <t>p.111.57.c</t>
  </si>
  <si>
    <t>13-Month Avg</t>
  </si>
  <si>
    <t>13 Month Avg</t>
  </si>
  <si>
    <t>Transmission Load</t>
  </si>
  <si>
    <t>Undistributed Stores Expense</t>
  </si>
  <si>
    <t>Accumulated. Depreciation for Network Credits</t>
  </si>
  <si>
    <t>Less Account 565 - Transmission of Electricity By Others</t>
  </si>
  <si>
    <t>Less Regulatory Commission Expense Account 928</t>
  </si>
  <si>
    <t>Less General Advertising Expense Account 930.1</t>
  </si>
  <si>
    <t>General Advertising Expense Account 930.1 - Transmission</t>
  </si>
  <si>
    <t>Amortization Investment Tax Credit-Elect</t>
  </si>
  <si>
    <t>228101 - Interest on Accumulated Provision for Property Insurance</t>
  </si>
  <si>
    <t>228400 - Accumulated Misc.-Operating Provision Accrual</t>
  </si>
  <si>
    <t>228401 - Accumulated Provision - Coal Car Maintenance</t>
  </si>
  <si>
    <t>228402 - Ltd - Decommissioning &amp; Decontamination</t>
  </si>
  <si>
    <t>228308 - Accumulated Provision-Pension &amp; Benefits - OPEB</t>
  </si>
  <si>
    <t>228301 - Accumulated Provision Pension &amp; Benefits Hosp. Reserve-Adj.</t>
  </si>
  <si>
    <t>1823FR - Property Insurance Provision Reclassification</t>
  </si>
  <si>
    <t>228403 - Accumulated Provision-Commercial Litigation</t>
  </si>
  <si>
    <t>Less Account 222 Reacquired Bonds</t>
  </si>
  <si>
    <t>Less Account 189 Unamortized Loss Reacquired Debt</t>
  </si>
  <si>
    <t>Plus Account 257 Unamortized Gain Reacquired Debt</t>
  </si>
  <si>
    <t>Account 428.1 Amortized Loss on Reacquired Debt</t>
  </si>
  <si>
    <t>Less Account 429.1 Amortized Gain Reacquired Debt</t>
  </si>
  <si>
    <t>Less Account 216.1 Unappropriated Undistributed Subsidiary Earnings</t>
  </si>
  <si>
    <t>18a</t>
  </si>
  <si>
    <t>1a</t>
  </si>
  <si>
    <t>5a</t>
  </si>
  <si>
    <t>5b</t>
  </si>
  <si>
    <t xml:space="preserve">  PLANT RELATED</t>
  </si>
  <si>
    <t>30a</t>
  </si>
  <si>
    <t>7b</t>
  </si>
  <si>
    <t>7a</t>
  </si>
  <si>
    <t>7c</t>
  </si>
  <si>
    <t xml:space="preserve">Allocator </t>
  </si>
  <si>
    <t>Plus Transmission Related Reg. Comm. Exp. &amp; Directly Assigned Acct 930.1</t>
  </si>
  <si>
    <t>6 - 11</t>
  </si>
  <si>
    <t>21 - 26</t>
  </si>
  <si>
    <t>36a</t>
  </si>
  <si>
    <t>36b</t>
  </si>
  <si>
    <t>Reserved for future use.</t>
  </si>
  <si>
    <t>WP13 - Taxes Other Than Income Taxes</t>
  </si>
  <si>
    <t>WP15 - Radial Lines (1)</t>
  </si>
  <si>
    <t>p.112.18.d,c</t>
  </si>
  <si>
    <t>p.112.19.d,c</t>
  </si>
  <si>
    <t>p.112.20.d,c</t>
  </si>
  <si>
    <t>p.112.21.d,c</t>
  </si>
  <si>
    <t>WP14 - Cost of Capital</t>
  </si>
  <si>
    <t>Note</t>
  </si>
  <si>
    <t>Enter deferral amounts as negatives.</t>
  </si>
  <si>
    <t>A/C 5611 to 5613</t>
  </si>
  <si>
    <t>B + C</t>
  </si>
  <si>
    <t>WP03 - Wages &amp; Salary Expense</t>
  </si>
  <si>
    <t>WP05 - Transmission Capital Additions in Projected Year</t>
  </si>
  <si>
    <t>WP17 - Analysis of Accounts 454 and 456 - Other Electric Revenue</t>
  </si>
  <si>
    <t>p.112.27.c,d to p.112.30.c,d</t>
  </si>
  <si>
    <t>FF1 p.267.8.h</t>
  </si>
  <si>
    <t>FF1 p353.f</t>
  </si>
  <si>
    <t>Network Customer 1</t>
  </si>
  <si>
    <t>FF1 p321.112.b</t>
  </si>
  <si>
    <t>FF1 p323.197.b</t>
  </si>
  <si>
    <t>FF1 p323.185.b</t>
  </si>
  <si>
    <t>FF1 p323.189.b</t>
  </si>
  <si>
    <t>FF1 p323.191.b</t>
  </si>
  <si>
    <t>Transmission O&amp;M  (Accounts 560 to 574)</t>
  </si>
  <si>
    <t>Production O&amp;M (Accounts 500 to 557)</t>
  </si>
  <si>
    <t>Regional &amp; Marketing O&amp;M (Accounts 575 to 576)</t>
  </si>
  <si>
    <t>Distribution O&amp;M (Accounts 580 to 598)</t>
  </si>
  <si>
    <t>Customer Accounts (Accounts 901 to 905)</t>
  </si>
  <si>
    <t>Customer Services (Accounts (906 to 917)</t>
  </si>
  <si>
    <t>A&amp;G Expenses (Accounts 920 to 935)</t>
  </si>
  <si>
    <t>Payroll Taxes (Account 408110)</t>
  </si>
  <si>
    <t>Deprec. Expense - Service Co (Account 4031AM)</t>
  </si>
  <si>
    <t>Other Accounts Not Included Below</t>
  </si>
  <si>
    <t>Less Rev. Credits from Schedules assoc. w/ Attachment MM</t>
  </si>
  <si>
    <t>Less Rev. Credits from Schedules assoc. w/ Attachment GG</t>
  </si>
  <si>
    <t>WP02 - Cost Support</t>
  </si>
  <si>
    <t>WP06 - Accumulated Deferred Income Taxes (ADIT) Worksheet</t>
  </si>
  <si>
    <t>WP11 - Facility Credits (1)</t>
  </si>
  <si>
    <t>p.112.23.d,c</t>
  </si>
  <si>
    <t>p.111.69.d,c</t>
  </si>
  <si>
    <t>p.111.81.d,c</t>
  </si>
  <si>
    <t>p.112.22.d,c</t>
  </si>
  <si>
    <t>p.113.61.d,c</t>
  </si>
  <si>
    <t>p.112.3.d,c</t>
  </si>
  <si>
    <t>Account 437 Preferred Dividend (Enter as Positive)</t>
  </si>
  <si>
    <t>p.112.16.d,c</t>
  </si>
  <si>
    <t>p.112.12.d,c</t>
  </si>
  <si>
    <t>p.112.15.d,c</t>
  </si>
  <si>
    <t>Total Unfunded Reserves Rate Base Credits/Debits &amp; Regulatory Assets</t>
  </si>
  <si>
    <t>Unfunded Reserves Rate Base Credits/Debits &amp; Regulatory Assets</t>
  </si>
  <si>
    <t>p112.6.c,d (portion)</t>
  </si>
  <si>
    <t>p.112.7.d,c (portion)</t>
  </si>
  <si>
    <t>p.112.9.d,c (portion)</t>
  </si>
  <si>
    <t>p.112.10.d,c (portion)</t>
  </si>
  <si>
    <t>p.112.13.d,c (portion)</t>
  </si>
  <si>
    <t>Other taxes incurred through ownership of plant including transmission plant (e.g., property taxes) shall be allocated based on the Gross Plant Allocator.  A plant-related other tax shall not be directly assigned to a functional plant category unless such other tax is separated by function for all functional plant.  If a plant-related other tax is so functionalized, the transmission plant related other tax shall be assigned to “Transmission,” the general and intangible plant related other tax shall be assigned to “Labor” and all other functional plant other tax components shall be assigned to “Other.”</t>
  </si>
  <si>
    <t>Income taxes shall be assigned to “Other.”</t>
  </si>
  <si>
    <t>Other taxes that are labor related (e.g., unemployment taxes and FICA taxes) shall be assigned to “Labor” and allocated based on the Wages and Salary Allocator.</t>
  </si>
  <si>
    <t>(6)</t>
  </si>
  <si>
    <t>Other taxes except those as provided for in Notes (1) - (5), above, that are incurred and (a) are not solely related to retail or (b) are not directly associated with a specific function shall be assigned to “Plant” and allocated based on the Gross Plant Allocator.</t>
  </si>
  <si>
    <t>(7)</t>
  </si>
  <si>
    <t>Entergy Services, Inc. Taxes Other Than Income Taxes charged to the Entergy Operating Company (currently reported on FF1 pp. 262-263) shall be itemized and allocated in accordance with Notes (1) – (6), above.</t>
  </si>
  <si>
    <t>Entergy Services, Taxes Other Than Income Reported Above</t>
  </si>
  <si>
    <t>Other (1)(2)(3)</t>
  </si>
  <si>
    <t>Plant (1)(6)</t>
  </si>
  <si>
    <t>Transmission (1)(4)</t>
  </si>
  <si>
    <t>Labor (1)(5)</t>
  </si>
  <si>
    <t>Production-related prepayments shall be assigned to the “Other” category.</t>
  </si>
  <si>
    <t>Prepayments incurred by virtue of ownership of plant, including transmission plant, shall be assigned to the “Plant“ category and allocated based on the Gross Plant Allocator.</t>
  </si>
  <si>
    <t>Prepayments that are labor-related shall be assigned to the “Labor” category and allocated based on the Wages &amp; Salary Allocator.</t>
  </si>
  <si>
    <t>Prepayments incurred solely by virtue of ownership of general plant or intangible plant shall be assigned to the “Labor” category and allocated based on the Wages &amp; Salary Allocator.</t>
  </si>
  <si>
    <t>(1) (2)</t>
  </si>
  <si>
    <t>(5)(6)</t>
  </si>
  <si>
    <t>Prepayments incurred solely by virtue of ownership of transmission plant shall be assigned 100% to the  “Transmission” category.</t>
  </si>
  <si>
    <t>Other taxes imposed solely on wholesale transmission service shall be assigned to "Transmission.”</t>
  </si>
  <si>
    <t>Only the Transmission portion will be included.</t>
  </si>
  <si>
    <t>Less Post Retirement Benefits Other Than Pensions</t>
  </si>
  <si>
    <t>Transmission - Capital Additions</t>
  </si>
  <si>
    <t>EOY (Col D)</t>
  </si>
  <si>
    <t>6a</t>
  </si>
  <si>
    <t>6b</t>
  </si>
  <si>
    <t xml:space="preserve">Account 454 (Rent From Electric Property: General Plant Only) </t>
  </si>
  <si>
    <t>Transmission Revenues Associated with Attachment GG</t>
  </si>
  <si>
    <t>Transmission Revenues Associated with Attachment MM</t>
  </si>
  <si>
    <t>p.354.96.d (1)</t>
  </si>
  <si>
    <t>Plant in Service (1)</t>
  </si>
  <si>
    <t>Account 924 - p323.185.b</t>
  </si>
  <si>
    <t>Less Account 924 Storm Damage Accrual</t>
  </si>
  <si>
    <t>Property Insurance Account 924 Without Storm Damage Accrual</t>
  </si>
  <si>
    <t>Entergy is not seeking recovery at FERC of the unconsummated ITC merger expenses that are included in FERC Form 1.</t>
  </si>
  <si>
    <t>The Entergy Operating Companies will not adopt an allocation factor for Common Plant and Expenses absent Commission approval pursuant to a section 205 filing.</t>
  </si>
  <si>
    <t>The formula rate shall exclude all expenses associated with (i) MISO Schedule 10 and MISO Schedule 10-FERC, for which Load Serving Entities (“LSEs”) are billed separately by MISO and (ii) all other expenses recovered by MISO through direct charges to transmission owners and transmission users pursuant to separate schedules under the MISO Tariff or otherwise.  For rate years 2015 and beyond, the Entergy Operating Companies do not expect to incur any FERC annual fees directly.</t>
  </si>
  <si>
    <t>WP12 - PBOP Costs in Account 926 (1)</t>
  </si>
  <si>
    <t>MISO Implementation Costs Deferral Adjustment</t>
  </si>
  <si>
    <t xml:space="preserve">LESS ATTACHMENT MM ADJUSTMENT [Attachment MM, Page 2, Line 3, Column 14]   </t>
  </si>
  <si>
    <t xml:space="preserve">LESS ATTACHMENT GG ADJUSTMENT [Attachment GG, Page 2, Line 3, Column 10]   </t>
  </si>
  <si>
    <t>[Revenue Requirement for facilities included on Page 2, Line 2 and also included in Attachment GG]</t>
  </si>
  <si>
    <t>[Revenue Requirement for facilities included on Page 2, Line 2 and also included in Attachment MM]</t>
  </si>
  <si>
    <t>Attachment GG Revenues (4)</t>
  </si>
  <si>
    <t>Attachment MM Revenues (4)</t>
  </si>
  <si>
    <t>Total Transmission O&amp;M  (Line 7 + Line 8)</t>
  </si>
  <si>
    <t>Net A&amp;G Wages Expense</t>
  </si>
  <si>
    <t xml:space="preserve"> FF1 p321.96.b</t>
  </si>
  <si>
    <t>Other A&amp;G Adjustments</t>
  </si>
  <si>
    <t>As of the effective date of this formula, the Entergy Operating Companies may include CIAC-related ADIT for transmission facilities in ADIT assignable to the transmission function so long as the associated facilities that create such ADIT constitute Network Upgrade Facilities under Order No. 2003, and do not constitute Network Upgrade Facilities for which Network Credits are paid or payable to the contributing customer.</t>
  </si>
  <si>
    <t>(Gain) or Loss on Sale of Assets</t>
  </si>
  <si>
    <t>(Gain) or Loss on Sales of Transmission Assets</t>
  </si>
  <si>
    <t>(Gain) or Loss on Sales of General Plant Assets</t>
  </si>
  <si>
    <t>Total (Gain) or Loss on Sales of Assets</t>
  </si>
  <si>
    <t>Enter Gains as Negative Value &amp; Losses as Positive Values</t>
  </si>
  <si>
    <t>Difference is because the MISO Cover requires the (Gain) or Loss to be included in O&amp;M where it is a separate section in Appendix A.</t>
  </si>
  <si>
    <t>Rent from Electric Property</t>
  </si>
  <si>
    <t>Revenue Credits from Rent of Electric Property</t>
  </si>
  <si>
    <t>Other Electric Revenue</t>
  </si>
  <si>
    <t>Network Rev (2)</t>
  </si>
  <si>
    <t>Total Net Adjusted Revenue Requirement</t>
  </si>
  <si>
    <t>Account 456.1 Other Electric Revenues</t>
  </si>
  <si>
    <t>ADIT- 283 (amounts are entered as sign opposite of FF1 presentation)</t>
  </si>
  <si>
    <t>ADIT- 282 (amounts are entered as sign opposite of FF1 presentation)</t>
  </si>
  <si>
    <t>Facility Credits also reported in FERC Form 1 Account 565 totals will be listed here but shown with zero amounts.</t>
  </si>
  <si>
    <t>Amount (2)</t>
  </si>
  <si>
    <t>Less PBOP Adjustment</t>
  </si>
  <si>
    <t>Storm A/C 2281 Storm Reserve Accrual Reclassification</t>
  </si>
  <si>
    <t>MISO Implementation Costs Deferral</t>
  </si>
  <si>
    <t>9302 Miscellaneous General Expenses Adjustments (3)</t>
  </si>
  <si>
    <t>Adjustments to Transmission Wages Expense (1) (2)</t>
  </si>
  <si>
    <t>Adjustment to A&amp;G Wages Expense (1) (2)</t>
  </si>
  <si>
    <t>O&amp;M Adjustments  (1) (2)</t>
  </si>
  <si>
    <t>A&amp;G Adjustments  (1) (2)</t>
  </si>
  <si>
    <t>Depreciation Expense Adjustments (1) (2)</t>
  </si>
  <si>
    <t>Taxes Other Than Income Adjustments  (1) (2)</t>
  </si>
  <si>
    <t>Adjustment to Total Wages Expense (1) (2)</t>
  </si>
  <si>
    <t xml:space="preserve"> A/C 2281 Storm Reserve Accrual Reclassification To Transm. O&amp;M</t>
  </si>
  <si>
    <t xml:space="preserve"> MISO Implementation Costs Deferral</t>
  </si>
  <si>
    <t>FERC Docket (1)</t>
  </si>
  <si>
    <t>Order Date (1)</t>
  </si>
  <si>
    <t>Accrual Expense</t>
  </si>
  <si>
    <t>Regional &amp; Marketing O&amp;M  (Account 575 and Account 576)</t>
  </si>
  <si>
    <t>Total Account 561 (Line 5 + Line 6)</t>
  </si>
  <si>
    <t>Account 456.1 Transmission Service Revenue Credits</t>
  </si>
  <si>
    <t>Transmission Service Other Revenue Credits</t>
  </si>
  <si>
    <t>Transmission Service Revenue Credits</t>
  </si>
  <si>
    <t>Transmission Network &amp; LTF Service Revenues</t>
  </si>
  <si>
    <t>Account 456.1 Transmission Network &amp; LTF Service Revenues</t>
  </si>
  <si>
    <t xml:space="preserve">General Advertising expenses that may be included are those associated with safety, education and outreach expenses relating to transmission, for example siting or billing. </t>
  </si>
  <si>
    <t xml:space="preserve">Removes from revenue credits those revenues that are distributed pursuant to Schedules associated with Attachment GG of the MISO Tariff. </t>
  </si>
  <si>
    <t>Removes from revenue credits those revenues that are distributed pursuant to Schedules associated with Attachment MM of the MISO Tariff.</t>
  </si>
  <si>
    <t>Per Settlement Agreement in ER13-948 Accounts 5611 through 5618 are not included in Transmission Expense.</t>
  </si>
  <si>
    <t>Retail-related other taxes that are a function of or imposed based on retail service, retail customer revenue or other retail criteria (e.g., gross receipts taxes based on retail revenues, franchise taxes based on retail service, and state regulatory taxes) shall be assigned to “Other.”</t>
  </si>
  <si>
    <t>Allocation Category (5)</t>
  </si>
  <si>
    <t>Deferral Payroll Costs are assumed to be the same proportion as Payroll Costs were to Total Costs and will be used to adjust the Wages &amp; Salary Allocator.</t>
  </si>
  <si>
    <t>228153 - Securitization Proceeds</t>
  </si>
  <si>
    <t>Network Customer OATT Section 30.9 Facilities Credits</t>
  </si>
  <si>
    <t xml:space="preserve">  Less Adjustments  </t>
  </si>
  <si>
    <t>Transm. O&amp;M Excluding Acct. 561 (Acct 560 to 574)</t>
  </si>
  <si>
    <t>The 12CP peak is the average of the 12 monthly system peaks in a calendar year, coincident with the MISO Transmission Pricing Zone's monthly transmission system peaks, calculated as the native load plus Network Service customers' monthly network loads plus the reserve capacity of all Long Term Firm Point-to-Point Customers.</t>
  </si>
  <si>
    <t xml:space="preserve">The Entergy Operating Company’s total company PBOP expense to be allocated in part to transmission each year shall not be changed absent a filing under Section 205 or 206 of the Federal Power Act, unless the Entergy Operating Company is authorized to use pay-as-you-go accounting for PBOPs. </t>
  </si>
  <si>
    <t>Network Customer 2</t>
  </si>
  <si>
    <t>Deferral</t>
  </si>
  <si>
    <t>Total  Sum Line 1 Subparts</t>
  </si>
  <si>
    <t xml:space="preserve">FERC </t>
  </si>
  <si>
    <t>Deferral Amortization</t>
  </si>
  <si>
    <t>Retail</t>
  </si>
  <si>
    <t>Current Year Project Costs</t>
  </si>
  <si>
    <t>Payroll</t>
  </si>
  <si>
    <t>Current Yr (2)</t>
  </si>
  <si>
    <t>Adjustment</t>
  </si>
  <si>
    <t>Payroll (3)</t>
  </si>
  <si>
    <t>Current Yr</t>
  </si>
  <si>
    <t>TP =</t>
  </si>
  <si>
    <t>(Over)/Under Collection</t>
  </si>
  <si>
    <t>Other Costs (A/C 1010 to 253107)</t>
  </si>
  <si>
    <t>Other Expenses (A/C 419100 to 432000)</t>
  </si>
  <si>
    <t>Distribution O&amp;M  (Account 580 to Account 598)</t>
  </si>
  <si>
    <t>Transmission O&amp;M Excluding Account 561 (Accounts 560 to 574)</t>
  </si>
  <si>
    <t>(2) The above totals exclude the Attachment GG and Attachment MM capital additions, if any, and other transmission facilities not includable in the Attachment O revenue requirement.</t>
  </si>
  <si>
    <t>Total Interest</t>
  </si>
  <si>
    <t>Reserved for Future Use (1)</t>
  </si>
  <si>
    <t>The above lines on this MISO Cover Rate Formula Template labeled "Reserved for Future Use" will not be used absent a Section 205 or 206 filing.</t>
  </si>
  <si>
    <t>Monthly Additions Transmission PIS (2)</t>
  </si>
  <si>
    <t>Allowed Expenses</t>
  </si>
  <si>
    <t>Difference (Ln 1 - Ln 2)  (Note 1) (Note 2)</t>
  </si>
  <si>
    <t>Account 430 Interest on Long Term Debt to Associated Companies (2)</t>
  </si>
  <si>
    <t xml:space="preserve">Only amounts associated with currently issued Preferred Stock are included in the Preferred Stock capital. </t>
  </si>
  <si>
    <t>Sum of (FF1 300.b.21 + 300.b.22) for total above.</t>
  </si>
  <si>
    <t>Fiber Optics Equalization Revenue and Fiber Optics expense in Account 921010 are allocated on the Wages &amp; Salary Allocator.</t>
  </si>
  <si>
    <t xml:space="preserve">C </t>
  </si>
  <si>
    <t>D=C/12</t>
  </si>
  <si>
    <t>E = D x G</t>
  </si>
  <si>
    <t>Payroll O&amp;M Excluding A&amp;G  Sum (Ln 12 To Ln 20)</t>
  </si>
  <si>
    <t xml:space="preserve">Costs associated with Entergy's unconsummated merger with ITC were recorded on Entergy's books in 2012, 2013, and 2014. </t>
  </si>
  <si>
    <t>Payroll amounts are determined from Entergy's accounting records where payroll amounts were recorded with a payroll indicator.</t>
  </si>
  <si>
    <t>WP AJ2 - ITC Transaction Costs (1) (2) (3)</t>
  </si>
  <si>
    <t>Customer Accounts Expenses</t>
  </si>
  <si>
    <t>MISO implementation costs for FERC were deferred per FERC Docket ER14-1645-000 Order Dated May 29, 2014 and recovered under MISO Schedule 47. There is both a retail deferral and a FERC deferral reflected on the Company's books in 2012, 2013, and 2014 and in FERC Form 1.  Amortization of the FERC deferral began in 2014 and will end in 2016. For both retail and FERC purposes amortization amounts are reversed in the year in which they occurred.</t>
  </si>
  <si>
    <t>Unfunded Reserves Rate Base Credits/Debits and any Associated Balance Sheet Accounts &amp; Regulatory Assets included in this formula based on FERC approval will be categorized as follows: (i) amounts primarily incurred by virtue of ownership of transmission plant shall be assigned 100% to the “Transmission” category; (ii) amounts primarily incurred by virtue of ownership of plant, including transmission plant, shall be assigned to the “Plant“ category and allocated based on the Gross Plant Allocator; (iii)  amounts primarily incurred by virtue of ownership of general plant or intangible plant or are primarily associated with labor shall be assigned to the “Labor” category and allocated based on the Wages &amp; Salary Allocator; and, (iv) amounts primarily associated with production, gas, or other associations not previously included will be assigned to "Other" and not included in the formula determination.</t>
  </si>
  <si>
    <t>See WP02 notes for categorization of amounts in Unfunded Reserves.</t>
  </si>
  <si>
    <t>WP20 - Unfunded Reserves (1) (3)</t>
  </si>
  <si>
    <t>Associated Balance Sheet Accounts &amp; Regulatory Assets (5)</t>
  </si>
  <si>
    <t>Unfunded Reserves Rate Base Credits/Debits (5)</t>
  </si>
  <si>
    <r>
      <t>Account 430 interest will be limited to Long Term Interest associated with Long Term Debt from Associated Companies</t>
    </r>
    <r>
      <rPr>
        <sz val="10"/>
        <rFont val="Arial"/>
        <family val="2"/>
      </rPr>
      <t>.</t>
    </r>
  </si>
  <si>
    <t>Monthly Interest</t>
  </si>
  <si>
    <t>Outstanding Network Credits is the balance of Network Facilities Upgrades Credits due Transmission Customers who have made lump-sum payments (net of accumulated depreciation) towards the construction of Network Transmission Facilities consistent with Paragraph 657 of Order 2003-A. Interest on the Network Credits as booked each year is added to the revenue requirement to make the Transmission Owner whole.  Entergy will provide a supporting work paper.</t>
  </si>
  <si>
    <t>The gains and losses on hedges shall be removed from the Long-Term Debt Cost calculation unless inclusion of such hedges has been accepted by the FERC pursuant to a FPA Section 205 or 206 filing.</t>
  </si>
  <si>
    <t xml:space="preserve">Revenue Requirement associated with credits received by Network Customers for their integrated transmission facilities under Section 30.9. </t>
  </si>
  <si>
    <t>Non - Payroll</t>
  </si>
  <si>
    <t xml:space="preserve">D </t>
  </si>
  <si>
    <t>See MISO May 31, 2013 filing in FERC Docket ER13-945 for Grandfathered status.</t>
  </si>
  <si>
    <t>Entergy Services, Inc. 408155 Franchise Tax-Misc  (Ln 4)</t>
  </si>
  <si>
    <t>A positive result when subtracted in Appendix A or MISO Cover will lower O&amp;M.  A negative result will increase O&amp;M.</t>
  </si>
  <si>
    <t>Units of Property Deduction - transmission</t>
  </si>
  <si>
    <t>Less Account 214 Capital Stock Expense (Pfd) (3) (4)</t>
  </si>
  <si>
    <t>Account 207 Premium on Pfd Stock (3) (4)</t>
  </si>
  <si>
    <t>WP19 - Attachment O Divisor (MW)</t>
  </si>
  <si>
    <t>p.117.62.c</t>
  </si>
  <si>
    <t>p.117.63.c</t>
  </si>
  <si>
    <t>p.117.64.c</t>
  </si>
  <si>
    <t>p.117.65.c</t>
  </si>
  <si>
    <t>p.117.66.c</t>
  </si>
  <si>
    <t>p.117.67.c</t>
  </si>
  <si>
    <t>p.118.29.c</t>
  </si>
  <si>
    <t>Group</t>
  </si>
  <si>
    <t>WP07 - 13-Month Average Materials &amp; Supplies</t>
  </si>
  <si>
    <t>WP 08 - 13-Month Average Prepayments</t>
  </si>
  <si>
    <t>WP09 - 13-Month Average Plant Held for Future Use</t>
  </si>
  <si>
    <t>WP16 - 13-Month Average Generator Interconnection Facilities (1)</t>
  </si>
  <si>
    <t>561.2 - Load Dispatch Monitor &amp; Operate Transm System</t>
  </si>
  <si>
    <t>561.3 - Load Dispatch Transm Service &amp; Scheduling</t>
  </si>
  <si>
    <t>561.2BA - Load Dispatch Load Balancing</t>
  </si>
  <si>
    <t>561.5 - Reliability Planning &amp; Standards Development</t>
  </si>
  <si>
    <t>562 - Station Expenses</t>
  </si>
  <si>
    <t>564 - Underground Line Expenses</t>
  </si>
  <si>
    <t>563 - Overhead Line Expenses</t>
  </si>
  <si>
    <t>567 - Rents</t>
  </si>
  <si>
    <t>567.1 - Operation Supplies &amp; Expenses</t>
  </si>
  <si>
    <t>Transm. O&amp;M Excluding A/C 561</t>
  </si>
  <si>
    <t>Revenues shall be assigned to: "Transmission Revenue Credits" if they are (i) rents derived from transmission facilities, (ii) revenues for non-firm or short-term firm transmission service, or (iii) revenues for Entergy System Agreement transmission equalization; "Transmission Network Revenue" if they are revenues for long-term firm or network transmission service; "Labor" if they are revenues from rents for general plant; or "Other" if they are for any other type of revenue resulting from production, ancillary transmission services, or distribution functions or are collected through a different tariff process than MISO Attachment O.</t>
  </si>
  <si>
    <t>561.1 - Load Dispatch Reliability</t>
  </si>
  <si>
    <t>561.4 - Scheduling System Control &amp; Dispatch Services</t>
  </si>
  <si>
    <t>920 - Administrative &amp; General Salaries Total</t>
  </si>
  <si>
    <t>Depreciation Expense - Service Co (Account 4031AM)</t>
  </si>
  <si>
    <t>570 - Maintenance Of Station Equipment</t>
  </si>
  <si>
    <t>571 - Maintenance Of Overhead of Lines</t>
  </si>
  <si>
    <t>568 - Maintenance Supervision &amp; Engineer</t>
  </si>
  <si>
    <t>Non-Payroll</t>
  </si>
  <si>
    <t>Non-Payroll Costs</t>
  </si>
  <si>
    <t>Transmission Net</t>
  </si>
  <si>
    <t>(Over) / Under Collections Balance (3)</t>
  </si>
  <si>
    <t>Other Revenue Requirement Adjustment(s) (4)</t>
  </si>
  <si>
    <t>…</t>
  </si>
  <si>
    <t>….</t>
  </si>
  <si>
    <t>4.XX</t>
  </si>
  <si>
    <t>2.XX</t>
  </si>
  <si>
    <t>7.XX</t>
  </si>
  <si>
    <t>1.XX</t>
  </si>
  <si>
    <t>6.XX</t>
  </si>
  <si>
    <t>8.XX</t>
  </si>
  <si>
    <t>11.XX</t>
  </si>
  <si>
    <t>14.XX</t>
  </si>
  <si>
    <t>Additional  Items As Applicable</t>
  </si>
  <si>
    <t>42a</t>
  </si>
  <si>
    <t>42b</t>
  </si>
  <si>
    <t>MISO Schedule</t>
  </si>
  <si>
    <t>WP10 - Actual Storm Costs Reclassified to Transmission O&amp;M Accounts &amp; Account 924 (1)</t>
  </si>
  <si>
    <t>Values brought forward from the source work paper as presented with the same sign (positive value or negative value) as is on the source work paper.  A determination must be made as to whether the value should be an increase or a decrease applied in the formula rate.</t>
  </si>
  <si>
    <t>The portion associated with preferred stock is taken from the company's detailed accounting records and is not reported in FERC Form 1 in that detail.  An informational work paper will be provided.</t>
  </si>
  <si>
    <t>Adjustments (7)</t>
  </si>
  <si>
    <r>
      <rPr>
        <b/>
        <sz val="9"/>
        <rFont val="Times New Roman"/>
        <family val="1"/>
      </rPr>
      <t>Company</t>
    </r>
    <r>
      <rPr>
        <b/>
        <sz val="10"/>
        <rFont val="Times New Roman"/>
        <family val="1"/>
      </rPr>
      <t xml:space="preserve"> Total</t>
    </r>
  </si>
  <si>
    <t>Monthly Interest Rate (5)</t>
  </si>
  <si>
    <t xml:space="preserve">Facility Credits are for transmission of wheeling of electricity provided by others and will only be included pursuant to FERC Section 205 or 206 filing approving such credits. The FERC docket number and order date will be included in this workpaper. </t>
  </si>
  <si>
    <t>Account 208-211 Other Paid in Capital (Pfd) (3) (4)</t>
  </si>
  <si>
    <t>Less Account 213 Discount on Capital Stock (Pfd) (3) (4)</t>
  </si>
  <si>
    <t>Less Account 217 Reacquired Capital Stock (Pfd) (3) (4)</t>
  </si>
  <si>
    <t>See Note V on Appendix A.</t>
  </si>
  <si>
    <t>FF1 p321 Sum Lines 85 to 92 Column B</t>
  </si>
  <si>
    <t>Plus Account 565 - Transmission Equalization Payments to Associated Companies</t>
  </si>
  <si>
    <t xml:space="preserve"> FF1 p332.h</t>
  </si>
  <si>
    <t>ADIT net of FASB 109 Allocated to Transmission</t>
  </si>
  <si>
    <t>Attachment O-ETI</t>
  </si>
  <si>
    <t>Entergy Texas, Inc.</t>
  </si>
  <si>
    <t>ETTO</t>
  </si>
  <si>
    <t>ETMP</t>
  </si>
  <si>
    <t>Street Rental</t>
  </si>
  <si>
    <t xml:space="preserve">Accrued interest on tax deficiencies - FIN48 accrued interest. </t>
  </si>
  <si>
    <t>This represents the inclusion in taxable income of system agreement rough production cost equalization payments received.</t>
  </si>
  <si>
    <t>CIAC is related to plant.</t>
  </si>
  <si>
    <t>Regulatory liability regarding retail costs.</t>
  </si>
  <si>
    <t>FERC Account 253017</t>
  </si>
  <si>
    <t>This represents the elimination of book expenses for the future clean up of hazardous waste at various locations.  These costs are not deductible for tax purposes until actually incurred. (Account 242U95)</t>
  </si>
  <si>
    <t>This represents the elimination of book expenses for the future clean up of hazardous waste at various locations.  These costs are not deductible for tax purposes until actually incurred. (Account 253U09 &amp; 253U25)</t>
  </si>
  <si>
    <t>FERC account 229 - Accum provision for rate refund, 18239T, and a reclass from account 190241</t>
  </si>
  <si>
    <t>ETI Retail AFUDC disallowance.</t>
  </si>
  <si>
    <t>Federal Net Operating Loss carryforward is related to all tax deductions including bonus tax depreciation</t>
  </si>
  <si>
    <t>Employee tax credit carryforwards.</t>
  </si>
  <si>
    <t>Alternative Minimum tax credit carryforwards caused by a preference on tax depreciation.</t>
  </si>
  <si>
    <t>Federal ADIT on state tax accruals is related to net operating loss carryforward.</t>
  </si>
  <si>
    <t>Plant related - account 432000</t>
  </si>
  <si>
    <t>Regulatory Asset</t>
  </si>
  <si>
    <t>This represents the elimination of the book amortization of fuel transportation costs that were deducted for tax when incurred. (182348 RC 174 &amp; 186348)</t>
  </si>
  <si>
    <t>19.XX</t>
  </si>
  <si>
    <t>25.XX</t>
  </si>
  <si>
    <t>p.207.58g</t>
  </si>
  <si>
    <t>Daisy 69kV Substation - TST - EGSI - 31226</t>
  </si>
  <si>
    <t>ETI - 31226</t>
  </si>
  <si>
    <t>LN 56 Batson Sub to Daisetta - TTX - EGSI - 77056</t>
  </si>
  <si>
    <t>Mobil Chem #1 Substation - TST - EGSI - 21144</t>
  </si>
  <si>
    <t>GSU - 21144</t>
  </si>
  <si>
    <t>Neches To Mobil Chem #1 69Kv L - TTX - EGSI - 77444</t>
  </si>
  <si>
    <t>Neches To Mobil Chem #1 69Kv L - TTX - EGSI - 77445</t>
  </si>
  <si>
    <t>Gladys Substation - TST - ETI - 31093</t>
  </si>
  <si>
    <t>GSU - 31093</t>
  </si>
  <si>
    <t>So Beaumont To Colonial Hebert - TTX - EGSI - 77114</t>
  </si>
  <si>
    <t>Lumberton Substation - DSX - EGSI - 33036</t>
  </si>
  <si>
    <t>GSU - 33036</t>
  </si>
  <si>
    <t>Cypress To Kountze Bulk 138Kv - TTX - EGSI - 74188</t>
  </si>
  <si>
    <t>Gulf Livingston Subatation - TST - EGSI - 33067</t>
  </si>
  <si>
    <t>GSU - 33067</t>
  </si>
  <si>
    <t>Cypress To Div Line To Poco 13 - TTX - EGSI - 74430</t>
  </si>
  <si>
    <t>Ausimont Substation - TST - EGSI - 21251</t>
  </si>
  <si>
    <t>GSU - 21251</t>
  </si>
  <si>
    <t>Gulfrich To Cow 69Kv Ln - TTX - EGSI - 77590</t>
  </si>
  <si>
    <t>Silsbee Substation - TST - EGSI - 31031</t>
  </si>
  <si>
    <t>GSU - 31031</t>
  </si>
  <si>
    <t>Silsbee To North Silsbee 69Kv - TTX - EGSI - 77470</t>
  </si>
  <si>
    <t>Colonial Hebert Substation - TST - EGSI - 31059</t>
  </si>
  <si>
    <t>GSU - 31059</t>
  </si>
  <si>
    <t>Cabot Substation - TST - EGSI - 31064</t>
  </si>
  <si>
    <t>GSU - 31064</t>
  </si>
  <si>
    <t>Line #506 To Cabot 69Kv Ln - TTX - EGSI - 77474</t>
  </si>
  <si>
    <t>Line #114 To Line #75 69Kv Ln - TTX - EGSI - 77075A</t>
  </si>
  <si>
    <t>GSU - 31088</t>
  </si>
  <si>
    <t>Magnolia Hebert Substation - TST - EGSI - 31091</t>
  </si>
  <si>
    <t>GSU - 31091</t>
  </si>
  <si>
    <t>Equitable Substation - TST - EGSI - 31192</t>
  </si>
  <si>
    <t>GSU - 31192</t>
  </si>
  <si>
    <t>Orange To Front 69Kv Ln - TTX - EGSI - 77508</t>
  </si>
  <si>
    <t>Oilla Substation - TST - EGSI - 31267</t>
  </si>
  <si>
    <t>GSU - 31267</t>
  </si>
  <si>
    <t>Neches To Sabine #2 138Kv Ln - TTX - EGSI - 74172</t>
  </si>
  <si>
    <t>Cargil Wire - TST - EGSI - 31268</t>
  </si>
  <si>
    <t>GSU - 31268</t>
  </si>
  <si>
    <t>Line #148 To Averill 69Kv Ln - TTX - EGSI - 77416R</t>
  </si>
  <si>
    <t>Texaco Hillebrandt Substation - TST - EGSI - 31271</t>
  </si>
  <si>
    <t>GSU - 31271</t>
  </si>
  <si>
    <t>South Beaumont To Winshire 69K - TTX - EGSI - 77062R</t>
  </si>
  <si>
    <t>Mabry Sub-Dist-69Kv-Cheek Tx - TST - EGSI - 31273</t>
  </si>
  <si>
    <t>GSU - 31273</t>
  </si>
  <si>
    <t>West End To Goodyear Cheek 69K - TTX - EGSI - 77466</t>
  </si>
  <si>
    <t>Texas El Vista Substation - TST - EGSI - 32020</t>
  </si>
  <si>
    <t>GSU - 32020</t>
  </si>
  <si>
    <t>Savannah To Koppers #2 69Kv Ln - TTX - EGSI - 77805</t>
  </si>
  <si>
    <t>Texas Hearne Substation - TST - EGSI - 33031</t>
  </si>
  <si>
    <t>GSU - 33031</t>
  </si>
  <si>
    <t>Line #59 To Texas Hearne 69Kv - TTX - EGSI - 77132</t>
  </si>
  <si>
    <t>Apl Hearne Substation - TST - EGSI - 33035</t>
  </si>
  <si>
    <t>GSU - 33035</t>
  </si>
  <si>
    <t>Bryan To Hearne #1 69Kv Ln - TTX - EGSI - 77159</t>
  </si>
  <si>
    <t>Independence Substation - TST - EGSI - 33052</t>
  </si>
  <si>
    <t>GSU - 33052</t>
  </si>
  <si>
    <t>Lng 138Kv Sub - TST - EGSI - 23194</t>
  </si>
  <si>
    <t>GSU - 23194</t>
  </si>
  <si>
    <t>Hull Substation - TST - EGSI - 31067</t>
  </si>
  <si>
    <t>GSU - 31067</t>
  </si>
  <si>
    <t>Line #6 To Hull 69Kv Ln - TTX - EGSI - 77103R</t>
  </si>
  <si>
    <t>American Bridge Substation - TST - EGSI - 31080</t>
  </si>
  <si>
    <t>GSU - 31080</t>
  </si>
  <si>
    <t>Front Street To American Steel - TTX - EGSI - 77076R</t>
  </si>
  <si>
    <t>Klemp Substation - TST - EGSI - 31180</t>
  </si>
  <si>
    <t>GSU - 31180</t>
  </si>
  <si>
    <t>Line #86 To Klemp 138Kv Ln - TTX - EGSI - 74533R</t>
  </si>
  <si>
    <t>Humble Hearne 2 Substation - TST - EGSI - 33007</t>
  </si>
  <si>
    <t>GSU - 33007</t>
  </si>
  <si>
    <t>Line #182 To Humble Hearne 69K - TTX - EGSI - 77436</t>
  </si>
  <si>
    <t>Cardinal Substation - TST - EGSI - 31012</t>
  </si>
  <si>
    <t>GSU - 31012</t>
  </si>
  <si>
    <t>Line #576 To Cardinal 69Kv Ln - TTX - EGSI - 77443R</t>
  </si>
  <si>
    <t>Bauou Fannett Substation - TST - EGSI - 31041</t>
  </si>
  <si>
    <t>GSU - 31041</t>
  </si>
  <si>
    <t>Line #62 To Bayou Fannett 69Kv - TTX - EGSI - 77185R</t>
  </si>
  <si>
    <t>Sabra Substation - TST - EGSI - 31060</t>
  </si>
  <si>
    <t>GSU - 31060</t>
  </si>
  <si>
    <t>Line #81 To Sabra 69Kv Ln - TTX - EGSI - 77460R</t>
  </si>
  <si>
    <t>Westside Substation - TST - EGSI - 32003</t>
  </si>
  <si>
    <t>GSU - 32003</t>
  </si>
  <si>
    <t>Gulf Oil To Fort Worth 69Kv Ln - TTX - EGSI - 77191</t>
  </si>
  <si>
    <t>Georgia Substation - TST - EGSI - 33119</t>
  </si>
  <si>
    <t>GSU - 33119</t>
  </si>
  <si>
    <t>Line #87 To Georgia 138Kv Ln - TTX - EGSI - 74557R</t>
  </si>
  <si>
    <t>Spurlock Substation - TST - EGSI - 32015</t>
  </si>
  <si>
    <t>GSU - 32015</t>
  </si>
  <si>
    <t>Line #564 To Sprulock 69Kv Ln - TTX - EGSI - 77414R</t>
  </si>
  <si>
    <t>Kirbyville Substation - TST - EGSI - 31045</t>
  </si>
  <si>
    <t>GSU - 31045</t>
  </si>
  <si>
    <t>Line #81 To Kirbyville 69Kv Ln - TTX - EGSI - 77409R</t>
  </si>
  <si>
    <t>South Liberty Substation - TST - EGSI - 31074</t>
  </si>
  <si>
    <t>GSU - 31074</t>
  </si>
  <si>
    <t>Line #6 To So Liberty 69Kv Ln - TTX - EGSI - 77104R</t>
  </si>
  <si>
    <t>Raywood To Dayton Bulk 69Kv Ln - TTX - EGSI - 77440</t>
  </si>
  <si>
    <t>Saratoga Substation - TST - EGSI - 31162</t>
  </si>
  <si>
    <t>GSU - 31162</t>
  </si>
  <si>
    <t>Line #6 To Saratoga 69Kv Ln - TTX - EGSI - 77102R</t>
  </si>
  <si>
    <t>Line #454 To Pennwalt 69Kv Ln - TTX - EGSI - 77090</t>
  </si>
  <si>
    <t>GSU - 31213</t>
  </si>
  <si>
    <t>Ln812 To Explorer Hankamer Sub - TTX - EGSI - 74812</t>
  </si>
  <si>
    <t>GSU - 31290</t>
  </si>
  <si>
    <t>Pabtex Substation - TST - EGSI - 32052</t>
  </si>
  <si>
    <t>GSU - 32052</t>
  </si>
  <si>
    <t>Line #117 To Pabtex 69Kv Ln - TTX - EGSI - 77189R</t>
  </si>
  <si>
    <t>Johnstown to Porter 138Kv Ln 827 - TTX - ETI - 74827</t>
  </si>
  <si>
    <t>GSU - 33027</t>
  </si>
  <si>
    <t>Johnstown 138Kv Sub - TST - EGSI - 33027</t>
  </si>
  <si>
    <t>Sinclair Hearne - TST - EGSI - 33062</t>
  </si>
  <si>
    <t>GSU - 33062</t>
  </si>
  <si>
    <t>Line #85 To Sinclair Hearne 69 - TTX - EGSI - 77108R</t>
  </si>
  <si>
    <t>Camden Substation - TST - EGSI - 33071</t>
  </si>
  <si>
    <t>GSU - 33071</t>
  </si>
  <si>
    <t>Line #93 To Camden 138Kv Ln - TTX - EGSI - 74543R</t>
  </si>
  <si>
    <t>Blue Water Substation - TST - EGSI - 31066</t>
  </si>
  <si>
    <t>GSU - 31066</t>
  </si>
  <si>
    <t>Kountze Substation - DSX - EGSI - 31110</t>
  </si>
  <si>
    <t>GSU - 31110</t>
  </si>
  <si>
    <t>Sandy Shores Substation - TST - EGSI - 31258</t>
  </si>
  <si>
    <t>GSU - 31258</t>
  </si>
  <si>
    <t>Line #89 To Blue Water 69Kv Ln - TTX - EGSI - 77175R</t>
  </si>
  <si>
    <t>GSU - 77175R</t>
  </si>
  <si>
    <t>Houston Chem Substation - TST - EGSI - 31016</t>
  </si>
  <si>
    <t>GSU - 31016</t>
  </si>
  <si>
    <t>Neches To Houston Chemical 69K - TTX - EGSI - 77452</t>
  </si>
  <si>
    <t>Houston Chemical To Mobil Chem - TTX - EGSI - 77454</t>
  </si>
  <si>
    <t>Averill Substation - TST - EGSI - 31082</t>
  </si>
  <si>
    <t>GSU - 31082</t>
  </si>
  <si>
    <t>Mobil Chem No 2 (Retired) - TST - EGSI - 31105</t>
  </si>
  <si>
    <t>GSU - 31105</t>
  </si>
  <si>
    <t>Neches To Mobil Chem #2 69Kv L - TTX - EGSI - 77073</t>
  </si>
  <si>
    <t>Neches To Mobil Chem #2 69Kv L - TTX - EGSI - 77562</t>
  </si>
  <si>
    <t>Dorman Substation - TST - EGSI - 31233</t>
  </si>
  <si>
    <t>GSU - 31233</t>
  </si>
  <si>
    <t>BRAZOS</t>
  </si>
  <si>
    <t>ETEC</t>
  </si>
  <si>
    <t>EWOM/SRMPA_TX</t>
  </si>
  <si>
    <t>KIRBVILLE</t>
  </si>
  <si>
    <t>NEWTON</t>
  </si>
  <si>
    <t>p. 335.10.b</t>
  </si>
  <si>
    <t>WP AJ1 - RTO/MISO Start-up Costs (1) (4)</t>
  </si>
  <si>
    <t>MISO Cover</t>
  </si>
  <si>
    <t>Total Imputed True-up Year Revenues</t>
  </si>
  <si>
    <t>READ ME: Cell L6 is a toggle in the Excel workbook. It switches between the Projected Rate results and the True-up results.</t>
  </si>
  <si>
    <t>True-up</t>
  </si>
  <si>
    <t xml:space="preserve">Removes the dollar amount of revenue requirements for facilities calculated pursuant to Attachment GG of the MISO Tariff.  The True-up amount in Column G is based on the True-up result in the GG template.  The Projected amount in Column H is based on the Projected result in the GG Template. </t>
  </si>
  <si>
    <t xml:space="preserve">Removes the dollar amount of revenue requirements for facilities calculated pursuant to Attachment MM of the MISO Tariff.  The True-up amount in Column G is based on the True-up result in the MM template.  The Projected amount in Column H is based on the Projected result in the MM Template. </t>
  </si>
  <si>
    <t>The components of capitalization for the Projected Rate determined in the Annual Update shall be based on end-of-year values for the historical calendar year.  The True-up for the same historical calendar year shall be based upon 13-month average balances.</t>
  </si>
  <si>
    <t>Use average of beginning-of-year and end-of-year balances for the True-up column.  Use end-of-year balances for Projected column.</t>
  </si>
  <si>
    <t>Use 13-month average balance for both the True-up and Projected columns.</t>
  </si>
  <si>
    <t>WP01 True-up: Interest &amp; Amortization for Attachment O Transmission Revenue Requirement Over/Under Collection Balance (1)</t>
  </si>
  <si>
    <t>Imputed True-up Year Revenues</t>
  </si>
  <si>
    <t xml:space="preserve">Attachment O Revenues for True-up purposes are those Bundled Load Exemption, Network, and Long-Term Firm revenues whose demands are summed in the peak demand calculations and are the denominator in the Point-to-Point rate calculation. </t>
  </si>
  <si>
    <t>Radial Lines (BOY/EOY Average Used for True-up)</t>
  </si>
  <si>
    <t>For 2014 the FERC annual fees to be recovered are limited to the amounts billed by the FERC directly to the Entergy Operating Company and paid directly by the Entergy Operating Company to the FERC.  After the 2014 True-up Year, FERC Annual Fees will be billed through MISO Schedule 10.</t>
  </si>
  <si>
    <t>True-up: Average Beginning of Year and End of Year</t>
  </si>
  <si>
    <t>Credit for Transmission Customer Network Service revenues is applied in the True-up calculation and Projected calculation.</t>
  </si>
  <si>
    <t>Net RTO/MISO related Start-Up costs recorded in True-up Year</t>
  </si>
  <si>
    <t>ADIT- 281 (amounts are entered as sign opposite of FF1 presentation)</t>
  </si>
  <si>
    <r>
      <t xml:space="preserve">Reference FF1 p.272.8b &amp; </t>
    </r>
    <r>
      <rPr>
        <b/>
        <u/>
        <sz val="10"/>
        <rFont val="Arial"/>
        <family val="2"/>
      </rPr>
      <t>273.8.</t>
    </r>
    <r>
      <rPr>
        <b/>
        <sz val="10"/>
        <rFont val="Arial"/>
        <family val="2"/>
      </rPr>
      <t>k</t>
    </r>
  </si>
  <si>
    <t>B=C+D+E+F</t>
  </si>
  <si>
    <t>F=G+H</t>
  </si>
  <si>
    <t>Sum of (MISO Schedule 42a Revenue + MISO Schedule 42b Revenue) = Account 456142</t>
  </si>
  <si>
    <t>(8)</t>
  </si>
  <si>
    <t>Adjustments as needed or applicable.</t>
  </si>
  <si>
    <t>Added 2014</t>
  </si>
  <si>
    <t>Added 2013</t>
  </si>
  <si>
    <t>The projected charges for the Annual Update shall be based on end-of-year plant-related values for the historical base year plus new plant (excluding capital additions that will be recovered through MISO rate Schedules other than Schedules 7, 8 and 9) that is projected to be placed into service in the immediately subsequent calendar year weighted by the number of months the new plant is projected to be in service.  The True-up calculation for each calendar year shall be based upon 13-month average plant-related balances.  Supporting work papers will be provided.</t>
  </si>
  <si>
    <t>Transmission plant excluded from rates will include Step-Up Facilities, Supplemental Upgrades, Radial lines and Generator Interconnection facilities.  Radial lines will be reported in a supporting work paper and will be updated annually as part of the annual rate update process to identify the radial facilities included in transmission rate base for the relevant rate year and Entergy will indicate any changes to the listing from the prior year.  If new radial facilities are added or changes made to facilities identified on the work paper, the status of those new or changed facilities as radial transmission facilities will be assessed using the criteria identified in Section 3 of MISO’s Business Practice Manual 28, Transmission Determination Process for Prospective or Existing Unregulated Transmission Owner’s Facilities, Application for Transmission Determination of FERC Seven Factors Test for Local Distribution (“BPM-028”).  Entergy will report Generator Interconnection Facilities in a work paper and must remove from transmission rates those facilities constructed or purchased by Entergy on or after March 15, 2000 (FERC Order 2003: Docket RM02-1-000, Issued July 24, 2003, page 154).</t>
  </si>
  <si>
    <t>Property Insurance excludes prior period adjustments for the first year, calendar year 2014, of the formula's operation.  Property Insurance includes prior period adjustments, if any, in calendar year 2015 and subsequent years .</t>
  </si>
  <si>
    <t xml:space="preserve">Less True-up Amount Billed in True-up Year (2) </t>
  </si>
  <si>
    <t>Attachment O Revenues For True-up (1)</t>
  </si>
  <si>
    <t>True-up Revenue Requirement</t>
  </si>
  <si>
    <t>True-up Amortization &amp; Interest Calculation</t>
  </si>
  <si>
    <t>The True-up billed during the calendar year will be the sum of the True-up amounts billed during each of the 12 months of the calendar year.</t>
  </si>
  <si>
    <t xml:space="preserve">FERC approved regulatory deferral adjustments and Entergy voluntary adjustments are used in the determination of account balances.  Entergy shall provide a detailed supporting work paper and accompanying detailed explanations for the need for the adjustment, in conformance with Section II of the Entergy Operating Company's Annual Update, Information Exchange and Challenge Procedures.  Additional lines may be added or removed as needed and appropriate.   </t>
  </si>
  <si>
    <t>Rounded amounts are reported on Page 400, FERC Form 1.</t>
  </si>
  <si>
    <r>
      <rPr>
        <sz val="10"/>
        <rFont val="Arial"/>
        <family val="2"/>
      </rPr>
      <t>Total True-up Amount</t>
    </r>
  </si>
  <si>
    <t>Total True Up Amount with Interest</t>
  </si>
  <si>
    <t>Other Revenue Requirement Adjustments are adjustments not included or reflected in the test year revenue requirement and include, but are not limited to, out-of-period adjustments relating to FERC ordered adjustments, settlements, or corrections.  Other Revenue Requirement Adjustments will be included in the True-Up and Amortization calculation in the appropriate month.  Interest, if applied, will be calculated at the FERC interest rate in effect during the period related to the Other Revenue Requirement Adjustment and in conjunction with Note 5 below.</t>
  </si>
  <si>
    <t>Interest will be calculated for the prior True-Up Year's true-up amount in accordance with 18 CFR § 35.19.a and will be included in the subsequent rate year charges to customers to whom charges under which this Attachment O is applied.</t>
  </si>
  <si>
    <t xml:space="preserve">Lines 26.01 to 26.29 Column F will be calculated as follows: (i) for Lines 26.01 to 26.12, Column F is 1/12 of Line 21; (ii) for Lines 26.13 to 26.17, Column F is blank; (iii) for Lines 26.18 to 26.29, Column F is a constant equal amount determined by iteration, with Line 26.18 as the single input and Lines 26.19 to 26.29 equal to Line 26.18, where those amounts will produce full amortization to zero (Line 26.29, Column H) for Line 29 Total True-up Amount with Interest; and, (iv) Lines 26.01 to 26.17, Column F may be adjusted by an Other Revenue Requirement Adjustment amount pursuant to Note 4. </t>
  </si>
  <si>
    <t>Lines 26.01 to 26.29 Column G will be calculated as follows: (i) for Line 26.01, Column G = Column F; (ii) for Lines 26.04 to 26.28 where Column A = 1, Column G = Column F for the current month + Column H for the prior month; (iii) for Lines 26.02 to 26.29, where Column A is blank, Column G = Column F for the current month + Column G for the prior month.</t>
  </si>
  <si>
    <t>F (6)</t>
  </si>
  <si>
    <t>G (7)</t>
  </si>
  <si>
    <t>True-up with Interest</t>
  </si>
  <si>
    <t>Appendix A True-up Column Line 193</t>
  </si>
  <si>
    <t xml:space="preserve">A/C 228.1 Storm Reserve Accrual Reclassification  </t>
  </si>
  <si>
    <t xml:space="preserve">ITC Transaction Costs Not Charged to Customers (Enter as Negative) </t>
  </si>
  <si>
    <t>Related to Ike/Gustav</t>
  </si>
  <si>
    <t>Costs related to Texas Transition to Competition</t>
  </si>
  <si>
    <t>5.  Deferred income taxes arise when items are included in taxable income in different periods than they are included in rates, therefore if the item giving rise to the ADIT is not included in the formula, the associated ADIT amount shall be excluded</t>
  </si>
  <si>
    <t>6.  In filling out this work paper, a full and complete description of each item and justification for the classification in Columns "E" through "H" and Columns "I" through "L" and each separate ADIT item will be listed, dissimilar items exceeding $100,000 will be listed separately.</t>
  </si>
  <si>
    <t>For Checking Purposes Only –Do Not Print</t>
  </si>
  <si>
    <r>
      <t>General Advertising expenses recorded in Account 930.1 and associated solely with safety, education and outreach shall be included, except  that General Advertising expenses</t>
    </r>
    <r>
      <rPr>
        <sz val="10.8"/>
        <rFont val="Arial"/>
        <family val="2"/>
      </rPr>
      <t xml:space="preserve"> </t>
    </r>
    <r>
      <rPr>
        <sz val="12"/>
        <rFont val="Arial"/>
        <family val="2"/>
      </rPr>
      <t xml:space="preserve">that are 100% recovered at or allocable to retail will not be included.  </t>
    </r>
  </si>
  <si>
    <t>Total Transmission O&amp;M (Line 7 + Line 8)</t>
  </si>
  <si>
    <t>In conformance with Section II of the Entergy Operating Company's Annual Update, Information Exchange and Challenge Procedures, Entergy shall provide a supporting work paper with accompanying detailed descriptions of the need for each adjustment.  Entergy will include in the description the docket number in which FERC approved each adjustment.  No adjustments will be included absent FERC approval.</t>
  </si>
  <si>
    <r>
      <t xml:space="preserve">Unfunded Reserves are Reserves that are charged to accounts recovered in the formula rate, </t>
    </r>
    <r>
      <rPr>
        <sz val="10.8"/>
        <rFont val="Arial"/>
        <family val="2"/>
      </rPr>
      <t xml:space="preserve">and </t>
    </r>
    <r>
      <rPr>
        <sz val="12"/>
        <rFont val="Arial"/>
        <family val="2"/>
      </rPr>
      <t>are offset (reduced) by any contra accounts that are not deposited into trusts or restricted accounts.</t>
    </r>
  </si>
  <si>
    <t>ITC Transaction Charge                                          (Enter as Negative)</t>
  </si>
  <si>
    <t>ITC Transaction Costs Not Charged to Customers    (Enter as Negative)</t>
  </si>
  <si>
    <r>
      <t xml:space="preserve">MISO Implementation Costs Deferral </t>
    </r>
    <r>
      <rPr>
        <strike/>
        <sz val="10"/>
        <rFont val="Arial"/>
        <family val="2"/>
      </rPr>
      <t xml:space="preserve">Co-Owner </t>
    </r>
  </si>
  <si>
    <t>Retail-related prepayments, such as taxes imposed on retail customers, services, operations or revenues, are excluded from allocation in the transmission revenue requirement and assigned to the “Other” category.</t>
  </si>
  <si>
    <t>No storm damage accrual, storm damage reserve, or regulatory asset for transmission storm damage expense will be included in the formula except where authorized by FERC pursuant to a limited, single-issue Section 205 filing seeking recovery of the storm costs from wholesale customers.  The unamortized amount will be included in rate base and the authorized amortization will be added to transmission expense.  Entergy may seek FERC authorization for storm damage treatment when a Qualifying Storm and Property Damage Event ("Qualifying Event") occurs that is defined as an event, occurrence, or incident that causes damage and outages to the Entergy transmission system where either (A) a single such event, occurrence, or incident in a calendar year that results in transmission-related non-capital (i.e., operation and maintenance) costs that equal or exceed five percent (5%) of the Projected Net Revenue Requirement, or (B) the aggregate of multiple such events, occurrences, or incidents over the course of a calendar year results in transmission-related noncapital costs that equal or exceed ten percent (10%) of the Projected Net Revenue Requirement where the term “Projected Net Revenue Requirement” means the revenue requirement that is being billed on December 31 of the year in which the storm(s) at issue occurred.  If the storm is not a Qualifying Event then the formula rate inputs will be modified to add back any O&amp;M expenses that were offset by the retail storm reserve under transmission expenses.</t>
  </si>
  <si>
    <t>See Appendix A Note D. For the accrual OpCo's (EAI, EMI, ENOI, and ETI), the difference is the annual Account 926 accrual amount less Entergy's annual FERC 205 PBOP filing amount (FERC allowed expenses).</t>
  </si>
  <si>
    <t>Relates to Nelson 6 generator, included in rate base</t>
  </si>
  <si>
    <t>Zeroed out</t>
  </si>
  <si>
    <t>DO NOT PRINT</t>
  </si>
  <si>
    <t xml:space="preserve">Agreed to insert the reference in Col H of the Blank Template for A/Cs 930.2 &amp; 928 and to leave the cells highlighted because the reference could change </t>
  </si>
  <si>
    <t>Agreement with Joint Customers and MISO to complete the Description of the Group on the Blank Template and to leave Col C highlighted because the Group could change</t>
  </si>
  <si>
    <t>Corporate Franchise</t>
  </si>
  <si>
    <t>263.02.i &amp; 263.03i</t>
  </si>
  <si>
    <t>263.05.i</t>
  </si>
  <si>
    <t>263.06.i</t>
  </si>
  <si>
    <t>263.04.i</t>
  </si>
  <si>
    <t>263.10.i</t>
  </si>
  <si>
    <t>263.11.i</t>
  </si>
  <si>
    <t>263.17.i</t>
  </si>
  <si>
    <t>263.21.i</t>
  </si>
  <si>
    <t>263.20.i</t>
  </si>
  <si>
    <t>263.13.i &amp; 263.14.i</t>
  </si>
  <si>
    <t>263.18.i &amp; 263.19.i</t>
  </si>
  <si>
    <t>263.12.i</t>
  </si>
  <si>
    <t>263.22.i</t>
  </si>
  <si>
    <t>Note (7)</t>
  </si>
  <si>
    <t>263.16.i</t>
  </si>
  <si>
    <t>190111: Intrst/Tax-Tax Deficienci-Fed</t>
  </si>
  <si>
    <t>190151: Taxable Unbilled Revenue-Fed</t>
  </si>
  <si>
    <t>190161: Property Ins Reserve-Fed</t>
  </si>
  <si>
    <t>190163: Capitalized Repairs - Fed</t>
  </si>
  <si>
    <t>190165: Syst Agrmt Equal Reg Liab-Fed</t>
  </si>
  <si>
    <t>190171: Inj &amp; Damages Reserve-Fed</t>
  </si>
  <si>
    <t>190181: Contrib In Aid Of Constr-Fed</t>
  </si>
  <si>
    <t>190211: Unfunded Pension Exp-Fed</t>
  </si>
  <si>
    <t>190213: SFAS 158 Def Tax Asset - Fed</t>
  </si>
  <si>
    <t>190221: Fas 106 Other Retire Ben-Fed</t>
  </si>
  <si>
    <t>190241: Deferred Fuel/Gas-Fed</t>
  </si>
  <si>
    <t>190251: Removal Cost - Fed</t>
  </si>
  <si>
    <t>190317: Fas 143 - Federal</t>
  </si>
  <si>
    <t>190331: Accrued Medical Claims-Fed</t>
  </si>
  <si>
    <t>190351: Uncollect Accts Reserve-Fed</t>
  </si>
  <si>
    <t>190375: Regulatory Liability-Federal</t>
  </si>
  <si>
    <t>190381: Partnership Income/Loss - Fed</t>
  </si>
  <si>
    <t>190391: Contract Def Revenue-Fed</t>
  </si>
  <si>
    <t>190397: Def. Misc. Services - Fed</t>
  </si>
  <si>
    <t>190421: Environmental Reserve-Fed</t>
  </si>
  <si>
    <t>190222: Fas 106 Other Retire Ben-State</t>
  </si>
  <si>
    <t>190443: Waste Site Clean Up Costs Fed</t>
  </si>
  <si>
    <t>190445: Waste Disposal Reserve - Fed</t>
  </si>
  <si>
    <t>190451: Incentive-Fed</t>
  </si>
  <si>
    <t>190467: Gain-Nelson 1&amp;2 Sale - Fed</t>
  </si>
  <si>
    <t>190517: Long-Term Incentive Comp-Feder</t>
  </si>
  <si>
    <t>190519: Stock Options - Federal</t>
  </si>
  <si>
    <t>190523: Stock Options Exercised-Fed</t>
  </si>
  <si>
    <t>190525: Restricted Stock Awards-Fed</t>
  </si>
  <si>
    <t>190561: Def Compensation - Fed</t>
  </si>
  <si>
    <t>190571: Def Pymt Trust-Fed</t>
  </si>
  <si>
    <t>190603: Rate Refund-Federal</t>
  </si>
  <si>
    <t>190609: Sale Of Epa Allowances - Fed</t>
  </si>
  <si>
    <t>190613: Severance Accrual - Federal</t>
  </si>
  <si>
    <t>190641: Re-Organization Costs-Federal</t>
  </si>
  <si>
    <t>190701: Fas 109 Adjustment - Fed</t>
  </si>
  <si>
    <t>190702: Fas 109 Adjustment - State</t>
  </si>
  <si>
    <t>190881: ADIT-NOL C/F-TAP-FED - Current</t>
  </si>
  <si>
    <t>190883: ADIT-Contrib CF-TAP-FED-NonCur</t>
  </si>
  <si>
    <t>190884: ADIT-Tax CR C/F-TAP-Fed-NonCur</t>
  </si>
  <si>
    <t>190P51: ADIT-Ben-Potnt Disall UTPs Res</t>
  </si>
  <si>
    <t>190886: ADIT-AMT CR C/F-TAP-FED</t>
  </si>
  <si>
    <t>190983: ADIT-NOL C/F TAP-Fed-Non-curr</t>
  </si>
  <si>
    <t>190990: Accum Def Inc Tax - Fed</t>
  </si>
  <si>
    <t>281121: Start Up Costs-Fed</t>
  </si>
  <si>
    <t>282111: Liberalized Depreciation-Fed</t>
  </si>
  <si>
    <t>282117: Section 481A Adj Fed</t>
  </si>
  <si>
    <t>282171: Interest Cap - Afdc - Fed</t>
  </si>
  <si>
    <t>282183: Nonbase - Federal - Retail</t>
  </si>
  <si>
    <t>282221: Fiber Optics-Fed</t>
  </si>
  <si>
    <t>282223: Repairs &amp; Maint Exp - Federal</t>
  </si>
  <si>
    <t>282241: R&amp;E Deduction - Fed</t>
  </si>
  <si>
    <t>282245: Warranty Expense - Federal</t>
  </si>
  <si>
    <t>282311: Int Inc Pol Control Bonds-Fed</t>
  </si>
  <si>
    <t>282351: Tax Int (Avoided Cost)-Fed</t>
  </si>
  <si>
    <t>282455: Business Dev Costs Cap- Fed</t>
  </si>
  <si>
    <t>282461: Computer Software Cap - Fed</t>
  </si>
  <si>
    <t>282475: Contra Securitization -Federal</t>
  </si>
  <si>
    <t>282533: Casualty Loss Deduction-Fed</t>
  </si>
  <si>
    <t>282701: Fas 109 Adjustment - Fed</t>
  </si>
  <si>
    <t>282901: 263A Method Change-DSC - Fed</t>
  </si>
  <si>
    <t>282903: Units of Production Ded - Fed</t>
  </si>
  <si>
    <t>282905: Tangible Prop Regs-481 Adj-Fed</t>
  </si>
  <si>
    <t>282907: Unit of Property Ded-Trans-Fed</t>
  </si>
  <si>
    <t>282975: Depreciation Expense - Fed</t>
  </si>
  <si>
    <t>283151: Regulatory Asset - Federal</t>
  </si>
  <si>
    <t>283157: Regulatory Asset-MISO-Fed</t>
  </si>
  <si>
    <t>283165: Syst Agrmt Equal Reg Asset-Fed</t>
  </si>
  <si>
    <t>283213: SFAS 158 Def Tax Liability-Fed</t>
  </si>
  <si>
    <t>283221: Bond Reacquisition Loss - Fed</t>
  </si>
  <si>
    <t>283225: Section 475 Adjustment-Fed</t>
  </si>
  <si>
    <t>283245: Distribution Maintenance - Fed</t>
  </si>
  <si>
    <t>283247: Transco Costs - Federal</t>
  </si>
  <si>
    <t>283249: Deferred Storm Costs - Federal</t>
  </si>
  <si>
    <t>283345: Misc Cap Costs-Fed</t>
  </si>
  <si>
    <t>283361: Prepaid Expenses Federal</t>
  </si>
  <si>
    <t>283401: Acc Dfit Turgen</t>
  </si>
  <si>
    <t>283457: Spindletop Capital Cost-Federa</t>
  </si>
  <si>
    <t>283701: Fas 109 Adjustment - Fed</t>
  </si>
  <si>
    <t>283702: Fas 109 Adjustment - State</t>
  </si>
  <si>
    <t>165000: Prepayments</t>
  </si>
  <si>
    <t>165100: Prepaid Insurance</t>
  </si>
  <si>
    <t>165400: Prepaid Ins Directors&amp;Officers</t>
  </si>
  <si>
    <t>165403: Pp Taxes Franchise-La</t>
  </si>
  <si>
    <t>165405: Pp Taxes Gross Receipts-Tx</t>
  </si>
  <si>
    <t>165406: Pp Taxes Franchise City-Tx</t>
  </si>
  <si>
    <t>165409: Pp Taxes-Street Rental</t>
  </si>
  <si>
    <t>165510: Prepaid Dues to EEI</t>
  </si>
  <si>
    <t>165520: Ad Valorem Taxes</t>
  </si>
  <si>
    <t>165603: PPD IQNavigator, Inc</t>
  </si>
  <si>
    <t>165RNT: Prepaid Rent Expense</t>
  </si>
  <si>
    <t>165SAI: PrePaid Designated Servic-SAIC</t>
  </si>
  <si>
    <t>165U39: Prepaid Life Insurance   Kidco</t>
  </si>
  <si>
    <t>Franchise Tax- Local</t>
  </si>
  <si>
    <t>456000: Other Electric Revenues</t>
  </si>
  <si>
    <t>456001: Fees-Gust/Ike Securitization</t>
  </si>
  <si>
    <t>456002: Distribution Substation Svc.</t>
  </si>
  <si>
    <t>456003: MISO Mkt Sch 11 Wholesale Dist</t>
  </si>
  <si>
    <t>456010: Misc Rec - Ouachita Upgrades</t>
  </si>
  <si>
    <t>4560MS: Third Party Sales of Inventory</t>
  </si>
  <si>
    <t>456100: Miscellaneous Revenue</t>
  </si>
  <si>
    <t>456101: Side Lights</t>
  </si>
  <si>
    <t>456102: Gia Annual Fees</t>
  </si>
  <si>
    <t>456104: Cwl Transmission Revenue</t>
  </si>
  <si>
    <t>456105: Transmisn Service Rev-Non Firm</t>
  </si>
  <si>
    <t>456107: Network Transmission Revenue</t>
  </si>
  <si>
    <t>456107: Network Transmission Revenue- Nits Dist. Sub</t>
  </si>
  <si>
    <t>456108: Schdlg Syst Control &amp; Dispatch</t>
  </si>
  <si>
    <t>456110: Ar Gross Receipts Tax</t>
  </si>
  <si>
    <t>456111: Non-Firm Transmission Revenue</t>
  </si>
  <si>
    <t>456112: Short Term Firm Transm Revenue</t>
  </si>
  <si>
    <t>456113: Long Term Firm Transm Revenue</t>
  </si>
  <si>
    <t>456117: Reg &amp; Freq Response Trans Rev</t>
  </si>
  <si>
    <t>456118: Spinning Reserve Ptp Tran Rev</t>
  </si>
  <si>
    <t>456119: Suppl Reserve Ptp Tran Rev</t>
  </si>
  <si>
    <t>456120: Fiber Optics (1)</t>
  </si>
  <si>
    <t>456127: RTO &amp; ICT Operations Costs Rec</t>
  </si>
  <si>
    <t>456136: MISO Sch 7 Firm PTP - ST</t>
  </si>
  <si>
    <t>456137: MISO Sch 7 Firm PTP - LT</t>
  </si>
  <si>
    <t>456138: MISO Sch 8 Non-firm</t>
  </si>
  <si>
    <t>456139: MISO Sch 9 Network</t>
  </si>
  <si>
    <t>456141: MISO Sch 41 Stm Securitization</t>
  </si>
  <si>
    <t>456142: MISO Sch 42 Int/AFUDC Amort</t>
  </si>
  <si>
    <t>456147: MISO Sch47 Transition Cost Rec</t>
  </si>
  <si>
    <t>4561A9: AECC MISO Sch 9 Network</t>
  </si>
  <si>
    <t>4561FR: FFR Transm Revenue</t>
  </si>
  <si>
    <t>456200: Unbilled Revenue</t>
  </si>
  <si>
    <t>456300: Unbilled Revenue-Wholesale</t>
  </si>
  <si>
    <t>456410: Trans Equal Charges</t>
  </si>
  <si>
    <t>456420: Affiliate service fee revenue</t>
  </si>
  <si>
    <t>456500: Other Elec Rev - Discounts</t>
  </si>
  <si>
    <t>228100: Accum Prov For Prop Insurance</t>
  </si>
  <si>
    <t>228101: Int on Accum Prov for Prop Ins</t>
  </si>
  <si>
    <t>228151: Insurance proceeds-O&amp;M</t>
  </si>
  <si>
    <t>228153: Securitization proceeds</t>
  </si>
  <si>
    <t>2281FR: Property Ins. Prov. Reclass</t>
  </si>
  <si>
    <t>2281LB: Storm Damage Reserve Lock Box</t>
  </si>
  <si>
    <t>228200: Accum Prov For Injuries &amp; Dam</t>
  </si>
  <si>
    <t>228210: Reserve For Inj &amp; Dam - Legal</t>
  </si>
  <si>
    <t>228301: Acc Prov-Pen&amp;Ben-Hosp Res-Adj</t>
  </si>
  <si>
    <t>228308: AccProv-OPEB Liab-FundedStatus</t>
  </si>
  <si>
    <t>228400: Acc Misc-Operating Prov</t>
  </si>
  <si>
    <t>228401: Accum Prov - Coal Car Maint</t>
  </si>
  <si>
    <t>228402: Ltd - Decomm &amp; Decontam</t>
  </si>
  <si>
    <t>228403: Acc Provision-Commer Litigatio</t>
  </si>
  <si>
    <t>143983: Aecc Co-Owner</t>
  </si>
  <si>
    <t>143985: Conway Co-Owner</t>
  </si>
  <si>
    <t>143987: Jonesboro Co-Owner</t>
  </si>
  <si>
    <t>184001: Operations  Vehicle</t>
  </si>
  <si>
    <t>4031AM: Deprec Exp billed from Serv Co</t>
  </si>
  <si>
    <t>408110: Employment Taxes</t>
  </si>
  <si>
    <t>500000: Oper Supervision &amp; Engineerin</t>
  </si>
  <si>
    <t>506000: Misc Steam Power Expenses</t>
  </si>
  <si>
    <t>507000: Rents - Steam Power Generation</t>
  </si>
  <si>
    <t>510000: Maintenance Supr &amp; Engineerin</t>
  </si>
  <si>
    <t>556000: System Control &amp; Load Disp.</t>
  </si>
  <si>
    <t>557000: Other Expenses</t>
  </si>
  <si>
    <t>560000: Oper Super &amp; Engineering</t>
  </si>
  <si>
    <t>561100: Load dispatch - reliability</t>
  </si>
  <si>
    <t>561200: Load Dispatch- transm system</t>
  </si>
  <si>
    <t>5612BA: LBA Schedule 24 Recoverable</t>
  </si>
  <si>
    <t>561300: Load disptch-transm serv &amp; sch</t>
  </si>
  <si>
    <t>561500: Syst plan &amp; standards devlpmnt</t>
  </si>
  <si>
    <t>562000: Station Expenses</t>
  </si>
  <si>
    <t>566000: Misc. Transmission Expenses</t>
  </si>
  <si>
    <t>567000: Rents - Transmission System</t>
  </si>
  <si>
    <t>568000: Maint. Supervision &amp; Engineer</t>
  </si>
  <si>
    <t>569000: Maintenance Of Structures</t>
  </si>
  <si>
    <t>569100: Maint Transm Computer&amp;Telecom</t>
  </si>
  <si>
    <t>573000: Maint Misc Transmission Plant</t>
  </si>
  <si>
    <t>575100: Regional Energy Mkts-Oper Supv</t>
  </si>
  <si>
    <t>903002: Collection Expense</t>
  </si>
  <si>
    <t>905000: Misc Customer Accounts Exp</t>
  </si>
  <si>
    <t>909000: Information &amp; Instruct Adv Ex</t>
  </si>
  <si>
    <t>912000: Demon. &amp; Selling Exp.</t>
  </si>
  <si>
    <t>920000: Adm &amp; General Salaries</t>
  </si>
  <si>
    <t>921000: Office Supplies And Expenses</t>
  </si>
  <si>
    <t>923000: Outside Services Employed</t>
  </si>
  <si>
    <t>924000: Property Insurance Expense</t>
  </si>
  <si>
    <t>925000: Injuries &amp; Damages Expense</t>
  </si>
  <si>
    <t>926000: Employee Pension &amp; Benefits</t>
  </si>
  <si>
    <t>928000: Regulatory Commission Expense</t>
  </si>
  <si>
    <t>930100: General Advertising Expenses</t>
  </si>
  <si>
    <t>930200: Miscellaneous General Expense</t>
  </si>
  <si>
    <t>931000: Rents-Cust Accts,Serv,Sales,GA</t>
  </si>
  <si>
    <t>935000: Maintenance Of General Plant</t>
  </si>
  <si>
    <t>511000: Maintenance Of Structures</t>
  </si>
  <si>
    <t>514000: Maintenance Of Misc Steam Plt</t>
  </si>
  <si>
    <t>517000: Operation, Supervision &amp; Engr</t>
  </si>
  <si>
    <t>524000: Misc. Nuclear Power Expenses</t>
  </si>
  <si>
    <t>549000: Misc Oth Pwr Generation Exps</t>
  </si>
  <si>
    <t>554000: Maint-Misc Other Pwr Gen Plt</t>
  </si>
  <si>
    <t>570000: Maint. Of Station Equipment</t>
  </si>
  <si>
    <t>190887: Fed Offset-St NonCur Carryover</t>
  </si>
  <si>
    <t>CALDWELL</t>
  </si>
  <si>
    <t>FERC Energy Regulatory Commission Annual Charges (4)</t>
  </si>
  <si>
    <t>Other FERC Transmission Dockets</t>
  </si>
  <si>
    <t>Co-Owner Big Cajun</t>
  </si>
  <si>
    <t>Co-Owner Nelson Unit 6</t>
  </si>
  <si>
    <t>Co-Owner Credits</t>
  </si>
  <si>
    <t>190427: Mark to Market-Oth Contrac-Fed</t>
  </si>
  <si>
    <t>For  the 12 Months Ended 12/31/2016</t>
  </si>
  <si>
    <t>LL</t>
  </si>
  <si>
    <t xml:space="preserve">The Entergy Operating Companies will not change the depreciation and amortization rates used in computing depreciation and amortization inputs to the Energy Companies’ formula rate templates unless approved by the Commission pursuant to a FPA section 205 or 206 filing.   In accordance with the Settlement Agreement in Docket ER16-227-000, Entergy Services commits to make a limited Section 205 filing(s) no later than November 1, 2020, proposing updated depreciation and amortization rates for all of the Entergy Operating Companies to become effective no later than January 1, 2021. Once approved by the Commission, the updated depreciation and amortization rates will be used in the Entergy Operating Companies’ MISO Attachment O formula rates.  </t>
  </si>
  <si>
    <t>Expense</t>
  </si>
  <si>
    <t>303-Miscellaneous Intangible Plant (15 year life)</t>
  </si>
  <si>
    <t>303-Miscellaneous Intangible Plant (20 year life)</t>
  </si>
  <si>
    <t>2.47% / 2.51%</t>
  </si>
  <si>
    <t>The 303-Miscellanous Intangible Plant (30 year life) category reflects amortization periods ranging from 33 to 34.25 years.</t>
  </si>
  <si>
    <t>The 303-Miscellanous Intangible Plant (40 year life) category reflects amortization periods ranging from 39.83 to 41 years.</t>
  </si>
  <si>
    <t>WP AJ3 - ETI General Plant Reserve Deficiency 15-Year Amortization (1)</t>
  </si>
  <si>
    <t>D = B - C</t>
  </si>
  <si>
    <t>Balance (3)</t>
  </si>
  <si>
    <t>Amortization</t>
  </si>
  <si>
    <t>Amortization Year</t>
  </si>
  <si>
    <t>Starting</t>
  </si>
  <si>
    <t>Ending</t>
  </si>
  <si>
    <t>Annual (2)</t>
  </si>
  <si>
    <t>Depreciation Expense (Account 403)</t>
  </si>
  <si>
    <t>Entergy shall recover 100% of the General Plant Reserve Deficiency amounts over a 15-year period for the years 2016 through 2030, but will not recover any return on the General Plant Reserve Depreciation amounts per the Settlement Agreement in ER16-227.</t>
  </si>
  <si>
    <t>Rounded amount.</t>
  </si>
  <si>
    <t>FERC Liberalized Depreciation Adjustment</t>
  </si>
  <si>
    <t>Liberalized tax depreciation adjustment for FERC-only (7)</t>
  </si>
  <si>
    <t>7. A supporting work paper with additional detail for this value will be provided.</t>
  </si>
  <si>
    <t>See the supporting workpaper for wholesale-only accumulated depreciation and amortization balances for production plant, transmission plant, intangible, and general plant.  The wholesale-only General Plant balances exclude General Plant Reserve Deficiency amounts that are separately amortized within Attachment O.</t>
  </si>
  <si>
    <t>Accumulated Depreciation (1) (2)</t>
  </si>
  <si>
    <t>General Plant Reserve Deficiency Amortization</t>
  </si>
  <si>
    <t>Function</t>
  </si>
  <si>
    <t>Wholesale</t>
  </si>
  <si>
    <t>Blended</t>
  </si>
  <si>
    <t>Depreciation</t>
  </si>
  <si>
    <t>Net</t>
  </si>
  <si>
    <t>Composite Tax Rate</t>
  </si>
  <si>
    <t>BOY (1)</t>
  </si>
  <si>
    <t>EOY (2)</t>
  </si>
  <si>
    <t xml:space="preserve">"BOY" (Beginning of Year) is the value in the prior test year's FERC Form 1. </t>
  </si>
  <si>
    <t>"EOY" (End of Year) is the value in the current test year's FERC Form 1.</t>
  </si>
  <si>
    <t>WP04 Ln 23 &amp; 35 (3)</t>
  </si>
  <si>
    <t>App A Ln 150</t>
  </si>
  <si>
    <t>The base ROE shall be as established by FERC and is subject to change consistent with the outcome of proceedings in FERC Docket No. EL15-45, a final order concerning the ROE issue raised in MDEA v. FERC, (D.C. Circuit Case No. 14-1030), and otherwise subject to change pursuant to a FPA section 205 or 206 proceeding. A 50 basis point adder for RTO participation may be added to the ROE provided the total or maximum ROE may not to exceed the upper end of the zone of reasonableness established by FERC in EL14-12 or other proceeding.</t>
  </si>
  <si>
    <t>Added 2015</t>
  </si>
  <si>
    <t>190215: Supplemental Pension Plan-Fed</t>
  </si>
  <si>
    <t>Added 2016</t>
  </si>
  <si>
    <t>WP17 Revenue Support - Account 456 Out-of-Period Revenue for ER13-948 2014 Test Year True-up</t>
  </si>
  <si>
    <t>Ln.</t>
  </si>
  <si>
    <t>Amount (1)</t>
  </si>
  <si>
    <t xml:space="preserve">Description </t>
  </si>
  <si>
    <t>Period</t>
  </si>
  <si>
    <t>Schedule 7</t>
  </si>
  <si>
    <t>SCH07 FERC ORDER ER13-948 RESETTLEMENT</t>
  </si>
  <si>
    <t>DEC13-MAY14</t>
  </si>
  <si>
    <t>JUN14-DEC14</t>
  </si>
  <si>
    <t>INTEREST - SCH07 FERC ORDER ER13-948 RESETTLEMENT</t>
  </si>
  <si>
    <t>Total Schedule Out-of-Period Amount (2)</t>
  </si>
  <si>
    <t>Schedule 8</t>
  </si>
  <si>
    <t>SCH08 FERC ORDER ER13-948 RESETTLEMENT</t>
  </si>
  <si>
    <t>INTEREST - SCH08 FERC ORDER ER13-948 RESETTLEMENT</t>
  </si>
  <si>
    <t>Total Schedule Out-of-Period Amount</t>
  </si>
  <si>
    <t>Schedule 9</t>
  </si>
  <si>
    <t>SCH09 FERC ORDER ER13-948 RESETTLEMENT</t>
  </si>
  <si>
    <t>INTEREST - SCH09 FERC ORDER ER13-948 RESETTLEMENT</t>
  </si>
  <si>
    <t>APR14-MAY14</t>
  </si>
  <si>
    <t>Reclassify True-up amounts from either "Revenue Credits" or "Network Revenue" to "Other"</t>
  </si>
  <si>
    <t xml:space="preserve">Allocate Schedule 7 to LT &amp; ST based 2016 per book Schedule 7 revenue </t>
  </si>
  <si>
    <t>Sch 7 ER13-948 True-up - Out of Period</t>
  </si>
  <si>
    <t>Sch 8 ER13-948 True-up - Out of Period</t>
  </si>
  <si>
    <t>Sch 9 ER13-948 True-up - Out of Period</t>
  </si>
  <si>
    <t>2/12/2014: MISO-wide ROE was changed in EL14-12; Tariff compliance filing in ER17-215</t>
  </si>
  <si>
    <t>Appendix A Support</t>
  </si>
  <si>
    <t>C = A x B/366</t>
  </si>
  <si>
    <t>ROE</t>
  </si>
  <si>
    <t>Days</t>
  </si>
  <si>
    <t>Effective ROE</t>
  </si>
  <si>
    <t>Rate</t>
  </si>
  <si>
    <t>WP18 - Depreciation &amp; Amortization Rates &amp; Annual FERC Depreciation &amp; Amortization Expense (1)</t>
  </si>
  <si>
    <t xml:space="preserve">The Entergy Operating Companies will not change the depreciation and amortization rates used in computing depreciation and amortization inputs to the Energy Companies’ formula rate templates unless approved by the Commission pursuant to a FPA section 205 or 206 filing.  In accordance with the Settlement Agreement in Docket ER16-227-000, Entergy Services commits to make a limited Section 205 filing(s) no later than November 1, 2020, proposing updated depreciation and amortization rates for all of the Entergy Operating Companies to become effective no later than January 1, 2021. Once approved by the Commission, the updated depreciation and amortization rates will be used in the Entergy Operating Companies’ MISO Attachment O formula rates. </t>
  </si>
  <si>
    <t>Total ADIT Adjusted</t>
  </si>
  <si>
    <t>WP06 - ADIT Support - Liberalized Depreciation Adjustment</t>
  </si>
  <si>
    <t>WP04 - 13-Month Average Plant In Service &amp; Accumulated Depreciation &amp; Amortization Balances</t>
  </si>
  <si>
    <t>2017-02-12 Added ER16-227</t>
  </si>
  <si>
    <t>2017-02-12 Revised ER16-227</t>
  </si>
  <si>
    <t>2017-02-12 Deleted ER16-227</t>
  </si>
  <si>
    <t xml:space="preserve">See the new note for an additional non-tariff workpaper. </t>
  </si>
  <si>
    <t>Depreciation Expense &amp; General Plant Reserve Deficiency Amortization Expense</t>
  </si>
  <si>
    <t>2017-02-12: MISO-wide ROE changed in EL14-12; Tariff compliance filing in ER17-215</t>
  </si>
  <si>
    <t>2017-02-12 Revised data source</t>
  </si>
  <si>
    <t>2017-02-12 Revised title</t>
  </si>
  <si>
    <t>Other Adjustments Depreciation Expense &amp; GPRD Amortization</t>
  </si>
  <si>
    <t>2017-02-12 Added note "LL" per ER16-227</t>
  </si>
  <si>
    <t>2017-02-12 Added ER16-227, Entergy will provide a separate workpaper showing how this amount is computed.</t>
  </si>
  <si>
    <t>2017-02-12 Revised for ER16-227</t>
  </si>
  <si>
    <t>WP21 - Pension</t>
  </si>
  <si>
    <t>F = C+D+E</t>
  </si>
  <si>
    <t>K = G+H+I+J</t>
  </si>
  <si>
    <t>Qualified Pension</t>
  </si>
  <si>
    <t>Non-Qualified Pension</t>
  </si>
  <si>
    <t>Account 253012
Funded Status</t>
  </si>
  <si>
    <t>Account 182381- Resource Code 300
Regulatory Asset - Unrecognized Gains/(Losses)</t>
  </si>
  <si>
    <t>Account 219381-Resouce Code 300
Accum Other Comprehensive Income- Unrecognized Gains/(Losses)</t>
  </si>
  <si>
    <t>Qualified Pension
Prepaid Pension Asset/
(Accrued Pension Liability)</t>
  </si>
  <si>
    <t>Account 242309 - Current Portion of Non-Qualified Pension</t>
  </si>
  <si>
    <t xml:space="preserve"> Account 253013 Non-Qualified Pension</t>
  </si>
  <si>
    <t>Account 182381-Resouce Code 299
Regulatory Asset - Unrecognized Gains/(Losses)</t>
  </si>
  <si>
    <t>Account 219381-Resouce Code 299
Accum Other Comprehensive Income- Unrecognized Gains/(Losses)</t>
  </si>
  <si>
    <t>Non-Qualified Pension
Prepaid Pension Asset/
(Accrued Pension Liability)</t>
  </si>
  <si>
    <t>13-Mo Avg (3)</t>
  </si>
  <si>
    <t xml:space="preserve">p.269.f Amounts are entered as negative of FERC Form 1 </t>
  </si>
  <si>
    <t>(Sum of Line 4 though Line 16) / 13</t>
  </si>
  <si>
    <t>WP22 - Income Tax Adjustments</t>
  </si>
  <si>
    <t>Excess Deferred Income Taxes</t>
  </si>
  <si>
    <t>Permanent Differences in Income Tax</t>
  </si>
  <si>
    <t>(1) See Note I to Appendix A.  Enter as negative.</t>
  </si>
  <si>
    <t>(2) See Note I to Appendix A.</t>
  </si>
  <si>
    <t>2017-01-10: ER15-1436 Changed from Other to Labor</t>
  </si>
  <si>
    <t>Qualified Pension Prepaid Asset / Liability</t>
  </si>
  <si>
    <t>2017-01-12: ER15-1436 Added Line</t>
  </si>
  <si>
    <t>Non-Qualified Pension Prepaid Asset / Liability</t>
  </si>
  <si>
    <t>2017-01-12: Added new Line</t>
  </si>
  <si>
    <t>Total Tax Adjustments</t>
  </si>
  <si>
    <t>2017-01-12: Added new line for "Total"</t>
  </si>
  <si>
    <t>Total Allocated Income Tax Adjustments</t>
  </si>
  <si>
    <t>2017-01-12 Revised Formula from Line 152 to 155 to include new Lines</t>
  </si>
  <si>
    <t>The currently effective income tax rate, where FIT is the Federal income tax rate; SIT is the State income tax rate, and p = "the percentage of federal income tax deductible for state income taxes".  If the utility includes taxes in more than one state, it must explain in a Worksheet 7 the name of each state and how the blended or composite SIT was developed.  Furthermore, a utility that elected to use amortization of tax credits against taxable income, rather than book tax credits to Account No. 255 and reduce rate base, must reduce its income tax expense by the amount of the Amortized Investment Tax Credit (Form 1, 266.8.f) multiplied by 1/(1-T).  Excess Deferred Income Taxes reduce income tax expense revenue requirement by the amount of the expense multiplied by 1/(1-T).  Permanent Differences in Income Taxes increases income tax expense revenue requirement by the amount of the expense multiplied by 1/(1-T) for differences in the income taxes due under the Federal and State calculations and the income taxes recorded on the Company's financial statements.  A utility must not include tax credits as a reduction to rate base and as an amortization against taxable income.   If the tax rates change during a calendar year, an average tax rate will be used - calculated based on the number of days each was effective in the calendar year.</t>
  </si>
  <si>
    <t>2017-01-10: ER15-1436 Added text</t>
  </si>
  <si>
    <t>(9)</t>
  </si>
  <si>
    <t>The January 2015 through October 2015 interest rate is 0%</t>
  </si>
  <si>
    <t>pursuant to the July 31, 2015 Settlement Agreement and the</t>
  </si>
  <si>
    <t>September 28, 2015 Procedures for Initial Transition Period filed</t>
  </si>
  <si>
    <t>in Docket No. ER13-948.</t>
  </si>
  <si>
    <t>TU Amount billed in 2016TY</t>
  </si>
  <si>
    <t xml:space="preserve">Revenues updated to reflect ROE from EL14-12 &amp; MISO re-billings </t>
  </si>
  <si>
    <t>Monthly interest rate updated to reflect most recent FERC Quarterly Interest Rates</t>
  </si>
  <si>
    <t>For  the 12 Months Ended 12/31/2015</t>
  </si>
  <si>
    <t>ALLOCATION TO JOINT TRANMISSION OWNER</t>
  </si>
  <si>
    <t xml:space="preserve">The ITC project ended in 2015.  </t>
  </si>
  <si>
    <t>303-Miscellaneous Intangible Plant (30 year life)</t>
  </si>
  <si>
    <t>303-Miscellaneous Intangible Plant (40 year life)</t>
  </si>
  <si>
    <t>263.15.i &amp; 263.21.i</t>
  </si>
  <si>
    <t>563000: Overhead Line Expenses</t>
  </si>
  <si>
    <t>165576: Ppd Contract OSI Software Inc</t>
  </si>
  <si>
    <t>165611: PPD all GE companies</t>
  </si>
  <si>
    <t>165631: PPD Motorola Solutions</t>
  </si>
  <si>
    <t>165004: Pp Taxes-Regulatory Commis.</t>
  </si>
  <si>
    <t>165518: PPD GP Strategies Corp</t>
  </si>
  <si>
    <t>165622: PPD Environmental Systems Corp</t>
  </si>
  <si>
    <t>ESI Administrative &amp; General</t>
  </si>
  <si>
    <t>ESI Customer Accounts</t>
  </si>
  <si>
    <t>ESI Customer Service</t>
  </si>
  <si>
    <t>ESI Distribution</t>
  </si>
  <si>
    <t>ESI Production</t>
  </si>
  <si>
    <t>ESI Sales</t>
  </si>
  <si>
    <t>ESI Transmission</t>
  </si>
  <si>
    <t>OpCo Transmission</t>
  </si>
  <si>
    <t>OpCo Total Wages</t>
  </si>
  <si>
    <t>ESI Regional Market</t>
  </si>
  <si>
    <t>EOI Payroll</t>
  </si>
  <si>
    <t>EOI Administrative &amp; General</t>
  </si>
  <si>
    <t>OpCo Administrative &amp; General</t>
  </si>
  <si>
    <t>p. 335.12.b</t>
  </si>
  <si>
    <t>p. 335.11.b</t>
  </si>
  <si>
    <t>See Ln 152. Entergy chose to include the A/C 255 ADIT annual credit in the income tax calculation rather than the rate base balance</t>
  </si>
  <si>
    <t>Not Used</t>
  </si>
  <si>
    <t>None at this time</t>
  </si>
  <si>
    <t>Typically zero (0)</t>
  </si>
  <si>
    <t>2/12/2017: EL14-12 changed MISO-wide ROE 9/28/2016; Compliance filing in ER17-215</t>
  </si>
  <si>
    <t>Input by MISO - None at this time</t>
  </si>
  <si>
    <t>2017-02-12 Added per ER16-227</t>
  </si>
  <si>
    <t>263.31.i</t>
  </si>
  <si>
    <t>263.28.i</t>
  </si>
  <si>
    <t>p. 351.34.h</t>
  </si>
  <si>
    <t>ETI is no longer in the Entergy System Agreement</t>
  </si>
  <si>
    <t>WP04 Support - Accumulated Depreciation &amp; Amortization Balances</t>
  </si>
  <si>
    <t>Added 2017-05-10 per ER16-227 Settlement</t>
  </si>
  <si>
    <t>2015 End Reserve Bal</t>
  </si>
  <si>
    <t>2016 Depr Exp</t>
  </si>
  <si>
    <t>2016 Retirements</t>
  </si>
  <si>
    <t>2016 GPRD Adj</t>
  </si>
  <si>
    <t>2016 Missing RET Adj</t>
  </si>
  <si>
    <t>2016 Incremental Adj</t>
  </si>
  <si>
    <t>Removal / Salvage</t>
  </si>
  <si>
    <t>2016 End Reserve</t>
  </si>
  <si>
    <t>See WP04 Line 23 for starting balances</t>
  </si>
  <si>
    <t>See WP04 Line 35 for ending balances</t>
  </si>
  <si>
    <t>2016  Storm Contra Adj</t>
  </si>
  <si>
    <t>See WP AJ3 GPRD Adjustment for General Plant Reserve Deficiency</t>
  </si>
  <si>
    <t>CONTIGUOUS</t>
  </si>
  <si>
    <t>Exclude</t>
  </si>
  <si>
    <t>2016</t>
  </si>
  <si>
    <t xml:space="preserve">Attachment O </t>
  </si>
  <si>
    <t>Explanatory Statements</t>
  </si>
  <si>
    <t>WP01 TU Support</t>
  </si>
  <si>
    <t>The January 2015 through October 2015 interest rate is 0% pursuant to the July 31, 2015 Settlement Agreement and the September 28, 2015 Procedures for Initial Transition Period filed in Docket No. ER13-948.</t>
  </si>
  <si>
    <t>WP17 Revenues</t>
  </si>
  <si>
    <t>In Docket No. 13-948, any Attachment O surcharges for the period December 19, 2013 to December 31, 2014 were separately calculated and billed by MISO in 2016 and booked in Account 456.  Additional lines were added to the WP17 Account 456 detail so that the True-up revenues were re-classified by Schedule to "Other" from "Revenue Credits" and "Network Revenues".  Schedule 7 surcharge revenues were split between Schedule 7 LT and Schedule 7 ST in the same proportion as those revenues were booked in 2016.</t>
  </si>
  <si>
    <t>WP AJ1 MISO</t>
  </si>
  <si>
    <t>The Company is not seeking recovery of MISO implementation costs.</t>
  </si>
  <si>
    <t>WP AJ2 ITC</t>
  </si>
  <si>
    <t>WP AJ2 ITC was intentionally left blank. That project was closed in 2015 and no charges were made in 2016.</t>
  </si>
  <si>
    <t>WP AJ3 GPRD</t>
  </si>
  <si>
    <t>The Company is recovering a General Plant Reserve Deficiency amount through a 15-year amoritization.  The GPRD was removed from the general plant depreciation reserves for general plant assets that were retired at the end of their useful lives but before their book-life depreciation was fully recovered.</t>
  </si>
  <si>
    <t>Add to Tariff Clean-up</t>
  </si>
  <si>
    <t>Needs note to enter values as negative</t>
  </si>
  <si>
    <t>Check on Negative Balance</t>
  </si>
  <si>
    <t>See WP04 Col. B - Intang, Col. F - Transm, Col. I - Distrib, Col. E - Prod, &amp; Col. J - General.</t>
  </si>
  <si>
    <t>Corrected Note to include Prod &amp; Distri</t>
  </si>
  <si>
    <t>p.219.20.c - 24.c</t>
  </si>
  <si>
    <t>Corrected Functrionalization</t>
  </si>
  <si>
    <t>Corrected Functrionalization per Filing for ETI ADIT</t>
  </si>
  <si>
    <t>OK 5/26</t>
  </si>
  <si>
    <t>Added yellow shading to Col C for inputs</t>
  </si>
  <si>
    <t>Corrected formula in Col K to include Col J</t>
  </si>
  <si>
    <t>Corrected Col C value</t>
  </si>
  <si>
    <t xml:space="preserve">Amounts identified that should have been included in the accumulated depreciation reserve balance after the books are closed for the year are separately included in the reserve balance. </t>
  </si>
  <si>
    <t>An adjustment to the reserve balance was made for miscellaneous items.</t>
  </si>
  <si>
    <t>Amounts associated with Storm Contra amounts and identified after the books are closed for the year are separately included in the reserve balance.</t>
  </si>
  <si>
    <t>p.219.26.c</t>
  </si>
  <si>
    <t>p.219.28.c</t>
  </si>
  <si>
    <t>p.219.25.c</t>
  </si>
  <si>
    <t>p.200.21.c</t>
  </si>
  <si>
    <t>(11)</t>
  </si>
  <si>
    <t>Only the True-up amounts for the months of June - December 2016 will be reflected in the 2017 Update based on the 2016TY.  The remaining 2015TY True-up amounts will be collected in January - May 2017 and reflected in the 2018 Update based on a 2017 TY True-up calculation.</t>
  </si>
  <si>
    <t>Source file is: Appendix A Line 193 of S5 ETI Template FERC Att O 2015TY (2016-09-28) v2.xlsx but updated to include 2017-03-15 Informational Update adjustments detailed in WP AJ3.</t>
  </si>
  <si>
    <t>Source file is: S5 ETI Template FERC Att O 2015TY (2016-09-28) v2.xlsx but updated for 2017-03-15 Informational Update WP AJ3 adjustments</t>
  </si>
  <si>
    <t>Corrected Calc to include Prod &amp; Distri</t>
  </si>
  <si>
    <t>Production excluding ARO</t>
  </si>
  <si>
    <t>Not Applicable</t>
  </si>
  <si>
    <t>See Appendix A Note "LL".  The General Plant Reserve Deficiency adjustment amount is $20,403,272.</t>
  </si>
  <si>
    <t>In accordance with the Settlement Agreement in Docket ER16-227-000, effective January 1, 2016, the General Plant Accumulated Depreciation Reserves shall be adjusted by $20,403,272 for Entergy Texas, Inc. to reflect the exclusion of the General Plant Reserve Deficiency.  In addition, that $20,403,272 General Plant Reserve Deficiency adjustment shall be amortized over the 15-year period starting with calendar year 2016 through 2030, and the amortization amounts added to the General Plant Depreciation Expense during the amortization period.</t>
  </si>
  <si>
    <t>Corrected amount in note. It stated 420,4303,272.  Above was correct.</t>
  </si>
  <si>
    <t xml:space="preserve">Total for column is the sum of FF1 219.13.c + 219.14.c (enter as a negative) </t>
  </si>
  <si>
    <t>See FF1: Intangible - 205.5.d; Production - 205.46.d; Transmission - 207.58.d; Distribution - 207.75.d; &amp; General Plant - 207.99.d</t>
  </si>
  <si>
    <t>Sum (C thru J)</t>
  </si>
  <si>
    <t>(D+G+H+I)</t>
  </si>
  <si>
    <t>See WP18 &amp; WP18 Support for Depreciation Expense balances</t>
  </si>
  <si>
    <t>WP12 PBOP</t>
  </si>
  <si>
    <t>See FERC Docket ER17-1549 Filed May 1, 2017, Page "A - 2016 Summary", Column "2016 Actuals"</t>
  </si>
  <si>
    <t>A split of Schedule 42A/B revenues in A/C 456142 &amp; 4561A4 has been included for additional information.</t>
  </si>
  <si>
    <t>WP20 Reserves</t>
  </si>
  <si>
    <t>"Enter as Negative" footnote needed for Accounts 2281 through 228400.</t>
  </si>
  <si>
    <t>Not Available</t>
  </si>
  <si>
    <t>Production Cols E-J are not available on June 1</t>
  </si>
  <si>
    <t>WP 18 Support</t>
  </si>
  <si>
    <t xml:space="preserve">Added FERC Approved Distribution Depreciation Rates &amp; Expense to a supporting workpaper. </t>
  </si>
  <si>
    <t xml:space="preserve">WP 18 Additional Support - FERC approved Depreciation Rates &amp; Annual Expense 
for Distribution Property </t>
  </si>
  <si>
    <t>Distribution Plant</t>
  </si>
  <si>
    <t>360_1_Land</t>
  </si>
  <si>
    <t>360_2_Land Rights</t>
  </si>
  <si>
    <t>361_0_Structures And Improvements</t>
  </si>
  <si>
    <t>362_0_Station Equipment</t>
  </si>
  <si>
    <t>364_0_Poles, Towers, and Fixtures</t>
  </si>
  <si>
    <t>365_1_Overhead Conductors &amp; Devices</t>
  </si>
  <si>
    <t>365_3_Overhead Conductors &amp; Devices</t>
  </si>
  <si>
    <t>366_0_Underground Conduit</t>
  </si>
  <si>
    <t>367_0_Underground Conductor, Devices</t>
  </si>
  <si>
    <t>368_1_Line Transformers</t>
  </si>
  <si>
    <t>369_1_Services-Overhead</t>
  </si>
  <si>
    <t>369_2_Services-Underground</t>
  </si>
  <si>
    <t>370_0_Meters</t>
  </si>
  <si>
    <t>370_1_Meters</t>
  </si>
  <si>
    <t>371_0_Installations On Cust Premises</t>
  </si>
  <si>
    <t>373_0_Street Light &amp; Signal Systems</t>
  </si>
  <si>
    <t>373_2_Street Lighting - Non Roadway</t>
  </si>
  <si>
    <t>check do not print</t>
  </si>
  <si>
    <t xml:space="preserve">Depreciation </t>
  </si>
  <si>
    <t xml:space="preserve">Appendix A </t>
  </si>
  <si>
    <t>Note LL was moved from Line 106 to Line 107 in Column E on Appendix A</t>
  </si>
  <si>
    <t>Include only the balances associated with long-term debt and exclude balances associated with short-term debt.</t>
  </si>
  <si>
    <r>
      <t xml:space="preserve">Charges to Account 930.2 shall be subject to review and challenge as part of the protocols procedures.  Notwithstanding the specific language of the protocols, charges related directly or indirectly to transmission service should be included and charges not directly or indirectly related to transmission (wholly retail-related items, wholly production-related items, and/or wholly distribution-related items) are subject to challenge and should be excluded. </t>
    </r>
    <r>
      <rPr>
        <strike/>
        <sz val="12"/>
        <rFont val="Arial"/>
        <family val="2"/>
      </rPr>
      <t xml:space="preserve"> </t>
    </r>
    <r>
      <rPr>
        <strike/>
        <sz val="12"/>
        <color rgb="FFFF0000"/>
        <rFont val="Arial"/>
        <family val="2"/>
      </rPr>
      <t/>
    </r>
  </si>
  <si>
    <t>WP17 Line 8 Column D (8)</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</si>
</sst>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quot;$&quot;#,##0.00"/>
    <numFmt numFmtId="170" formatCode="_(* #,##0.0000_);_(* \(#,##0.0000\);_(* &quot;-&quot;??_);_(@_)"/>
    <numFmt numFmtId="171" formatCode="0.0000%"/>
    <numFmt numFmtId="172" formatCode=";;;\(@\)"/>
    <numFmt numFmtId="173" formatCode="&quot; &quot;&quot;$&quot;* #,##0.00&quot;/kw  &quot;"/>
    <numFmt numFmtId="174" formatCode="* #,##0&quot;  &quot;\ "/>
    <numFmt numFmtId="175" formatCode="0.000000"/>
    <numFmt numFmtId="176" formatCode="[$-409]mmm\-yy;@"/>
    <numFmt numFmtId="177" formatCode="[$-409]mmmm\-yy;@"/>
    <numFmt numFmtId="178" formatCode="0.000_)"/>
    <numFmt numFmtId="179" formatCode="m&quot;¤ë&quot;d&quot;¤é&quot;"/>
    <numFmt numFmtId="180" formatCode="00000"/>
    <numFmt numFmtId="181" formatCode="_-* #,##0.0_-;\-* #,##0.0_-;_-* &quot;-&quot;??_-;_-@_-"/>
    <numFmt numFmtId="182" formatCode="0.00_)"/>
    <numFmt numFmtId="183" formatCode="###,###,##0,;\(###,###,##0,\);0"/>
    <numFmt numFmtId="184" formatCode="&quot;£&quot;#,##0;\-&quot;£&quot;#,##0"/>
    <numFmt numFmtId="185" formatCode="[$-409]mmmm\ d\,\ yyyy;@"/>
    <numFmt numFmtId="186" formatCode="&quot;$&quot;###0;[Red]\(&quot;$&quot;###0\)"/>
    <numFmt numFmtId="187" formatCode="0.0"/>
    <numFmt numFmtId="188" formatCode="mmm\ dd\,\ yyyy"/>
    <numFmt numFmtId="189" formatCode="0.00000"/>
    <numFmt numFmtId="190" formatCode="&quot;$&quot;#,##0.000"/>
    <numFmt numFmtId="191" formatCode="#,##0.00000"/>
    <numFmt numFmtId="192" formatCode="_(* #,##0.00000_);_(* \(#,##0.00000\);_(* &quot;-&quot;??_);_(@_)"/>
    <numFmt numFmtId="193" formatCode="&quot;$&quot;#,##0"/>
    <numFmt numFmtId="194" formatCode="#,##0.0000"/>
    <numFmt numFmtId="195" formatCode="_(* #,##0.0_);_(* \(#,##0.0\);_(* &quot;-&quot;??_);_(@_)"/>
    <numFmt numFmtId="196" formatCode="#,##0.000"/>
    <numFmt numFmtId="197" formatCode="_([$$-409]* #,##0.00_);_([$$-409]* \(#,##0.00\);_([$$-409]* &quot;-&quot;??_);_(@_)"/>
    <numFmt numFmtId="198" formatCode="_(* #,##0.000000_);_(* \(#,##0.000000\);_(* &quot;-&quot;??_);_(@_)"/>
    <numFmt numFmtId="199" formatCode="_(* #,##0.000_);_(* \(#,##0.000\);_(* &quot;-&quot;??_);_(@_)"/>
    <numFmt numFmtId="200" formatCode="0.0000000000000000000"/>
  </numFmts>
  <fonts count="139">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b/>
      <sz val="10"/>
      <color indexed="10"/>
      <name val="Arial"/>
      <family val="2"/>
    </font>
    <font>
      <sz val="10"/>
      <name val="Arial"/>
      <family val="2"/>
    </font>
    <font>
      <sz val="12"/>
      <name val="Arial MT"/>
    </font>
    <font>
      <sz val="10"/>
      <color indexed="12"/>
      <name val="Arial"/>
      <family val="2"/>
    </font>
    <font>
      <b/>
      <sz val="14"/>
      <name val="Arial"/>
      <family val="2"/>
    </font>
    <font>
      <b/>
      <sz val="18"/>
      <name val="Arial"/>
      <family val="2"/>
    </font>
    <font>
      <sz val="10"/>
      <name val="Arial Narrow"/>
      <family val="2"/>
    </font>
    <font>
      <b/>
      <sz val="10"/>
      <name val="Arial Narrow"/>
      <family val="2"/>
    </font>
    <font>
      <sz val="10"/>
      <color indexed="8"/>
      <name val="Arial"/>
      <family val="2"/>
    </font>
    <font>
      <sz val="10"/>
      <name val="Arial"/>
      <family val="2"/>
    </font>
    <font>
      <b/>
      <sz val="8"/>
      <name val="Arial"/>
      <family val="2"/>
    </font>
    <font>
      <sz val="8"/>
      <name val="Arial"/>
      <family val="2"/>
    </font>
    <font>
      <u val="singleAccounting"/>
      <sz val="10"/>
      <name val="Times"/>
      <family val="1"/>
    </font>
    <font>
      <sz val="10"/>
      <name val="MS Sans Serif"/>
      <family val="2"/>
    </font>
    <font>
      <b/>
      <sz val="10"/>
      <name val="MS Sans Serif"/>
      <family val="2"/>
    </font>
    <font>
      <sz val="8"/>
      <name val="Arial"/>
      <family val="2"/>
    </font>
    <font>
      <b/>
      <sz val="10"/>
      <color indexed="8"/>
      <name val="Arial"/>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52"/>
      <name val="Calibri"/>
      <family val="2"/>
    </font>
    <font>
      <sz val="11"/>
      <color indexed="60"/>
      <name val="Calibri"/>
      <family val="2"/>
    </font>
    <font>
      <sz val="12"/>
      <name val="Swiss"/>
      <family val="2"/>
    </font>
    <font>
      <b/>
      <sz val="18"/>
      <color indexed="56"/>
      <name val="Cambria"/>
      <family val="2"/>
    </font>
    <font>
      <u/>
      <sz val="10"/>
      <name val="Arial"/>
      <family val="2"/>
    </font>
    <font>
      <b/>
      <sz val="10"/>
      <name val="Helv"/>
    </font>
    <font>
      <sz val="12"/>
      <name val="Tms Rmn"/>
    </font>
    <font>
      <sz val="11"/>
      <name val="Tms Rmn"/>
    </font>
    <font>
      <sz val="10"/>
      <name val="Helv"/>
    </font>
    <font>
      <sz val="11"/>
      <name val="Book Antiqua"/>
      <family val="1"/>
    </font>
    <font>
      <b/>
      <sz val="10"/>
      <name val="Times New Roman"/>
      <family val="1"/>
    </font>
    <font>
      <sz val="7"/>
      <name val="Small Fonts"/>
      <family val="2"/>
    </font>
    <font>
      <b/>
      <i/>
      <sz val="16"/>
      <name val="Helv"/>
    </font>
    <font>
      <sz val="14"/>
      <name val="Times New Roman"/>
      <family val="1"/>
    </font>
    <font>
      <b/>
      <sz val="11"/>
      <name val="Times New Roman"/>
      <family val="1"/>
    </font>
    <font>
      <sz val="10"/>
      <color indexed="8"/>
      <name val="Tahoma"/>
      <family val="2"/>
    </font>
    <font>
      <sz val="8"/>
      <name val="Arial"/>
      <family val="2"/>
    </font>
    <font>
      <b/>
      <sz val="12"/>
      <color indexed="8"/>
      <name val="Tahoma"/>
      <family val="2"/>
    </font>
    <font>
      <sz val="11"/>
      <color theme="1"/>
      <name val="Calibri"/>
      <family val="2"/>
      <scheme val="minor"/>
    </font>
    <font>
      <sz val="10"/>
      <color theme="1"/>
      <name val="Tahoma"/>
      <family val="2"/>
    </font>
    <font>
      <sz val="10"/>
      <color theme="1"/>
      <name val="Arial"/>
      <family val="2"/>
    </font>
    <font>
      <sz val="11"/>
      <color theme="1"/>
      <name val="Arial Narrow"/>
      <family val="2"/>
    </font>
    <font>
      <sz val="11"/>
      <color theme="1"/>
      <name val="Arial"/>
      <family val="2"/>
    </font>
    <font>
      <sz val="10"/>
      <name val="Times New Roman"/>
      <family val="1"/>
    </font>
    <font>
      <sz val="8"/>
      <name val="Helv"/>
    </font>
    <font>
      <sz val="11"/>
      <color indexed="8"/>
      <name val="TimesNewRomanPS"/>
    </font>
    <font>
      <b/>
      <sz val="10"/>
      <color indexed="39"/>
      <name val="Arial"/>
      <family val="2"/>
    </font>
    <font>
      <b/>
      <sz val="12"/>
      <color indexed="8"/>
      <name val="Arial"/>
      <family val="2"/>
    </font>
    <font>
      <sz val="8"/>
      <color indexed="62"/>
      <name val="Arial"/>
      <family val="2"/>
    </font>
    <font>
      <sz val="8"/>
      <color indexed="18"/>
      <name val="Arial"/>
      <family val="2"/>
    </font>
    <font>
      <b/>
      <sz val="8"/>
      <color indexed="8"/>
      <name val="Arial"/>
      <family val="2"/>
    </font>
    <font>
      <sz val="10"/>
      <color indexed="39"/>
      <name val="Arial"/>
      <family val="2"/>
    </font>
    <font>
      <sz val="8"/>
      <color indexed="12"/>
      <name val="Arial"/>
      <family val="2"/>
    </font>
    <font>
      <u val="singleAccounting"/>
      <sz val="10"/>
      <name val="Arial"/>
      <family val="2"/>
    </font>
    <font>
      <b/>
      <u val="singleAccounting"/>
      <sz val="10"/>
      <name val="Arial"/>
      <family val="2"/>
    </font>
    <font>
      <u/>
      <sz val="10"/>
      <color indexed="8"/>
      <name val="Arial"/>
      <family val="2"/>
    </font>
    <font>
      <b/>
      <sz val="10"/>
      <color rgb="FFFF0000"/>
      <name val="Arial"/>
      <family val="2"/>
    </font>
    <font>
      <sz val="10"/>
      <name val="Arial"/>
      <family val="2"/>
    </font>
    <font>
      <sz val="10"/>
      <name val="Arial"/>
      <family val="2"/>
    </font>
    <font>
      <strike/>
      <sz val="12"/>
      <name val="Arial"/>
      <family val="2"/>
    </font>
    <font>
      <strike/>
      <sz val="10"/>
      <name val="Arial"/>
      <family val="2"/>
    </font>
    <font>
      <u val="singleAccounting"/>
      <sz val="10"/>
      <color theme="1"/>
      <name val="Arial"/>
      <family val="2"/>
    </font>
    <font>
      <b/>
      <i/>
      <strike/>
      <sz val="10"/>
      <name val="Times New Roman"/>
      <family val="1"/>
    </font>
    <font>
      <sz val="12"/>
      <name val="Times New Roman"/>
      <family val="1"/>
    </font>
    <font>
      <strike/>
      <sz val="10"/>
      <name val="Times New Roman"/>
      <family val="1"/>
    </font>
    <font>
      <u/>
      <sz val="10"/>
      <color theme="1"/>
      <name val="Arial"/>
      <family val="2"/>
    </font>
    <font>
      <b/>
      <sz val="10"/>
      <color theme="1"/>
      <name val="Arial"/>
      <family val="2"/>
    </font>
    <font>
      <sz val="10"/>
      <color rgb="FFFF0000"/>
      <name val="Arial"/>
      <family val="2"/>
    </font>
    <font>
      <strike/>
      <sz val="12"/>
      <color rgb="FFFF0000"/>
      <name val="Arial"/>
      <family val="2"/>
    </font>
    <font>
      <b/>
      <u/>
      <sz val="10"/>
      <name val="Arial"/>
      <family val="2"/>
    </font>
    <font>
      <sz val="11"/>
      <name val="Calibri"/>
      <family val="2"/>
    </font>
    <font>
      <b/>
      <sz val="10"/>
      <color rgb="FFC00000"/>
      <name val="Arial"/>
      <family val="2"/>
    </font>
    <font>
      <sz val="9"/>
      <name val="Times New Roman"/>
      <family val="1"/>
    </font>
    <font>
      <b/>
      <sz val="9"/>
      <name val="Times New Roman"/>
      <family val="1"/>
    </font>
    <font>
      <b/>
      <strike/>
      <sz val="10"/>
      <name val="Times New Roman"/>
      <family val="1"/>
    </font>
    <font>
      <b/>
      <strike/>
      <u/>
      <sz val="10"/>
      <name val="Arial"/>
      <family val="2"/>
    </font>
    <font>
      <b/>
      <strike/>
      <u val="singleAccounting"/>
      <sz val="10"/>
      <name val="Arial"/>
      <family val="2"/>
    </font>
    <font>
      <sz val="11"/>
      <color rgb="FF002060"/>
      <name val="Arial"/>
      <family val="2"/>
    </font>
    <font>
      <sz val="10.8"/>
      <name val="Arial"/>
      <family val="2"/>
    </font>
    <font>
      <strike/>
      <u val="singleAccounting"/>
      <sz val="10"/>
      <name val="Arial"/>
      <family val="2"/>
    </font>
    <font>
      <i/>
      <sz val="10"/>
      <name val="Arial"/>
      <family val="2"/>
    </font>
    <font>
      <b/>
      <strike/>
      <sz val="12"/>
      <name val="Arial"/>
      <family val="2"/>
    </font>
    <font>
      <b/>
      <u/>
      <sz val="11"/>
      <color theme="1"/>
      <name val="Calibri"/>
      <family val="2"/>
      <scheme val="minor"/>
    </font>
    <font>
      <sz val="11"/>
      <name val="Arial"/>
      <family val="2"/>
    </font>
    <font>
      <strike/>
      <sz val="12"/>
      <name val="Times New Roman"/>
      <family val="1"/>
    </font>
    <font>
      <b/>
      <i/>
      <sz val="12"/>
      <name val="Arial"/>
      <family val="2"/>
    </font>
    <font>
      <strike/>
      <u/>
      <sz val="10"/>
      <name val="Arial"/>
      <family val="2"/>
    </font>
  </fonts>
  <fills count="55">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9"/>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9"/>
        <bgColor indexed="64"/>
      </patternFill>
    </fill>
    <fill>
      <patternFill patternType="mediumGray">
        <fgColor indexed="22"/>
      </patternFill>
    </fill>
    <fill>
      <patternFill patternType="solid">
        <fgColor indexed="31"/>
        <bgColor indexed="64"/>
      </patternFill>
    </fill>
    <fill>
      <patternFill patternType="solid">
        <fgColor indexed="35"/>
        <bgColor indexed="64"/>
      </patternFill>
    </fill>
    <fill>
      <patternFill patternType="solid">
        <fgColor indexed="26"/>
        <bgColor indexed="9"/>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rgb="FFFFFF99"/>
        <bgColor indexed="64"/>
      </patternFill>
    </fill>
    <fill>
      <patternFill patternType="solid">
        <fgColor indexed="55"/>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1"/>
        <bgColor indexed="64"/>
      </patternFill>
    </fill>
    <fill>
      <patternFill patternType="solid">
        <fgColor indexed="9"/>
        <bgColor indexed="15"/>
      </patternFill>
    </fill>
    <fill>
      <patternFill patternType="solid">
        <fgColor indexed="14"/>
        <bgColor indexed="64"/>
      </patternFill>
    </fill>
    <fill>
      <patternFill patternType="solid">
        <fgColor theme="4" tint="0.39997558519241921"/>
        <bgColor indexed="64"/>
      </patternFill>
    </fill>
    <fill>
      <patternFill patternType="solid">
        <fgColor rgb="FFFFFFCC"/>
        <bgColor indexed="64"/>
      </patternFill>
    </fill>
    <fill>
      <patternFill patternType="solid">
        <fgColor rgb="FFFFFFFF"/>
        <bgColor indexed="64"/>
      </patternFill>
    </fill>
    <fill>
      <patternFill patternType="solid">
        <fgColor rgb="FFFFCCFF"/>
        <bgColor indexed="64"/>
      </patternFill>
    </fill>
    <fill>
      <patternFill patternType="solid">
        <fgColor theme="4" tint="0.79998168889431442"/>
        <bgColor indexed="64"/>
      </patternFill>
    </fill>
  </fills>
  <borders count="7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double">
        <color indexed="64"/>
      </bottom>
      <diagonal/>
    </border>
    <border>
      <left/>
      <right/>
      <top/>
      <bottom style="double">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right/>
      <top style="thin">
        <color auto="1"/>
      </top>
      <bottom/>
      <diagonal/>
    </border>
    <border>
      <left/>
      <right/>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double">
        <color indexed="64"/>
      </left>
      <right style="double">
        <color indexed="64"/>
      </right>
      <top style="double">
        <color indexed="64"/>
      </top>
      <bottom style="double">
        <color indexed="64"/>
      </bottom>
      <diagonal/>
    </border>
    <border>
      <left/>
      <right style="medium">
        <color indexed="64"/>
      </right>
      <top style="medium">
        <color indexed="64"/>
      </top>
      <bottom style="thin">
        <color indexed="64"/>
      </bottom>
      <diagonal/>
    </border>
    <border>
      <left/>
      <right/>
      <top style="medium">
        <color indexed="64"/>
      </top>
      <bottom style="double">
        <color indexed="64"/>
      </bottom>
      <diagonal/>
    </border>
    <border>
      <left style="thin">
        <color auto="1"/>
      </left>
      <right/>
      <top/>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s>
  <cellStyleXfs count="37700">
    <xf numFmtId="0" fontId="0" fillId="0" borderId="0"/>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58" fillId="14" borderId="0" applyNumberFormat="0" applyBorder="0" applyAlignment="0" applyProtection="0"/>
    <xf numFmtId="0" fontId="58" fillId="4" borderId="0" applyNumberFormat="0" applyBorder="0" applyAlignment="0" applyProtection="0"/>
    <xf numFmtId="0" fontId="58" fillId="11"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21" borderId="0" applyNumberFormat="0" applyBorder="0" applyAlignment="0" applyProtection="0"/>
    <xf numFmtId="0" fontId="59" fillId="5" borderId="0" applyNumberFormat="0" applyBorder="0" applyAlignment="0" applyProtection="0"/>
    <xf numFmtId="0" fontId="78" fillId="0" borderId="0" applyNumberFormat="0" applyFill="0" applyBorder="0" applyAlignment="0" applyProtection="0"/>
    <xf numFmtId="0" fontId="66" fillId="12" borderId="1" applyNumberFormat="0" applyAlignment="0" applyProtection="0"/>
    <xf numFmtId="0" fontId="60" fillId="22" borderId="2" applyNumberFormat="0" applyAlignment="0" applyProtection="0"/>
    <xf numFmtId="172" fontId="53" fillId="0" borderId="0">
      <alignment horizontal="center" wrapText="1"/>
    </xf>
    <xf numFmtId="43" fontId="35" fillId="0" borderId="0" applyFont="0" applyFill="0" applyBorder="0" applyAlignment="0" applyProtection="0"/>
    <xf numFmtId="178" fontId="79" fillId="0" borderId="0"/>
    <xf numFmtId="178" fontId="79" fillId="0" borderId="0"/>
    <xf numFmtId="178" fontId="79" fillId="0" borderId="0"/>
    <xf numFmtId="178" fontId="79" fillId="0" borderId="0"/>
    <xf numFmtId="178" fontId="79" fillId="0" borderId="0"/>
    <xf numFmtId="178" fontId="79" fillId="0" borderId="0"/>
    <xf numFmtId="178" fontId="79" fillId="0" borderId="0"/>
    <xf numFmtId="178" fontId="79" fillId="0" borderId="0"/>
    <xf numFmtId="41" fontId="49" fillId="0" borderId="0" applyFont="0" applyFill="0" applyBorder="0" applyAlignment="0" applyProtection="0"/>
    <xf numFmtId="41" fontId="4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87" fillId="0" borderId="0" applyFont="0" applyFill="0" applyBorder="0" applyAlignment="0" applyProtection="0"/>
    <xf numFmtId="43" fontId="4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4"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3" fillId="0" borderId="0" applyFont="0" applyFill="0" applyBorder="0" applyAlignment="0" applyProtection="0"/>
    <xf numFmtId="43" fontId="35" fillId="0" borderId="0" applyFont="0" applyFill="0" applyBorder="0" applyAlignment="0" applyProtection="0"/>
    <xf numFmtId="43" fontId="31" fillId="0" borderId="0" applyFont="0" applyFill="0" applyBorder="0" applyAlignment="0" applyProtection="0"/>
    <xf numFmtId="43" fontId="3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3" fontId="35" fillId="23" borderId="0" applyFont="0" applyFill="0" applyBorder="0" applyAlignment="0" applyProtection="0"/>
    <xf numFmtId="0" fontId="80" fillId="0" borderId="0"/>
    <xf numFmtId="0" fontId="35" fillId="0" borderId="3"/>
    <xf numFmtId="173" fontId="39" fillId="0" borderId="0">
      <protection locked="0"/>
    </xf>
    <xf numFmtId="44" fontId="35" fillId="0" borderId="0" applyFont="0" applyFill="0" applyBorder="0" applyAlignment="0" applyProtection="0"/>
    <xf numFmtId="179" fontId="35" fillId="0" borderId="0" applyFont="0" applyFill="0" applyBorder="0" applyAlignment="0" applyProtection="0"/>
    <xf numFmtId="180" fontId="81" fillId="0" borderId="0" applyFont="0" applyFill="0" applyBorder="0" applyAlignment="0" applyProtection="0"/>
    <xf numFmtId="44" fontId="42"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3" fillId="0" borderId="0" applyFont="0" applyFill="0" applyBorder="0" applyAlignment="0" applyProtection="0"/>
    <xf numFmtId="44" fontId="49" fillId="0" borderId="0" applyFont="0" applyFill="0" applyBorder="0" applyAlignment="0" applyProtection="0"/>
    <xf numFmtId="5" fontId="35" fillId="23" borderId="0" applyFont="0" applyFill="0" applyBorder="0" applyAlignment="0" applyProtection="0"/>
    <xf numFmtId="0" fontId="35" fillId="23" borderId="0" applyFont="0" applyFill="0" applyBorder="0" applyAlignment="0" applyProtection="0"/>
    <xf numFmtId="0" fontId="61" fillId="0" borderId="0" applyNumberFormat="0" applyFill="0" applyBorder="0" applyAlignment="0" applyProtection="0"/>
    <xf numFmtId="2" fontId="35" fillId="23" borderId="0" applyFont="0" applyFill="0" applyBorder="0" applyAlignment="0" applyProtection="0"/>
    <xf numFmtId="0" fontId="40" fillId="0" borderId="0">
      <alignment horizontal="left"/>
    </xf>
    <xf numFmtId="164" fontId="81" fillId="0" borderId="0" applyFont="0" applyFill="0" applyBorder="0" applyAlignment="0" applyProtection="0"/>
    <xf numFmtId="181" fontId="35" fillId="0" borderId="0" applyFont="0" applyFill="0" applyBorder="0" applyAlignment="0" applyProtection="0">
      <alignment horizontal="center"/>
    </xf>
    <xf numFmtId="164" fontId="81" fillId="0" borderId="0" applyFont="0" applyFill="0" applyBorder="0" applyAlignment="0" applyProtection="0"/>
    <xf numFmtId="0" fontId="67" fillId="7" borderId="0" applyNumberFormat="0" applyBorder="0" applyAlignment="0" applyProtection="0"/>
    <xf numFmtId="38" fontId="52" fillId="24" borderId="0" applyNumberFormat="0" applyBorder="0" applyAlignment="0" applyProtection="0"/>
    <xf numFmtId="0" fontId="82" fillId="0" borderId="4">
      <alignment horizontal="left"/>
    </xf>
    <xf numFmtId="0" fontId="37" fillId="0" borderId="5" applyNumberFormat="0" applyAlignment="0" applyProtection="0">
      <alignment horizontal="left" vertical="center"/>
    </xf>
    <xf numFmtId="0" fontId="37" fillId="0" borderId="6">
      <alignment horizontal="left" vertical="center"/>
    </xf>
    <xf numFmtId="14" fontId="36" fillId="25" borderId="7">
      <alignment horizontal="center" vertical="center" wrapText="1"/>
    </xf>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10" fontId="52" fillId="26" borderId="11" applyNumberFormat="0" applyBorder="0" applyAlignment="0" applyProtection="0"/>
    <xf numFmtId="0" fontId="62" fillId="8" borderId="1" applyNumberFormat="0" applyAlignment="0" applyProtection="0"/>
    <xf numFmtId="174" fontId="39" fillId="0" borderId="0">
      <alignment horizontal="center"/>
      <protection locked="0"/>
    </xf>
    <xf numFmtId="0" fontId="72" fillId="0" borderId="12" applyNumberFormat="0" applyFill="0" applyAlignment="0" applyProtection="0"/>
    <xf numFmtId="0" fontId="73" fillId="27" borderId="0" applyNumberFormat="0" applyBorder="0" applyAlignment="0" applyProtection="0"/>
    <xf numFmtId="37" fontId="83" fillId="0" borderId="0"/>
    <xf numFmtId="182" fontId="84" fillId="0" borderId="0"/>
    <xf numFmtId="0" fontId="33" fillId="0" borderId="0"/>
    <xf numFmtId="0" fontId="35" fillId="0" borderId="0"/>
    <xf numFmtId="0" fontId="35" fillId="0" borderId="0"/>
    <xf numFmtId="0" fontId="35" fillId="0" borderId="0"/>
    <xf numFmtId="0" fontId="35" fillId="0" borderId="0"/>
    <xf numFmtId="0" fontId="33" fillId="0" borderId="0"/>
    <xf numFmtId="0" fontId="35" fillId="0" borderId="0"/>
    <xf numFmtId="0" fontId="32" fillId="0" borderId="0"/>
    <xf numFmtId="0" fontId="33" fillId="0" borderId="0"/>
    <xf numFmtId="0" fontId="32" fillId="0" borderId="0"/>
    <xf numFmtId="0" fontId="32" fillId="0" borderId="0"/>
    <xf numFmtId="0" fontId="35" fillId="0" borderId="0">
      <alignment vertical="top"/>
    </xf>
    <xf numFmtId="0" fontId="35" fillId="0" borderId="0"/>
    <xf numFmtId="0" fontId="35" fillId="0" borderId="0">
      <alignment vertical="top"/>
    </xf>
    <xf numFmtId="0" fontId="32" fillId="0" borderId="0"/>
    <xf numFmtId="0" fontId="33" fillId="0" borderId="0"/>
    <xf numFmtId="0" fontId="33" fillId="0" borderId="0"/>
    <xf numFmtId="176" fontId="35" fillId="0" borderId="0"/>
    <xf numFmtId="0" fontId="32" fillId="0" borderId="0"/>
    <xf numFmtId="176" fontId="35" fillId="0" borderId="0"/>
    <xf numFmtId="0" fontId="32" fillId="0" borderId="0"/>
    <xf numFmtId="0" fontId="74" fillId="0" borderId="0"/>
    <xf numFmtId="0" fontId="35" fillId="0" borderId="0"/>
    <xf numFmtId="0" fontId="90" fillId="0" borderId="0"/>
    <xf numFmtId="0" fontId="90" fillId="0" borderId="0"/>
    <xf numFmtId="0" fontId="35" fillId="0" borderId="0"/>
    <xf numFmtId="0" fontId="35" fillId="0" borderId="0"/>
    <xf numFmtId="0" fontId="90" fillId="0" borderId="0"/>
    <xf numFmtId="0" fontId="90" fillId="0" borderId="0"/>
    <xf numFmtId="0" fontId="42" fillId="0" borderId="0"/>
    <xf numFmtId="0" fontId="42" fillId="0" borderId="0"/>
    <xf numFmtId="0" fontId="35" fillId="0" borderId="0"/>
    <xf numFmtId="0" fontId="35" fillId="0" borderId="0"/>
    <xf numFmtId="176" fontId="35" fillId="0" borderId="0"/>
    <xf numFmtId="176" fontId="35" fillId="0" borderId="0"/>
    <xf numFmtId="0" fontId="35" fillId="0" borderId="0"/>
    <xf numFmtId="0" fontId="35" fillId="0" borderId="0"/>
    <xf numFmtId="0" fontId="35" fillId="0" borderId="0"/>
    <xf numFmtId="0" fontId="90" fillId="0" borderId="0"/>
    <xf numFmtId="169" fontId="43" fillId="0" borderId="0" applyProtection="0"/>
    <xf numFmtId="0" fontId="91" fillId="0" borderId="0"/>
    <xf numFmtId="0" fontId="92" fillId="0" borderId="0"/>
    <xf numFmtId="0" fontId="92" fillId="0" borderId="0"/>
    <xf numFmtId="0" fontId="93" fillId="0" borderId="0"/>
    <xf numFmtId="0" fontId="5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9" fillId="0" borderId="0"/>
    <xf numFmtId="0" fontId="35" fillId="0" borderId="0"/>
    <xf numFmtId="0" fontId="35" fillId="0" borderId="0">
      <alignment vertical="top"/>
    </xf>
    <xf numFmtId="0" fontId="35" fillId="0" borderId="0"/>
    <xf numFmtId="0" fontId="90" fillId="0" borderId="0"/>
    <xf numFmtId="0" fontId="35" fillId="0" borderId="0"/>
    <xf numFmtId="0" fontId="35" fillId="0" borderId="0"/>
    <xf numFmtId="0" fontId="35" fillId="0" borderId="0"/>
    <xf numFmtId="0" fontId="32" fillId="0" borderId="0"/>
    <xf numFmtId="0" fontId="9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9" fillId="0" borderId="0"/>
    <xf numFmtId="0" fontId="35" fillId="0" borderId="0"/>
    <xf numFmtId="0" fontId="35" fillId="0" borderId="0"/>
    <xf numFmtId="0" fontId="35" fillId="0" borderId="0"/>
    <xf numFmtId="0" fontId="35" fillId="0" borderId="0"/>
    <xf numFmtId="165" fontId="4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xf numFmtId="0" fontId="35" fillId="0" borderId="0"/>
    <xf numFmtId="0" fontId="35" fillId="0" borderId="0"/>
    <xf numFmtId="0" fontId="35" fillId="0" borderId="0"/>
    <xf numFmtId="0" fontId="35" fillId="0" borderId="0"/>
    <xf numFmtId="0" fontId="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xf numFmtId="0" fontId="33" fillId="0" borderId="0"/>
    <xf numFmtId="0" fontId="35" fillId="0" borderId="0"/>
    <xf numFmtId="0" fontId="32" fillId="0" borderId="0"/>
    <xf numFmtId="0" fontId="35" fillId="0" borderId="0"/>
    <xf numFmtId="0" fontId="35" fillId="0" borderId="0"/>
    <xf numFmtId="0" fontId="33" fillId="0" borderId="0"/>
    <xf numFmtId="0" fontId="33" fillId="0" borderId="0"/>
    <xf numFmtId="0" fontId="35" fillId="0" borderId="0"/>
    <xf numFmtId="0" fontId="32" fillId="0" borderId="0"/>
    <xf numFmtId="0" fontId="35" fillId="0" borderId="0"/>
    <xf numFmtId="0" fontId="35" fillId="0" borderId="0"/>
    <xf numFmtId="169" fontId="43" fillId="0" borderId="0" applyProtection="0"/>
    <xf numFmtId="0" fontId="35" fillId="0" borderId="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35"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183" fontId="85" fillId="28" borderId="0"/>
    <xf numFmtId="0" fontId="64" fillId="12" borderId="14" applyNumberFormat="0" applyAlignment="0" applyProtection="0"/>
    <xf numFmtId="0" fontId="80" fillId="0" borderId="0"/>
    <xf numFmtId="9" fontId="35" fillId="0" borderId="0" applyFont="0" applyFill="0" applyBorder="0" applyAlignment="0" applyProtection="0"/>
    <xf numFmtId="184" fontId="54" fillId="0" borderId="0" applyFont="0" applyFill="0" applyBorder="0" applyAlignment="0" applyProtection="0"/>
    <xf numFmtId="10" fontId="35" fillId="0" borderId="0" applyFont="0" applyFill="0" applyBorder="0" applyAlignment="0" applyProtection="0"/>
    <xf numFmtId="9" fontId="4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0" fillId="0" borderId="0" applyFont="0" applyFill="0" applyBorder="0" applyAlignment="0" applyProtection="0"/>
    <xf numFmtId="9" fontId="35" fillId="0" borderId="0" applyFont="0" applyFill="0" applyBorder="0" applyAlignment="0" applyProtection="0"/>
    <xf numFmtId="9" fontId="33"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15"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0" fontId="55" fillId="0" borderId="7">
      <alignment horizontal="center"/>
    </xf>
    <xf numFmtId="3" fontId="54" fillId="0" borderId="0" applyFont="0" applyFill="0" applyBorder="0" applyAlignment="0" applyProtection="0"/>
    <xf numFmtId="0" fontId="54" fillId="29" borderId="0" applyNumberFormat="0" applyFont="0" applyBorder="0" applyAlignment="0" applyProtection="0"/>
    <xf numFmtId="0" fontId="35" fillId="0" borderId="0" applyNumberFormat="0" applyFill="0" applyBorder="0" applyAlignment="0" applyProtection="0"/>
    <xf numFmtId="0" fontId="35" fillId="30" borderId="14" applyNumberFormat="0" applyProtection="0">
      <alignment horizontal="left" vertical="center" indent="1"/>
    </xf>
    <xf numFmtId="4" fontId="49" fillId="31" borderId="14" applyNumberFormat="0" applyProtection="0">
      <alignment horizontal="right" vertical="center"/>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45" fillId="32" borderId="0"/>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175" fontId="35" fillId="0" borderId="0">
      <alignment horizontal="left" wrapText="1"/>
    </xf>
    <xf numFmtId="0" fontId="35" fillId="24" borderId="3" applyNumberFormat="0" applyFont="0" applyAlignment="0"/>
    <xf numFmtId="0" fontId="41" fillId="0" borderId="0" applyFill="0" applyBorder="0" applyProtection="0">
      <alignment horizontal="left" vertical="top"/>
    </xf>
    <xf numFmtId="40" fontId="86" fillId="0" borderId="0"/>
    <xf numFmtId="0" fontId="75" fillId="0" borderId="0" applyNumberFormat="0" applyFill="0" applyBorder="0" applyAlignment="0" applyProtection="0"/>
    <xf numFmtId="0" fontId="65" fillId="0" borderId="15" applyNumberFormat="0" applyFill="0" applyAlignment="0" applyProtection="0"/>
    <xf numFmtId="0" fontId="63" fillId="0" borderId="0" applyNumberFormat="0" applyFill="0" applyBorder="0" applyAlignment="0" applyProtection="0"/>
    <xf numFmtId="43" fontId="29" fillId="0" borderId="0" applyFont="0" applyFill="0" applyBorder="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0" fontId="66" fillId="12" borderId="1" applyNumberFormat="0" applyAlignment="0" applyProtection="0"/>
    <xf numFmtId="41" fontId="3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4" fillId="0" borderId="0" applyFont="0" applyFill="0" applyBorder="0" applyAlignment="0" applyProtection="0"/>
    <xf numFmtId="43" fontId="35" fillId="0" borderId="0" applyNumberForma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9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186" fontId="96" fillId="0" borderId="0" applyFont="0" applyFill="0" applyBorder="0" applyProtection="0">
      <alignment horizontal="right"/>
    </xf>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187" fontId="51" fillId="0" borderId="0" applyNumberFormat="0" applyFill="0" applyBorder="0" applyAlignment="0" applyProtection="0"/>
    <xf numFmtId="37" fontId="97" fillId="0" borderId="0" applyNumberFormat="0" applyFill="0" applyBorder="0"/>
    <xf numFmtId="0" fontId="52" fillId="0" borderId="48" applyNumberFormat="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4" fillId="0" borderId="0"/>
    <xf numFmtId="0" fontId="9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54" fillId="0" borderId="0"/>
    <xf numFmtId="0" fontId="54" fillId="0" borderId="0"/>
    <xf numFmtId="165" fontId="39" fillId="0" borderId="0"/>
    <xf numFmtId="165" fontId="4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35"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52" fillId="6" borderId="13" applyNumberFormat="0" applyFon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0" fontId="64" fillId="12" borderId="14" applyNumberFormat="0" applyAlignment="0" applyProtection="0"/>
    <xf numFmtId="12" fontId="37" fillId="38" borderId="7">
      <alignment horizontal="left"/>
    </xf>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55" fillId="0" borderId="7">
      <alignment horizontal="center"/>
    </xf>
    <xf numFmtId="4" fontId="57" fillId="27" borderId="49" applyNumberFormat="0" applyProtection="0">
      <alignment vertical="center"/>
    </xf>
    <xf numFmtId="4" fontId="98" fillId="34" borderId="49" applyNumberFormat="0" applyProtection="0">
      <alignment vertical="center"/>
    </xf>
    <xf numFmtId="4" fontId="57" fillId="34" borderId="49" applyNumberFormat="0" applyProtection="0">
      <alignment vertical="center"/>
    </xf>
    <xf numFmtId="4" fontId="57" fillId="34" borderId="49" applyNumberFormat="0" applyProtection="0">
      <alignment horizontal="left" vertical="center" indent="1"/>
    </xf>
    <xf numFmtId="4" fontId="57" fillId="34" borderId="49" applyNumberFormat="0" applyProtection="0">
      <alignment horizontal="left" vertical="center" indent="1"/>
    </xf>
    <xf numFmtId="4" fontId="57" fillId="34" borderId="49" applyNumberFormat="0" applyProtection="0">
      <alignment horizontal="left" vertical="center" indent="1"/>
    </xf>
    <xf numFmtId="4" fontId="57" fillId="34" borderId="49" applyNumberFormat="0" applyProtection="0">
      <alignment horizontal="left" vertical="center" indent="1"/>
    </xf>
    <xf numFmtId="4" fontId="57" fillId="34" borderId="49" applyNumberFormat="0" applyProtection="0">
      <alignment horizontal="left" vertical="center" indent="1"/>
    </xf>
    <xf numFmtId="4" fontId="57" fillId="34" borderId="49" applyNumberFormat="0" applyProtection="0">
      <alignment horizontal="left" vertical="center" indent="1"/>
    </xf>
    <xf numFmtId="0" fontId="57" fillId="34" borderId="49" applyNumberFormat="0" applyProtection="0">
      <alignment horizontal="left" vertical="top"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4" fontId="57" fillId="39" borderId="49" applyNumberFormat="0" applyProtection="0"/>
    <xf numFmtId="4" fontId="49" fillId="5" borderId="49" applyNumberFormat="0" applyProtection="0">
      <alignment horizontal="right" vertical="center"/>
    </xf>
    <xf numFmtId="4" fontId="49" fillId="4" borderId="49" applyNumberFormat="0" applyProtection="0">
      <alignment horizontal="right" vertical="center"/>
    </xf>
    <xf numFmtId="4" fontId="49" fillId="19" borderId="49" applyNumberFormat="0" applyProtection="0">
      <alignment horizontal="right" vertical="center"/>
    </xf>
    <xf numFmtId="4" fontId="49" fillId="13" borderId="49" applyNumberFormat="0" applyProtection="0">
      <alignment horizontal="right" vertical="center"/>
    </xf>
    <xf numFmtId="4" fontId="49" fillId="17" borderId="49" applyNumberFormat="0" applyProtection="0">
      <alignment horizontal="right" vertical="center"/>
    </xf>
    <xf numFmtId="4" fontId="49" fillId="21" borderId="49" applyNumberFormat="0" applyProtection="0">
      <alignment horizontal="right" vertical="center"/>
    </xf>
    <xf numFmtId="4" fontId="49" fillId="20" borderId="49" applyNumberFormat="0" applyProtection="0">
      <alignment horizontal="right" vertical="center"/>
    </xf>
    <xf numFmtId="4" fontId="49" fillId="40" borderId="49" applyNumberFormat="0" applyProtection="0">
      <alignment horizontal="right" vertical="center"/>
    </xf>
    <xf numFmtId="4" fontId="49" fillId="11" borderId="49" applyNumberFormat="0" applyProtection="0">
      <alignment horizontal="right" vertical="center"/>
    </xf>
    <xf numFmtId="4" fontId="57" fillId="41" borderId="50" applyNumberFormat="0" applyProtection="0">
      <alignment horizontal="left" vertical="center" indent="1"/>
    </xf>
    <xf numFmtId="4" fontId="49" fillId="42" borderId="0" applyNumberFormat="0" applyProtection="0">
      <alignment horizontal="left" vertical="center" indent="1"/>
    </xf>
    <xf numFmtId="4" fontId="49" fillId="42" borderId="0" applyNumberFormat="0" applyProtection="0">
      <alignment horizontal="left" indent="1"/>
    </xf>
    <xf numFmtId="4" fontId="49" fillId="42" borderId="0" applyNumberFormat="0" applyProtection="0">
      <alignment horizontal="left" indent="1"/>
    </xf>
    <xf numFmtId="4" fontId="49" fillId="42" borderId="0" applyNumberFormat="0" applyProtection="0">
      <alignment horizontal="left" indent="1"/>
    </xf>
    <xf numFmtId="4" fontId="49" fillId="42" borderId="0" applyNumberFormat="0" applyProtection="0">
      <alignment horizontal="left" indent="1"/>
    </xf>
    <xf numFmtId="4" fontId="49" fillId="42" borderId="0" applyNumberFormat="0" applyProtection="0">
      <alignment horizontal="left" indent="1"/>
    </xf>
    <xf numFmtId="4" fontId="49" fillId="42" borderId="0" applyNumberFormat="0" applyProtection="0">
      <alignment horizontal="left" indent="1"/>
    </xf>
    <xf numFmtId="4" fontId="99" fillId="43" borderId="0" applyNumberFormat="0" applyProtection="0">
      <alignment horizontal="left" vertical="center" indent="1"/>
    </xf>
    <xf numFmtId="4" fontId="99" fillId="43" borderId="0" applyNumberFormat="0" applyProtection="0">
      <alignment horizontal="left" vertical="center" indent="1"/>
    </xf>
    <xf numFmtId="4" fontId="99" fillId="43" borderId="0" applyNumberFormat="0" applyProtection="0">
      <alignment horizontal="left" vertical="center" indent="1"/>
    </xf>
    <xf numFmtId="4" fontId="99" fillId="43" borderId="0" applyNumberFormat="0" applyProtection="0">
      <alignment horizontal="left" vertical="center" indent="1"/>
    </xf>
    <xf numFmtId="4" fontId="99" fillId="43" borderId="0" applyNumberFormat="0" applyProtection="0">
      <alignment horizontal="left" vertical="center" indent="1"/>
    </xf>
    <xf numFmtId="4" fontId="49" fillId="44" borderId="49" applyNumberFormat="0" applyProtection="0">
      <alignment horizontal="right" vertical="center"/>
    </xf>
    <xf numFmtId="4" fontId="100" fillId="0" borderId="0" applyNumberFormat="0" applyProtection="0">
      <alignment horizontal="left" vertical="center" indent="1"/>
    </xf>
    <xf numFmtId="4" fontId="101" fillId="45" borderId="0" applyNumberFormat="0" applyProtection="0">
      <alignment horizontal="left" indent="1"/>
    </xf>
    <xf numFmtId="4" fontId="101" fillId="45" borderId="0" applyNumberFormat="0" applyProtection="0">
      <alignment horizontal="left" indent="1"/>
    </xf>
    <xf numFmtId="4" fontId="101" fillId="45" borderId="0" applyNumberFormat="0" applyProtection="0">
      <alignment horizontal="left" indent="1"/>
    </xf>
    <xf numFmtId="4" fontId="101" fillId="45" borderId="0" applyNumberFormat="0" applyProtection="0">
      <alignment horizontal="left" indent="1"/>
    </xf>
    <xf numFmtId="4" fontId="101" fillId="45" borderId="0" applyNumberFormat="0" applyProtection="0">
      <alignment horizontal="left" indent="1"/>
    </xf>
    <xf numFmtId="4" fontId="101" fillId="45" borderId="0" applyNumberFormat="0" applyProtection="0">
      <alignment horizontal="left" indent="1"/>
    </xf>
    <xf numFmtId="4" fontId="101" fillId="45" borderId="0" applyNumberFormat="0" applyProtection="0">
      <alignment horizontal="left" indent="1"/>
    </xf>
    <xf numFmtId="4" fontId="102" fillId="0" borderId="0" applyNumberFormat="0" applyProtection="0">
      <alignment horizontal="left" vertical="center" indent="1"/>
    </xf>
    <xf numFmtId="4" fontId="102" fillId="46" borderId="0" applyNumberFormat="0" applyProtection="0"/>
    <xf numFmtId="4" fontId="102" fillId="46" borderId="0" applyNumberFormat="0" applyProtection="0"/>
    <xf numFmtId="4" fontId="102" fillId="46" borderId="0" applyNumberFormat="0" applyProtection="0"/>
    <xf numFmtId="4" fontId="102" fillId="46" borderId="0" applyNumberFormat="0" applyProtection="0"/>
    <xf numFmtId="4" fontId="102" fillId="46" borderId="0" applyNumberFormat="0" applyProtection="0"/>
    <xf numFmtId="4" fontId="102" fillId="46" borderId="0" applyNumberFormat="0" applyProtection="0"/>
    <xf numFmtId="4" fontId="102" fillId="46" borderId="0" applyNumberFormat="0" applyProtection="0"/>
    <xf numFmtId="0" fontId="35" fillId="43" borderId="49" applyNumberFormat="0" applyProtection="0">
      <alignment horizontal="left" vertical="center" indent="1"/>
    </xf>
    <xf numFmtId="0" fontId="35" fillId="43" borderId="49" applyNumberFormat="0" applyProtection="0">
      <alignment horizontal="left" vertical="center" indent="1"/>
    </xf>
    <xf numFmtId="0" fontId="35" fillId="43" borderId="49" applyNumberFormat="0" applyProtection="0">
      <alignment horizontal="left" vertical="center" indent="1"/>
    </xf>
    <xf numFmtId="0" fontId="35" fillId="43" borderId="49" applyNumberFormat="0" applyProtection="0">
      <alignment horizontal="left" vertical="center" indent="1"/>
    </xf>
    <xf numFmtId="0" fontId="35" fillId="43" borderId="49" applyNumberFormat="0" applyProtection="0">
      <alignment horizontal="left" vertical="center" indent="1"/>
    </xf>
    <xf numFmtId="0" fontId="35" fillId="43" borderId="49" applyNumberFormat="0" applyProtection="0">
      <alignment horizontal="left" vertical="top" indent="1"/>
    </xf>
    <xf numFmtId="0" fontId="35" fillId="43" borderId="49" applyNumberFormat="0" applyProtection="0">
      <alignment horizontal="left" vertical="top" indent="1"/>
    </xf>
    <xf numFmtId="0" fontId="35" fillId="43" borderId="49" applyNumberFormat="0" applyProtection="0">
      <alignment horizontal="left" vertical="top" indent="1"/>
    </xf>
    <xf numFmtId="0" fontId="35" fillId="43" borderId="49" applyNumberFormat="0" applyProtection="0">
      <alignment horizontal="left" vertical="top" indent="1"/>
    </xf>
    <xf numFmtId="0" fontId="35" fillId="43" borderId="49" applyNumberFormat="0" applyProtection="0">
      <alignment horizontal="left" vertical="top" indent="1"/>
    </xf>
    <xf numFmtId="0" fontId="35" fillId="39" borderId="49" applyNumberFormat="0" applyProtection="0">
      <alignment horizontal="left" vertical="center" indent="1"/>
    </xf>
    <xf numFmtId="0" fontId="35" fillId="39" borderId="49" applyNumberFormat="0" applyProtection="0">
      <alignment horizontal="left" vertical="center" indent="1"/>
    </xf>
    <xf numFmtId="0" fontId="35" fillId="39" borderId="49" applyNumberFormat="0" applyProtection="0">
      <alignment horizontal="left" vertical="center" indent="1"/>
    </xf>
    <xf numFmtId="0" fontId="35" fillId="39" borderId="49" applyNumberFormat="0" applyProtection="0">
      <alignment horizontal="left" vertical="center" indent="1"/>
    </xf>
    <xf numFmtId="0" fontId="35" fillId="39" borderId="49" applyNumberFormat="0" applyProtection="0">
      <alignment horizontal="left" vertical="center" indent="1"/>
    </xf>
    <xf numFmtId="0" fontId="35" fillId="39" borderId="49" applyNumberFormat="0" applyProtection="0">
      <alignment horizontal="left" vertical="top" indent="1"/>
    </xf>
    <xf numFmtId="0" fontId="35" fillId="39" borderId="49" applyNumberFormat="0" applyProtection="0">
      <alignment horizontal="left" vertical="top" indent="1"/>
    </xf>
    <xf numFmtId="0" fontId="35" fillId="39" borderId="49" applyNumberFormat="0" applyProtection="0">
      <alignment horizontal="left" vertical="top" indent="1"/>
    </xf>
    <xf numFmtId="0" fontId="35" fillId="39" borderId="49" applyNumberFormat="0" applyProtection="0">
      <alignment horizontal="left" vertical="top" indent="1"/>
    </xf>
    <xf numFmtId="0" fontId="35" fillId="39" borderId="49" applyNumberFormat="0" applyProtection="0">
      <alignment horizontal="left" vertical="top" indent="1"/>
    </xf>
    <xf numFmtId="0" fontId="35" fillId="36" borderId="49" applyNumberFormat="0" applyProtection="0">
      <alignment horizontal="left" vertical="center" indent="1"/>
    </xf>
    <xf numFmtId="0" fontId="35" fillId="36" borderId="49" applyNumberFormat="0" applyProtection="0">
      <alignment horizontal="left" vertical="center" indent="1"/>
    </xf>
    <xf numFmtId="0" fontId="35" fillId="36" borderId="49" applyNumberFormat="0" applyProtection="0">
      <alignment horizontal="left" vertical="center" indent="1"/>
    </xf>
    <xf numFmtId="0" fontId="35" fillId="36" borderId="49" applyNumberFormat="0" applyProtection="0">
      <alignment horizontal="left" vertical="center" indent="1"/>
    </xf>
    <xf numFmtId="0" fontId="35" fillId="36" borderId="49" applyNumberFormat="0" applyProtection="0">
      <alignment horizontal="left" vertical="center" indent="1"/>
    </xf>
    <xf numFmtId="0" fontId="35" fillId="36" borderId="49" applyNumberFormat="0" applyProtection="0">
      <alignment horizontal="left" vertical="top" indent="1"/>
    </xf>
    <xf numFmtId="0" fontId="35" fillId="36" borderId="49" applyNumberFormat="0" applyProtection="0">
      <alignment horizontal="left" vertical="top" indent="1"/>
    </xf>
    <xf numFmtId="0" fontId="35" fillId="36" borderId="49" applyNumberFormat="0" applyProtection="0">
      <alignment horizontal="left" vertical="top" indent="1"/>
    </xf>
    <xf numFmtId="0" fontId="35" fillId="36" borderId="49" applyNumberFormat="0" applyProtection="0">
      <alignment horizontal="left" vertical="top" indent="1"/>
    </xf>
    <xf numFmtId="0" fontId="35" fillId="36" borderId="49" applyNumberFormat="0" applyProtection="0">
      <alignment horizontal="left" vertical="top" indent="1"/>
    </xf>
    <xf numFmtId="0" fontId="35" fillId="47" borderId="49" applyNumberFormat="0" applyProtection="0">
      <alignment horizontal="left" vertical="center" indent="1"/>
    </xf>
    <xf numFmtId="0" fontId="35" fillId="47" borderId="49" applyNumberFormat="0" applyProtection="0">
      <alignment horizontal="left" vertical="center" indent="1"/>
    </xf>
    <xf numFmtId="0" fontId="35" fillId="47" borderId="49" applyNumberFormat="0" applyProtection="0">
      <alignment horizontal="left" vertical="center" indent="1"/>
    </xf>
    <xf numFmtId="0" fontId="35" fillId="47" borderId="49" applyNumberFormat="0" applyProtection="0">
      <alignment horizontal="left" vertical="center" indent="1"/>
    </xf>
    <xf numFmtId="0" fontId="35" fillId="47" borderId="49" applyNumberFormat="0" applyProtection="0">
      <alignment horizontal="left" vertical="center" indent="1"/>
    </xf>
    <xf numFmtId="0" fontId="35" fillId="47" borderId="49" applyNumberFormat="0" applyProtection="0">
      <alignment horizontal="left" vertical="top" indent="1"/>
    </xf>
    <xf numFmtId="0" fontId="35" fillId="47" borderId="49" applyNumberFormat="0" applyProtection="0">
      <alignment horizontal="left" vertical="top" indent="1"/>
    </xf>
    <xf numFmtId="0" fontId="35" fillId="47" borderId="49" applyNumberFormat="0" applyProtection="0">
      <alignment horizontal="left" vertical="top" indent="1"/>
    </xf>
    <xf numFmtId="0" fontId="35" fillId="47" borderId="49" applyNumberFormat="0" applyProtection="0">
      <alignment horizontal="left" vertical="top" indent="1"/>
    </xf>
    <xf numFmtId="0" fontId="35" fillId="47" borderId="49" applyNumberFormat="0" applyProtection="0">
      <alignment horizontal="left" vertical="top" indent="1"/>
    </xf>
    <xf numFmtId="4" fontId="49" fillId="26" borderId="49" applyNumberFormat="0" applyProtection="0">
      <alignment vertical="center"/>
    </xf>
    <xf numFmtId="4" fontId="103" fillId="26" borderId="49" applyNumberFormat="0" applyProtection="0">
      <alignment vertical="center"/>
    </xf>
    <xf numFmtId="4" fontId="49" fillId="26" borderId="49" applyNumberFormat="0" applyProtection="0">
      <alignment horizontal="left" vertical="center" indent="1"/>
    </xf>
    <xf numFmtId="0" fontId="49" fillId="26" borderId="49" applyNumberFormat="0" applyProtection="0">
      <alignment horizontal="left" vertical="top" indent="1"/>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31" borderId="14" applyNumberFormat="0" applyProtection="0">
      <alignment horizontal="right" vertical="center"/>
    </xf>
    <xf numFmtId="4" fontId="49" fillId="0" borderId="49" applyNumberFormat="0" applyProtection="0">
      <alignment horizontal="right" vertical="center"/>
    </xf>
    <xf numFmtId="4" fontId="103" fillId="42" borderId="49" applyNumberFormat="0" applyProtection="0">
      <alignment horizontal="right" vertical="center"/>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4" fontId="49" fillId="44" borderId="49"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4" fontId="49" fillId="0" borderId="49"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35" fillId="30" borderId="14" applyNumberFormat="0" applyProtection="0">
      <alignment horizontal="left" vertical="center" indent="1"/>
    </xf>
    <xf numFmtId="0" fontId="49" fillId="39" borderId="49" applyNumberFormat="0" applyProtection="0">
      <alignment horizontal="left" vertical="top"/>
    </xf>
    <xf numFmtId="4" fontId="46" fillId="0" borderId="0" applyNumberFormat="0" applyProtection="0">
      <alignment horizontal="left" vertical="center"/>
    </xf>
    <xf numFmtId="4" fontId="45" fillId="48" borderId="0" applyNumberFormat="0" applyProtection="0">
      <alignment horizontal="left"/>
    </xf>
    <xf numFmtId="4" fontId="45" fillId="48" borderId="0" applyNumberFormat="0" applyProtection="0">
      <alignment horizontal="left"/>
    </xf>
    <xf numFmtId="4" fontId="45" fillId="48" borderId="0" applyNumberFormat="0" applyProtection="0">
      <alignment horizontal="left"/>
    </xf>
    <xf numFmtId="4" fontId="45" fillId="48" borderId="0" applyNumberFormat="0" applyProtection="0">
      <alignment horizontal="left"/>
    </xf>
    <xf numFmtId="4" fontId="45" fillId="48" borderId="0" applyNumberFormat="0" applyProtection="0">
      <alignment horizontal="left"/>
    </xf>
    <xf numFmtId="4" fontId="45" fillId="48" borderId="0" applyNumberFormat="0" applyProtection="0">
      <alignment horizontal="left"/>
    </xf>
    <xf numFmtId="4" fontId="45" fillId="48" borderId="0" applyNumberFormat="0" applyProtection="0">
      <alignment horizontal="left"/>
    </xf>
    <xf numFmtId="4" fontId="38" fillId="42" borderId="49" applyNumberFormat="0" applyProtection="0">
      <alignment horizontal="right" vertical="center"/>
    </xf>
    <xf numFmtId="188" fontId="35" fillId="0" borderId="0" applyFill="0" applyBorder="0" applyAlignment="0" applyProtection="0">
      <alignment wrapText="1"/>
    </xf>
    <xf numFmtId="0" fontId="36" fillId="0" borderId="0" applyNumberFormat="0" applyFill="0" applyBorder="0">
      <alignment horizontal="center" wrapText="1"/>
    </xf>
    <xf numFmtId="0" fontId="36" fillId="0" borderId="0" applyNumberFormat="0" applyFill="0" applyBorder="0">
      <alignment horizontal="center" wrapText="1"/>
    </xf>
    <xf numFmtId="0" fontId="36" fillId="0" borderId="11">
      <alignment horizontal="center" vertical="center" wrapText="1"/>
    </xf>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37" fontId="52" fillId="34" borderId="0" applyNumberFormat="0" applyBorder="0" applyAlignment="0" applyProtection="0"/>
    <xf numFmtId="37" fontId="52" fillId="0" borderId="0"/>
    <xf numFmtId="3" fontId="104" fillId="49" borderId="51" applyProtection="0"/>
    <xf numFmtId="0" fontId="54" fillId="0" borderId="0"/>
    <xf numFmtId="0" fontId="30" fillId="0" borderId="0"/>
    <xf numFmtId="0" fontId="28" fillId="0" borderId="0"/>
    <xf numFmtId="0" fontId="28" fillId="0" borderId="0"/>
    <xf numFmtId="0" fontId="28" fillId="0" borderId="0"/>
    <xf numFmtId="0" fontId="35" fillId="0" borderId="0"/>
    <xf numFmtId="0" fontId="91" fillId="0" borderId="0"/>
    <xf numFmtId="0" fontId="35" fillId="0" borderId="0">
      <alignment vertical="top"/>
    </xf>
    <xf numFmtId="9" fontId="43" fillId="0" borderId="0" applyFont="0" applyFill="0" applyBorder="0" applyAlignment="0" applyProtection="0"/>
    <xf numFmtId="0" fontId="27" fillId="0" borderId="0"/>
    <xf numFmtId="0" fontId="30" fillId="0" borderId="0"/>
    <xf numFmtId="0" fontId="27" fillId="0" borderId="0"/>
    <xf numFmtId="0" fontId="27" fillId="0" borderId="0"/>
    <xf numFmtId="44" fontId="91" fillId="0" borderId="0" applyFont="0" applyFill="0" applyBorder="0" applyAlignment="0" applyProtection="0"/>
    <xf numFmtId="0" fontId="26" fillId="0" borderId="0"/>
    <xf numFmtId="43" fontId="26" fillId="0" borderId="0" applyFont="0" applyFill="0" applyBorder="0" applyAlignment="0" applyProtection="0"/>
    <xf numFmtId="43" fontId="109" fillId="0" borderId="0" applyFont="0" applyFill="0" applyBorder="0" applyAlignment="0" applyProtection="0"/>
    <xf numFmtId="9" fontId="109" fillId="0" borderId="0" applyFont="0" applyFill="0" applyBorder="0" applyAlignment="0" applyProtection="0"/>
    <xf numFmtId="0" fontId="30" fillId="3" borderId="0" applyNumberFormat="0" applyBorder="0" applyAlignment="0" applyProtection="0"/>
    <xf numFmtId="0" fontId="30" fillId="5" borderId="0" applyNumberFormat="0" applyBorder="0" applyAlignment="0" applyProtection="0"/>
    <xf numFmtId="0" fontId="30" fillId="7"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30" fillId="2" borderId="0" applyNumberFormat="0" applyBorder="0" applyAlignment="0" applyProtection="0"/>
    <xf numFmtId="0" fontId="30" fillId="4" borderId="0" applyNumberFormat="0" applyBorder="0" applyAlignment="0" applyProtection="0"/>
    <xf numFmtId="0" fontId="30" fillId="11" borderId="0" applyNumberFormat="0" applyBorder="0" applyAlignment="0" applyProtection="0"/>
    <xf numFmtId="0" fontId="30" fillId="9" borderId="0" applyNumberFormat="0" applyBorder="0" applyAlignment="0" applyProtection="0"/>
    <xf numFmtId="0" fontId="30" fillId="2" borderId="0" applyNumberFormat="0" applyBorder="0" applyAlignment="0" applyProtection="0"/>
    <xf numFmtId="0" fontId="30" fillId="13" borderId="0" applyNumberFormat="0" applyBorder="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35" fillId="6" borderId="13" applyNumberFormat="0" applyFont="0" applyAlignment="0" applyProtection="0"/>
    <xf numFmtId="43" fontId="109" fillId="0" borderId="0" applyFont="0" applyFill="0" applyBorder="0" applyAlignment="0" applyProtection="0"/>
    <xf numFmtId="0" fontId="35" fillId="6" borderId="13" applyNumberFormat="0" applyFont="0" applyAlignment="0" applyProtection="0"/>
    <xf numFmtId="0" fontId="35" fillId="0" borderId="0"/>
    <xf numFmtId="0" fontId="62" fillId="8" borderId="1" applyNumberFormat="0" applyAlignment="0" applyProtection="0"/>
    <xf numFmtId="0" fontId="35" fillId="6" borderId="13" applyNumberFormat="0" applyFont="0" applyAlignment="0" applyProtection="0"/>
    <xf numFmtId="9" fontId="109" fillId="0" borderId="0" applyFont="0" applyFill="0" applyBorder="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62" fillId="8" borderId="1" applyNumberFormat="0" applyAlignment="0" applyProtection="0"/>
    <xf numFmtId="0" fontId="35" fillId="6" borderId="13" applyNumberFormat="0" applyFont="0" applyAlignment="0" applyProtection="0"/>
    <xf numFmtId="0" fontId="62" fillId="8" borderId="1" applyNumberFormat="0" applyAlignment="0" applyProtection="0"/>
    <xf numFmtId="0" fontId="35" fillId="6" borderId="13" applyNumberFormat="0" applyFont="0" applyAlignment="0" applyProtection="0"/>
    <xf numFmtId="0" fontId="35" fillId="6" borderId="13" applyNumberFormat="0" applyFont="0" applyAlignment="0" applyProtection="0"/>
    <xf numFmtId="0" fontId="35" fillId="0" borderId="0"/>
    <xf numFmtId="0" fontId="35" fillId="6" borderId="13" applyNumberFormat="0" applyFont="0" applyAlignment="0" applyProtection="0"/>
    <xf numFmtId="0" fontId="35" fillId="0" borderId="0"/>
    <xf numFmtId="0" fontId="35" fillId="6" borderId="13" applyNumberFormat="0" applyFont="0" applyAlignment="0" applyProtection="0"/>
    <xf numFmtId="0" fontId="35" fillId="0" borderId="0"/>
    <xf numFmtId="0" fontId="35" fillId="6" borderId="13" applyNumberFormat="0" applyFont="0" applyAlignment="0" applyProtection="0"/>
    <xf numFmtId="0" fontId="35" fillId="0" borderId="0"/>
    <xf numFmtId="0" fontId="35" fillId="6" borderId="13"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0" fillId="0" borderId="0"/>
    <xf numFmtId="0" fontId="30" fillId="0" borderId="0"/>
    <xf numFmtId="0" fontId="30" fillId="0" borderId="0"/>
    <xf numFmtId="0" fontId="30" fillId="0" borderId="0"/>
    <xf numFmtId="9" fontId="30" fillId="0" borderId="0" applyFont="0" applyFill="0" applyBorder="0" applyAlignment="0" applyProtection="0"/>
    <xf numFmtId="0" fontId="35"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35" fillId="0" borderId="0"/>
    <xf numFmtId="0" fontId="25" fillId="0" borderId="0"/>
    <xf numFmtId="0" fontId="35" fillId="0" borderId="0"/>
    <xf numFmtId="0" fontId="25" fillId="0" borderId="0"/>
    <xf numFmtId="0" fontId="3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2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0" fontId="35" fillId="0" borderId="0"/>
    <xf numFmtId="0" fontId="35" fillId="0" borderId="0"/>
    <xf numFmtId="0" fontId="25" fillId="0" borderId="0"/>
    <xf numFmtId="0" fontId="3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43" fontId="110" fillId="0" borderId="0" applyFont="0" applyFill="0" applyBorder="0" applyAlignment="0" applyProtection="0"/>
    <xf numFmtId="9" fontId="110" fillId="0" borderId="0" applyFont="0" applyFill="0" applyBorder="0" applyAlignment="0" applyProtection="0"/>
    <xf numFmtId="43" fontId="110" fillId="0" borderId="0" applyFont="0" applyFill="0" applyBorder="0" applyAlignment="0" applyProtection="0"/>
    <xf numFmtId="9" fontId="110"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0" fontId="3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169" fontId="43" fillId="0" borderId="0" applyProtection="0"/>
    <xf numFmtId="0" fontId="35" fillId="0" borderId="0"/>
    <xf numFmtId="169" fontId="43" fillId="0" borderId="0" applyProtection="0"/>
    <xf numFmtId="169" fontId="43" fillId="0" borderId="0" applyProtection="0"/>
    <xf numFmtId="0" fontId="43" fillId="0" borderId="0" applyProtection="0"/>
    <xf numFmtId="43" fontId="21" fillId="0" borderId="0" applyFont="0" applyFill="0" applyBorder="0" applyAlignment="0" applyProtection="0"/>
  </cellStyleXfs>
  <cellXfs count="1855">
    <xf numFmtId="0" fontId="0" fillId="0" borderId="0" xfId="0"/>
    <xf numFmtId="0" fontId="37" fillId="0" borderId="0" xfId="0" applyFont="1"/>
    <xf numFmtId="0" fontId="39" fillId="0" borderId="0" xfId="0" applyFont="1" applyAlignment="1"/>
    <xf numFmtId="0" fontId="37" fillId="0" borderId="17" xfId="0" applyNumberFormat="1" applyFont="1" applyFill="1" applyBorder="1" applyAlignment="1"/>
    <xf numFmtId="0" fontId="37" fillId="0" borderId="17" xfId="0" applyFont="1" applyBorder="1"/>
    <xf numFmtId="0" fontId="37" fillId="0" borderId="0" xfId="0" applyNumberFormat="1" applyFont="1" applyFill="1" applyBorder="1" applyAlignment="1"/>
    <xf numFmtId="0" fontId="39" fillId="0" borderId="0" xfId="0" applyFont="1" applyBorder="1" applyAlignment="1"/>
    <xf numFmtId="0" fontId="39" fillId="0" borderId="0" xfId="0" applyNumberFormat="1" applyFont="1" applyBorder="1" applyAlignment="1">
      <alignment horizontal="center"/>
    </xf>
    <xf numFmtId="0" fontId="39" fillId="0" borderId="0" xfId="0" applyNumberFormat="1" applyFont="1" applyBorder="1" applyAlignment="1">
      <alignment horizontal="left"/>
    </xf>
    <xf numFmtId="0" fontId="39" fillId="0" borderId="0" xfId="0" applyFont="1" applyFill="1" applyBorder="1" applyAlignment="1"/>
    <xf numFmtId="0" fontId="39" fillId="0" borderId="0" xfId="0" applyFont="1" applyBorder="1"/>
    <xf numFmtId="0" fontId="37" fillId="0" borderId="0" xfId="0" applyNumberFormat="1" applyFont="1" applyBorder="1" applyAlignment="1"/>
    <xf numFmtId="0" fontId="39" fillId="0" borderId="18" xfId="0" applyFont="1" applyFill="1" applyBorder="1" applyAlignment="1">
      <alignment horizontal="left"/>
    </xf>
    <xf numFmtId="0" fontId="39" fillId="0" borderId="18" xfId="0" applyNumberFormat="1" applyFont="1" applyBorder="1" applyAlignment="1">
      <alignment horizontal="left"/>
    </xf>
    <xf numFmtId="0" fontId="39" fillId="0" borderId="0" xfId="0" applyFont="1" applyFill="1" applyBorder="1" applyAlignment="1">
      <alignment horizontal="left"/>
    </xf>
    <xf numFmtId="0" fontId="39" fillId="0" borderId="0" xfId="0" applyFont="1" applyFill="1" applyBorder="1"/>
    <xf numFmtId="0" fontId="37" fillId="0" borderId="17" xfId="0" applyFont="1" applyBorder="1" applyAlignment="1"/>
    <xf numFmtId="0" fontId="39" fillId="0" borderId="17" xfId="0" applyFont="1" applyBorder="1"/>
    <xf numFmtId="168" fontId="37" fillId="0" borderId="17" xfId="0" applyNumberFormat="1" applyFont="1" applyBorder="1" applyAlignment="1">
      <alignment horizontal="left"/>
    </xf>
    <xf numFmtId="0" fontId="39" fillId="0" borderId="17" xfId="0" applyFont="1" applyFill="1" applyBorder="1" applyAlignment="1"/>
    <xf numFmtId="0" fontId="37" fillId="0" borderId="0" xfId="0" applyFont="1" applyBorder="1" applyAlignment="1"/>
    <xf numFmtId="168" fontId="37" fillId="0" borderId="0" xfId="0" applyNumberFormat="1" applyFont="1" applyBorder="1" applyAlignment="1">
      <alignment horizontal="left"/>
    </xf>
    <xf numFmtId="0" fontId="39" fillId="33" borderId="0" xfId="0" applyNumberFormat="1" applyFont="1" applyFill="1" applyAlignment="1">
      <alignment horizontal="center"/>
    </xf>
    <xf numFmtId="0" fontId="39" fillId="0" borderId="18" xfId="0" applyNumberFormat="1" applyFont="1" applyFill="1" applyBorder="1" applyAlignment="1">
      <alignment horizontal="left"/>
    </xf>
    <xf numFmtId="0" fontId="37" fillId="0" borderId="0" xfId="0" applyNumberFormat="1" applyFont="1" applyBorder="1" applyAlignment="1">
      <alignment horizontal="left"/>
    </xf>
    <xf numFmtId="0" fontId="39" fillId="0" borderId="18" xfId="0" applyNumberFormat="1" applyFont="1" applyBorder="1" applyAlignment="1">
      <alignment horizontal="center"/>
    </xf>
    <xf numFmtId="0" fontId="39" fillId="0" borderId="0" xfId="0" applyFont="1" applyBorder="1" applyAlignment="1">
      <alignment horizontal="center"/>
    </xf>
    <xf numFmtId="0" fontId="37" fillId="0" borderId="17" xfId="0" applyFont="1" applyBorder="1" applyAlignment="1">
      <alignment horizontal="center"/>
    </xf>
    <xf numFmtId="0" fontId="39" fillId="0" borderId="18" xfId="0" applyNumberFormat="1" applyFont="1" applyFill="1" applyBorder="1" applyAlignment="1">
      <alignment horizontal="center"/>
    </xf>
    <xf numFmtId="0" fontId="39" fillId="0" borderId="18" xfId="0" applyFont="1" applyBorder="1" applyAlignment="1">
      <alignment horizontal="center"/>
    </xf>
    <xf numFmtId="0" fontId="37" fillId="0" borderId="0" xfId="0" applyFont="1" applyBorder="1" applyAlignment="1">
      <alignment horizontal="center"/>
    </xf>
    <xf numFmtId="0" fontId="39" fillId="0" borderId="0" xfId="0" applyNumberFormat="1" applyFont="1" applyFill="1" applyBorder="1" applyAlignment="1">
      <alignment horizontal="center"/>
    </xf>
    <xf numFmtId="0" fontId="39" fillId="0" borderId="0" xfId="0" applyFont="1" applyFill="1" applyBorder="1" applyAlignment="1">
      <alignment horizontal="center"/>
    </xf>
    <xf numFmtId="0" fontId="37" fillId="0" borderId="0" xfId="0" applyFont="1" applyFill="1"/>
    <xf numFmtId="0" fontId="37" fillId="0" borderId="0" xfId="0" applyFont="1" applyFill="1" applyBorder="1"/>
    <xf numFmtId="0" fontId="36" fillId="0" borderId="0" xfId="0" applyFont="1" applyAlignment="1">
      <alignment horizontal="left"/>
    </xf>
    <xf numFmtId="0" fontId="37" fillId="0" borderId="0" xfId="0" applyNumberFormat="1" applyFont="1" applyFill="1" applyBorder="1" applyAlignment="1">
      <alignment horizontal="left"/>
    </xf>
    <xf numFmtId="0" fontId="36" fillId="0" borderId="0" xfId="0" applyFont="1" applyFill="1" applyAlignment="1">
      <alignment horizontal="center"/>
    </xf>
    <xf numFmtId="0" fontId="35" fillId="0" borderId="0" xfId="0" applyFont="1" applyFill="1"/>
    <xf numFmtId="0" fontId="35" fillId="0" borderId="0" xfId="0" applyFont="1"/>
    <xf numFmtId="0" fontId="35" fillId="0" borderId="0" xfId="0" applyFont="1" applyFill="1" applyBorder="1"/>
    <xf numFmtId="0" fontId="36" fillId="0" borderId="0" xfId="0" applyFont="1" applyFill="1" applyBorder="1" applyAlignment="1">
      <alignment horizontal="left"/>
    </xf>
    <xf numFmtId="37" fontId="37" fillId="0" borderId="0" xfId="0" applyNumberFormat="1" applyFont="1" applyBorder="1" applyAlignment="1">
      <alignment horizontal="right"/>
    </xf>
    <xf numFmtId="0" fontId="39" fillId="0" borderId="18" xfId="0" applyNumberFormat="1" applyFont="1" applyBorder="1" applyAlignment="1"/>
    <xf numFmtId="3" fontId="39" fillId="0" borderId="0" xfId="0" applyNumberFormat="1" applyFont="1" applyBorder="1" applyAlignment="1"/>
    <xf numFmtId="3" fontId="39" fillId="0" borderId="0" xfId="0" applyNumberFormat="1" applyFont="1" applyFill="1" applyBorder="1" applyAlignment="1"/>
    <xf numFmtId="0" fontId="37" fillId="0" borderId="0" xfId="0" applyFont="1" applyFill="1" applyBorder="1" applyAlignment="1"/>
    <xf numFmtId="0" fontId="37" fillId="0" borderId="0" xfId="0" applyNumberFormat="1" applyFont="1" applyFill="1" applyBorder="1" applyAlignment="1">
      <alignment horizontal="center"/>
    </xf>
    <xf numFmtId="3" fontId="39" fillId="0" borderId="17" xfId="0" applyNumberFormat="1" applyFont="1" applyFill="1" applyBorder="1" applyAlignment="1">
      <alignment horizontal="center"/>
    </xf>
    <xf numFmtId="0" fontId="39" fillId="0" borderId="0" xfId="0" applyNumberFormat="1" applyFont="1" applyBorder="1" applyAlignment="1"/>
    <xf numFmtId="3" fontId="39" fillId="0" borderId="0" xfId="0" applyNumberFormat="1" applyFont="1" applyBorder="1" applyAlignment="1">
      <alignment horizontal="center"/>
    </xf>
    <xf numFmtId="0" fontId="37" fillId="0" borderId="0" xfId="0" applyFont="1" applyBorder="1" applyAlignment="1">
      <alignment horizontal="left"/>
    </xf>
    <xf numFmtId="3" fontId="39" fillId="0" borderId="17" xfId="0" applyNumberFormat="1" applyFont="1" applyBorder="1" applyAlignment="1">
      <alignment horizontal="center"/>
    </xf>
    <xf numFmtId="0" fontId="39" fillId="0" borderId="0" xfId="0" applyNumberFormat="1" applyFont="1" applyFill="1" applyBorder="1" applyAlignment="1">
      <alignment horizontal="left"/>
    </xf>
    <xf numFmtId="0" fontId="37" fillId="0" borderId="17" xfId="0" applyNumberFormat="1" applyFont="1" applyBorder="1" applyAlignment="1">
      <alignment horizontal="left"/>
    </xf>
    <xf numFmtId="0" fontId="37" fillId="0" borderId="17" xfId="0" applyNumberFormat="1" applyFont="1" applyBorder="1" applyAlignment="1">
      <alignment horizontal="center"/>
    </xf>
    <xf numFmtId="0" fontId="39" fillId="0" borderId="0" xfId="0" applyNumberFormat="1" applyFont="1" applyFill="1" applyBorder="1" applyAlignment="1"/>
    <xf numFmtId="168" fontId="39" fillId="0" borderId="0" xfId="0" applyNumberFormat="1" applyFont="1" applyBorder="1" applyAlignment="1">
      <alignment horizontal="left"/>
    </xf>
    <xf numFmtId="0" fontId="39" fillId="0" borderId="18" xfId="0" applyNumberFormat="1" applyFont="1" applyFill="1" applyBorder="1" applyAlignment="1"/>
    <xf numFmtId="37" fontId="39" fillId="0" borderId="0" xfId="0" applyNumberFormat="1" applyFont="1" applyBorder="1" applyAlignment="1">
      <alignment horizontal="left"/>
    </xf>
    <xf numFmtId="0" fontId="35" fillId="0" borderId="0" xfId="504" applyFont="1"/>
    <xf numFmtId="0" fontId="46" fillId="0" borderId="0" xfId="0" applyFont="1" applyAlignment="1">
      <alignment horizontal="left"/>
    </xf>
    <xf numFmtId="0" fontId="39" fillId="0" borderId="18" xfId="0" applyFont="1" applyFill="1" applyBorder="1" applyAlignment="1"/>
    <xf numFmtId="0" fontId="37" fillId="0" borderId="0" xfId="0" applyFont="1" applyBorder="1"/>
    <xf numFmtId="3" fontId="39" fillId="0" borderId="26" xfId="0" applyNumberFormat="1" applyFont="1" applyFill="1" applyBorder="1"/>
    <xf numFmtId="3" fontId="39" fillId="0" borderId="26" xfId="0" applyNumberFormat="1" applyFont="1" applyFill="1" applyBorder="1" applyAlignment="1"/>
    <xf numFmtId="3" fontId="37" fillId="0" borderId="27" xfId="0" applyNumberFormat="1" applyFont="1" applyFill="1" applyBorder="1" applyAlignment="1"/>
    <xf numFmtId="171" fontId="37" fillId="0" borderId="26" xfId="674" applyNumberFormat="1" applyFont="1" applyBorder="1" applyAlignment="1"/>
    <xf numFmtId="164" fontId="37" fillId="0" borderId="26" xfId="382" applyNumberFormat="1" applyFont="1" applyFill="1" applyBorder="1" applyAlignment="1"/>
    <xf numFmtId="0" fontId="36" fillId="0" borderId="0" xfId="0" applyFont="1" applyFill="1" applyBorder="1"/>
    <xf numFmtId="0" fontId="39" fillId="0" borderId="18" xfId="0" applyFont="1" applyFill="1" applyBorder="1" applyAlignment="1">
      <alignment horizontal="center"/>
    </xf>
    <xf numFmtId="0" fontId="39" fillId="0" borderId="22" xfId="0" applyNumberFormat="1" applyFont="1" applyFill="1" applyBorder="1" applyAlignment="1">
      <alignment horizontal="center"/>
    </xf>
    <xf numFmtId="0" fontId="35" fillId="0" borderId="11" xfId="0" applyFont="1" applyBorder="1"/>
    <xf numFmtId="164" fontId="35" fillId="0" borderId="0" xfId="382" applyNumberFormat="1" applyFont="1" applyFill="1"/>
    <xf numFmtId="0" fontId="35" fillId="0" borderId="0" xfId="504" applyFont="1" applyFill="1"/>
    <xf numFmtId="0" fontId="35" fillId="0" borderId="0" xfId="504" applyFont="1" applyBorder="1"/>
    <xf numFmtId="171" fontId="39" fillId="0" borderId="30" xfId="674" applyNumberFormat="1" applyFont="1" applyFill="1" applyBorder="1" applyAlignment="1"/>
    <xf numFmtId="0" fontId="36" fillId="0" borderId="0" xfId="504" applyFont="1"/>
    <xf numFmtId="0" fontId="36" fillId="0" borderId="0" xfId="0" applyFont="1"/>
    <xf numFmtId="0" fontId="39" fillId="0" borderId="26" xfId="0" applyFont="1" applyBorder="1"/>
    <xf numFmtId="171" fontId="37" fillId="0" borderId="26" xfId="674" applyNumberFormat="1" applyFont="1" applyFill="1" applyBorder="1" applyAlignment="1"/>
    <xf numFmtId="0" fontId="39" fillId="0" borderId="26" xfId="0" applyFont="1" applyFill="1" applyBorder="1"/>
    <xf numFmtId="0" fontId="39" fillId="0" borderId="26" xfId="0" applyFont="1" applyFill="1" applyBorder="1" applyAlignment="1">
      <alignment horizontal="center" wrapText="1"/>
    </xf>
    <xf numFmtId="3" fontId="37" fillId="0" borderId="26" xfId="0" applyNumberFormat="1" applyFont="1" applyFill="1" applyBorder="1" applyAlignment="1"/>
    <xf numFmtId="3" fontId="39" fillId="0" borderId="26" xfId="0" applyNumberFormat="1" applyFont="1" applyFill="1" applyBorder="1" applyAlignment="1">
      <alignment horizontal="right"/>
    </xf>
    <xf numFmtId="171" fontId="39" fillId="0" borderId="26" xfId="0" applyNumberFormat="1" applyFont="1" applyFill="1" applyBorder="1" applyAlignment="1">
      <alignment horizontal="right"/>
    </xf>
    <xf numFmtId="171" fontId="39" fillId="0" borderId="30" xfId="0" applyNumberFormat="1" applyFont="1" applyFill="1" applyBorder="1" applyAlignment="1">
      <alignment horizontal="right"/>
    </xf>
    <xf numFmtId="10" fontId="39" fillId="0" borderId="26" xfId="674" applyNumberFormat="1" applyFont="1" applyFill="1" applyBorder="1" applyAlignment="1"/>
    <xf numFmtId="166" fontId="37" fillId="0" borderId="26" xfId="0" applyNumberFormat="1" applyFont="1" applyBorder="1" applyAlignment="1"/>
    <xf numFmtId="166" fontId="39" fillId="0" borderId="26" xfId="0" applyNumberFormat="1" applyFont="1" applyBorder="1" applyAlignment="1"/>
    <xf numFmtId="10" fontId="39" fillId="0" borderId="26" xfId="0" applyNumberFormat="1" applyFont="1" applyFill="1" applyBorder="1"/>
    <xf numFmtId="10" fontId="39" fillId="0" borderId="26" xfId="0" applyNumberFormat="1" applyFont="1" applyFill="1" applyBorder="1" applyAlignment="1">
      <alignment horizontal="right"/>
    </xf>
    <xf numFmtId="10" fontId="39" fillId="0" borderId="26" xfId="674" applyNumberFormat="1" applyFont="1" applyBorder="1" applyAlignment="1"/>
    <xf numFmtId="164" fontId="37" fillId="0" borderId="27" xfId="382" applyNumberFormat="1" applyFont="1" applyFill="1" applyBorder="1" applyAlignment="1">
      <alignment horizontal="right"/>
    </xf>
    <xf numFmtId="164" fontId="39" fillId="0" borderId="26" xfId="382" applyNumberFormat="1" applyFont="1" applyFill="1" applyBorder="1" applyAlignment="1"/>
    <xf numFmtId="0" fontId="39" fillId="0" borderId="25" xfId="0" applyFont="1" applyFill="1" applyBorder="1" applyAlignment="1">
      <alignment horizontal="left"/>
    </xf>
    <xf numFmtId="0" fontId="39" fillId="0" borderId="24" xfId="0" applyFont="1" applyFill="1" applyBorder="1" applyAlignment="1"/>
    <xf numFmtId="0" fontId="37" fillId="0" borderId="24" xfId="0" applyNumberFormat="1" applyFont="1" applyFill="1" applyBorder="1" applyAlignment="1">
      <alignment horizontal="center"/>
    </xf>
    <xf numFmtId="0" fontId="39" fillId="0" borderId="33" xfId="0" applyFont="1" applyFill="1" applyBorder="1" applyAlignment="1">
      <alignment horizontal="center" wrapText="1"/>
    </xf>
    <xf numFmtId="0" fontId="37" fillId="0" borderId="22" xfId="0" applyNumberFormat="1" applyFont="1" applyFill="1" applyBorder="1" applyAlignment="1">
      <alignment horizontal="center"/>
    </xf>
    <xf numFmtId="0" fontId="39" fillId="0" borderId="22" xfId="0" applyNumberFormat="1" applyFont="1" applyBorder="1" applyAlignment="1">
      <alignment horizontal="center"/>
    </xf>
    <xf numFmtId="3" fontId="39" fillId="0" borderId="0" xfId="0" applyNumberFormat="1" applyFont="1" applyFill="1" applyBorder="1" applyAlignment="1">
      <alignment horizontal="center"/>
    </xf>
    <xf numFmtId="0" fontId="39" fillId="0" borderId="22" xfId="0" applyFont="1" applyBorder="1" applyAlignment="1">
      <alignment horizontal="center"/>
    </xf>
    <xf numFmtId="0" fontId="39" fillId="0" borderId="22" xfId="0" applyNumberFormat="1" applyFont="1" applyBorder="1" applyAlignment="1">
      <alignment horizontal="left"/>
    </xf>
    <xf numFmtId="0" fontId="39" fillId="0" borderId="22" xfId="0" applyFont="1" applyFill="1" applyBorder="1" applyAlignment="1">
      <alignment horizontal="center"/>
    </xf>
    <xf numFmtId="0" fontId="39" fillId="0" borderId="0" xfId="0" applyNumberFormat="1" applyFont="1" applyFill="1" applyBorder="1" applyAlignment="1">
      <alignment horizontal="right"/>
    </xf>
    <xf numFmtId="0" fontId="37" fillId="0" borderId="0" xfId="0" applyNumberFormat="1" applyFont="1" applyFill="1" applyBorder="1" applyAlignment="1">
      <alignment horizontal="right"/>
    </xf>
    <xf numFmtId="0" fontId="37" fillId="0" borderId="22" xfId="0" applyFont="1" applyBorder="1"/>
    <xf numFmtId="0" fontId="39" fillId="0" borderId="22" xfId="0" applyFont="1" applyBorder="1" applyAlignment="1">
      <alignment horizontal="left"/>
    </xf>
    <xf numFmtId="0" fontId="39" fillId="0" borderId="22" xfId="0" applyFont="1" applyFill="1" applyBorder="1" applyAlignment="1"/>
    <xf numFmtId="43" fontId="39" fillId="0" borderId="0" xfId="382" applyFont="1" applyFill="1" applyBorder="1" applyAlignment="1"/>
    <xf numFmtId="0" fontId="37" fillId="0" borderId="22" xfId="0" applyNumberFormat="1" applyFont="1" applyFill="1" applyBorder="1" applyAlignment="1"/>
    <xf numFmtId="0" fontId="39" fillId="0" borderId="0" xfId="0" applyNumberFormat="1" applyFont="1" applyBorder="1" applyAlignment="1">
      <alignment horizontal="right"/>
    </xf>
    <xf numFmtId="0" fontId="37" fillId="0" borderId="22" xfId="0" applyNumberFormat="1" applyFont="1" applyBorder="1" applyAlignment="1">
      <alignment horizontal="center"/>
    </xf>
    <xf numFmtId="0" fontId="39" fillId="0" borderId="22" xfId="0" applyNumberFormat="1" applyFont="1" applyFill="1" applyBorder="1" applyAlignment="1">
      <alignment horizontal="left"/>
    </xf>
    <xf numFmtId="0" fontId="39" fillId="0" borderId="0" xfId="0" applyNumberFormat="1" applyFont="1" applyFill="1" applyBorder="1"/>
    <xf numFmtId="169" fontId="39" fillId="0" borderId="0" xfId="0" applyNumberFormat="1" applyFont="1" applyBorder="1" applyAlignment="1"/>
    <xf numFmtId="168" fontId="39" fillId="0" borderId="0" xfId="0" applyNumberFormat="1" applyFont="1" applyBorder="1" applyAlignment="1">
      <alignment horizontal="center"/>
    </xf>
    <xf numFmtId="0" fontId="39" fillId="0" borderId="34" xfId="0" applyFont="1" applyFill="1" applyBorder="1"/>
    <xf numFmtId="3" fontId="39" fillId="0" borderId="35" xfId="0" applyNumberFormat="1" applyFont="1" applyBorder="1" applyAlignment="1"/>
    <xf numFmtId="0" fontId="39" fillId="0" borderId="35" xfId="0" applyFont="1" applyFill="1" applyBorder="1"/>
    <xf numFmtId="3" fontId="39" fillId="0" borderId="36" xfId="0" applyNumberFormat="1" applyFont="1" applyFill="1" applyBorder="1" applyAlignment="1"/>
    <xf numFmtId="0" fontId="39" fillId="0" borderId="35" xfId="0" applyFont="1" applyBorder="1" applyAlignment="1"/>
    <xf numFmtId="0" fontId="39" fillId="0" borderId="35" xfId="0" applyFont="1" applyBorder="1"/>
    <xf numFmtId="3" fontId="39" fillId="0" borderId="35" xfId="0" applyNumberFormat="1" applyFont="1" applyFill="1" applyBorder="1" applyAlignment="1"/>
    <xf numFmtId="3" fontId="39" fillId="0" borderId="37" xfId="0" applyNumberFormat="1" applyFont="1" applyFill="1" applyBorder="1" applyAlignment="1"/>
    <xf numFmtId="0" fontId="39" fillId="0" borderId="35" xfId="0" applyFont="1" applyFill="1" applyBorder="1" applyAlignment="1">
      <alignment horizontal="left"/>
    </xf>
    <xf numFmtId="3" fontId="39" fillId="0" borderId="37" xfId="0" applyNumberFormat="1" applyFont="1" applyBorder="1" applyAlignment="1"/>
    <xf numFmtId="3" fontId="37" fillId="0" borderId="36" xfId="0" applyNumberFormat="1" applyFont="1" applyBorder="1" applyAlignment="1"/>
    <xf numFmtId="3" fontId="39" fillId="0" borderId="35" xfId="0" applyNumberFormat="1" applyFont="1" applyFill="1" applyBorder="1" applyAlignment="1">
      <alignment horizontal="right"/>
    </xf>
    <xf numFmtId="0" fontId="39" fillId="0" borderId="35" xfId="0" applyFont="1" applyFill="1" applyBorder="1" applyAlignment="1"/>
    <xf numFmtId="0" fontId="39" fillId="0" borderId="35" xfId="0" applyNumberFormat="1" applyFont="1" applyFill="1" applyBorder="1" applyAlignment="1"/>
    <xf numFmtId="0" fontId="39" fillId="0" borderId="37" xfId="0" applyFont="1" applyFill="1" applyBorder="1" applyAlignment="1"/>
    <xf numFmtId="0" fontId="39" fillId="0" borderId="35" xfId="0" applyNumberFormat="1" applyFont="1" applyFill="1" applyBorder="1" applyAlignment="1">
      <alignment horizontal="left"/>
    </xf>
    <xf numFmtId="3" fontId="37" fillId="0" borderId="35" xfId="0" applyNumberFormat="1" applyFont="1" applyBorder="1" applyAlignment="1"/>
    <xf numFmtId="168" fontId="39" fillId="0" borderId="35" xfId="0" applyNumberFormat="1" applyFont="1" applyBorder="1" applyAlignment="1">
      <alignment horizontal="left"/>
    </xf>
    <xf numFmtId="0" fontId="37" fillId="0" borderId="5" xfId="0" applyFont="1" applyBorder="1"/>
    <xf numFmtId="0" fontId="39" fillId="0" borderId="23" xfId="0" applyFont="1" applyFill="1" applyBorder="1" applyAlignment="1">
      <alignment horizontal="center"/>
    </xf>
    <xf numFmtId="0" fontId="39" fillId="0" borderId="7" xfId="0" applyNumberFormat="1" applyFont="1" applyFill="1" applyBorder="1" applyAlignment="1">
      <alignment horizontal="center"/>
    </xf>
    <xf numFmtId="0" fontId="39" fillId="0" borderId="7" xfId="0" applyNumberFormat="1" applyFont="1" applyBorder="1" applyAlignment="1">
      <alignment horizontal="left"/>
    </xf>
    <xf numFmtId="0" fontId="39" fillId="0" borderId="7" xfId="0" applyFont="1" applyBorder="1" applyAlignment="1"/>
    <xf numFmtId="164" fontId="35" fillId="0" borderId="0" xfId="382" applyNumberFormat="1" applyFont="1" applyFill="1" applyBorder="1" applyAlignment="1"/>
    <xf numFmtId="37" fontId="39" fillId="0" borderId="35" xfId="0" applyNumberFormat="1" applyFont="1" applyFill="1" applyBorder="1"/>
    <xf numFmtId="37" fontId="39" fillId="0" borderId="0" xfId="0" applyNumberFormat="1" applyFont="1" applyFill="1" applyBorder="1"/>
    <xf numFmtId="37" fontId="39" fillId="0" borderId="26" xfId="0" applyNumberFormat="1" applyFont="1" applyFill="1" applyBorder="1"/>
    <xf numFmtId="3" fontId="39" fillId="0" borderId="0" xfId="0" applyNumberFormat="1" applyFont="1" applyFill="1" applyBorder="1" applyAlignment="1">
      <alignment horizontal="left"/>
    </xf>
    <xf numFmtId="0" fontId="39" fillId="0" borderId="35" xfId="0" applyFont="1" applyFill="1" applyBorder="1" applyAlignment="1">
      <alignment horizontal="right"/>
    </xf>
    <xf numFmtId="0" fontId="37" fillId="0" borderId="17" xfId="0" applyFont="1" applyFill="1" applyBorder="1"/>
    <xf numFmtId="0" fontId="37" fillId="0" borderId="17" xfId="0" applyFont="1" applyFill="1" applyBorder="1" applyAlignment="1">
      <alignment horizontal="center"/>
    </xf>
    <xf numFmtId="0" fontId="39" fillId="0" borderId="0" xfId="0" applyNumberFormat="1" applyFont="1" applyFill="1" applyBorder="1" applyAlignment="1">
      <alignment horizontal="center" vertical="top"/>
    </xf>
    <xf numFmtId="0" fontId="36" fillId="0" borderId="0" xfId="504" applyFont="1" applyFill="1" applyBorder="1" applyAlignment="1">
      <alignment horizontal="left"/>
    </xf>
    <xf numFmtId="0" fontId="35" fillId="0" borderId="0" xfId="504" applyFont="1" applyFill="1" applyBorder="1" applyAlignment="1">
      <alignment horizontal="left"/>
    </xf>
    <xf numFmtId="164" fontId="35" fillId="0" borderId="0" xfId="504" applyNumberFormat="1" applyFont="1"/>
    <xf numFmtId="164" fontId="35" fillId="0" borderId="0" xfId="382" applyNumberFormat="1" applyFont="1" applyFill="1" applyBorder="1" applyAlignment="1">
      <alignment horizontal="center"/>
    </xf>
    <xf numFmtId="0" fontId="35" fillId="0" borderId="0" xfId="530" applyFont="1" applyAlignment="1">
      <alignment horizontal="right" vertical="top"/>
    </xf>
    <xf numFmtId="0" fontId="35" fillId="0" borderId="0" xfId="484" applyFont="1" applyAlignment="1">
      <alignment vertical="top"/>
    </xf>
    <xf numFmtId="0" fontId="35" fillId="0" borderId="0" xfId="484" applyFont="1" applyFill="1" applyAlignment="1">
      <alignment vertical="top"/>
    </xf>
    <xf numFmtId="0" fontId="35" fillId="0" borderId="0" xfId="484" applyFont="1" applyFill="1" applyAlignment="1">
      <alignment horizontal="center" vertical="top"/>
    </xf>
    <xf numFmtId="0" fontId="35" fillId="0" borderId="0" xfId="474" applyFont="1" applyProtection="1">
      <protection locked="0"/>
    </xf>
    <xf numFmtId="0" fontId="35" fillId="0" borderId="0" xfId="474" quotePrefix="1" applyFont="1" applyAlignment="1" applyProtection="1">
      <alignment horizontal="left"/>
      <protection locked="0"/>
    </xf>
    <xf numFmtId="0" fontId="49" fillId="0" borderId="0" xfId="569" applyFont="1"/>
    <xf numFmtId="0" fontId="49" fillId="0" borderId="0" xfId="569" applyFont="1" applyAlignment="1">
      <alignment horizontal="left"/>
    </xf>
    <xf numFmtId="164" fontId="49" fillId="0" borderId="0" xfId="569" applyNumberFormat="1" applyFont="1" applyFill="1"/>
    <xf numFmtId="0" fontId="35" fillId="0" borderId="0" xfId="474" applyFont="1" applyFill="1"/>
    <xf numFmtId="0" fontId="35" fillId="0" borderId="0" xfId="0" applyFont="1" applyFill="1" applyAlignment="1"/>
    <xf numFmtId="164" fontId="35" fillId="0" borderId="0" xfId="382" applyNumberFormat="1" applyFont="1" applyFill="1" applyAlignment="1"/>
    <xf numFmtId="0" fontId="35" fillId="0" borderId="0" xfId="0" applyFont="1" applyAlignment="1">
      <alignment vertical="top"/>
    </xf>
    <xf numFmtId="37" fontId="35" fillId="0" borderId="0" xfId="484" applyNumberFormat="1" applyFont="1" applyFill="1" applyAlignment="1">
      <alignment vertical="top"/>
    </xf>
    <xf numFmtId="0" fontId="89" fillId="0" borderId="0" xfId="0" applyFont="1"/>
    <xf numFmtId="0" fontId="89" fillId="0" borderId="0" xfId="0" applyFont="1" applyAlignment="1">
      <alignment horizontal="center"/>
    </xf>
    <xf numFmtId="164" fontId="35" fillId="0" borderId="0" xfId="504" applyNumberFormat="1" applyFont="1" applyFill="1" applyBorder="1"/>
    <xf numFmtId="0" fontId="39" fillId="0" borderId="0" xfId="0" applyNumberFormat="1" applyFont="1" applyFill="1" applyBorder="1" applyAlignment="1">
      <alignment horizontal="left" indent="1"/>
    </xf>
    <xf numFmtId="0" fontId="35" fillId="0" borderId="0" xfId="0" applyFont="1" applyAlignment="1"/>
    <xf numFmtId="0" fontId="35" fillId="0" borderId="0" xfId="0" applyFont="1" applyBorder="1"/>
    <xf numFmtId="0" fontId="35" fillId="0" borderId="0" xfId="0" applyFont="1" applyFill="1" applyBorder="1" applyAlignment="1"/>
    <xf numFmtId="0" fontId="35" fillId="37" borderId="0" xfId="0" applyFont="1" applyFill="1" applyAlignment="1"/>
    <xf numFmtId="3" fontId="37" fillId="0" borderId="17" xfId="0" applyNumberFormat="1" applyFont="1" applyBorder="1" applyAlignment="1">
      <alignment horizontal="right"/>
    </xf>
    <xf numFmtId="0" fontId="37" fillId="0" borderId="0" xfId="0" applyFont="1" applyFill="1" applyBorder="1" applyAlignment="1">
      <alignment horizontal="center"/>
    </xf>
    <xf numFmtId="0" fontId="37" fillId="0" borderId="7" xfId="0" applyFont="1" applyBorder="1" applyAlignment="1">
      <alignment horizontal="center"/>
    </xf>
    <xf numFmtId="164" fontId="35" fillId="37" borderId="0" xfId="382" applyNumberFormat="1" applyFont="1" applyFill="1" applyBorder="1"/>
    <xf numFmtId="0" fontId="35" fillId="0" borderId="0" xfId="0" applyNumberFormat="1" applyFont="1" applyFill="1" applyBorder="1" applyAlignment="1">
      <alignment horizontal="center"/>
    </xf>
    <xf numFmtId="0" fontId="0" fillId="0" borderId="0" xfId="0" applyAlignment="1">
      <alignment horizontal="center"/>
    </xf>
    <xf numFmtId="164" fontId="36" fillId="0" borderId="0" xfId="504" applyNumberFormat="1" applyFont="1" applyFill="1" applyBorder="1" applyAlignment="1">
      <alignment horizontal="center"/>
    </xf>
    <xf numFmtId="164" fontId="35" fillId="0" borderId="0" xfId="504" applyNumberFormat="1" applyFont="1" applyFill="1" applyBorder="1" applyAlignment="1">
      <alignment horizontal="center"/>
    </xf>
    <xf numFmtId="164" fontId="35" fillId="0" borderId="0" xfId="403" applyNumberFormat="1" applyFont="1" applyFill="1" applyBorder="1" applyAlignment="1"/>
    <xf numFmtId="164" fontId="35" fillId="0" borderId="0" xfId="403" applyNumberFormat="1" applyFont="1" applyBorder="1"/>
    <xf numFmtId="164" fontId="35" fillId="0" borderId="0" xfId="504" applyNumberFormat="1" applyFont="1" applyBorder="1"/>
    <xf numFmtId="164" fontId="35" fillId="0" borderId="0" xfId="403" applyNumberFormat="1" applyFont="1" applyFill="1" applyBorder="1"/>
    <xf numFmtId="164" fontId="35" fillId="0" borderId="0" xfId="403" applyNumberFormat="1" applyFont="1" applyFill="1" applyAlignment="1"/>
    <xf numFmtId="164" fontId="35" fillId="0" borderId="0" xfId="403" applyNumberFormat="1" applyFont="1" applyFill="1" applyBorder="1" applyAlignment="1">
      <alignment horizontal="right"/>
    </xf>
    <xf numFmtId="0" fontId="35" fillId="0" borderId="0" xfId="0" applyFont="1" applyFill="1" applyAlignment="1">
      <alignment horizontal="left"/>
    </xf>
    <xf numFmtId="164" fontId="35" fillId="0" borderId="0" xfId="403" applyNumberFormat="1" applyFont="1"/>
    <xf numFmtId="164" fontId="35" fillId="37" borderId="0" xfId="382" applyNumberFormat="1" applyFont="1" applyFill="1"/>
    <xf numFmtId="0" fontId="39" fillId="0" borderId="0" xfId="0" applyFont="1" applyAlignment="1">
      <alignment horizontal="center"/>
    </xf>
    <xf numFmtId="0" fontId="45" fillId="0" borderId="0" xfId="0" applyFont="1" applyAlignment="1"/>
    <xf numFmtId="10" fontId="39" fillId="37" borderId="26" xfId="674" applyNumberFormat="1" applyFont="1" applyFill="1" applyBorder="1" applyAlignment="1"/>
    <xf numFmtId="164" fontId="39" fillId="37" borderId="26" xfId="382" applyNumberFormat="1" applyFont="1" applyFill="1" applyBorder="1" applyAlignment="1"/>
    <xf numFmtId="0" fontId="36" fillId="0" borderId="0" xfId="564" quotePrefix="1" applyFont="1" applyFill="1" applyBorder="1" applyAlignment="1">
      <alignment vertical="top"/>
    </xf>
    <xf numFmtId="0" fontId="35" fillId="0" borderId="0" xfId="11272">
      <alignment vertical="top"/>
    </xf>
    <xf numFmtId="0" fontId="89" fillId="0" borderId="0" xfId="11272" applyFont="1" applyAlignment="1">
      <alignment horizontal="center"/>
    </xf>
    <xf numFmtId="0" fontId="35" fillId="0" borderId="0" xfId="11267" applyFont="1" applyFill="1" applyAlignment="1">
      <alignment horizontal="left"/>
    </xf>
    <xf numFmtId="0" fontId="36" fillId="0" borderId="0" xfId="0" applyFont="1" applyAlignment="1"/>
    <xf numFmtId="0" fontId="35" fillId="0" borderId="0" xfId="504" applyFont="1" applyFill="1" applyAlignment="1">
      <alignment horizontal="left"/>
    </xf>
    <xf numFmtId="0" fontId="35" fillId="0" borderId="0" xfId="504" applyFont="1" applyBorder="1" applyAlignment="1">
      <alignment horizontal="left"/>
    </xf>
    <xf numFmtId="0" fontId="35" fillId="0" borderId="0" xfId="504" applyFont="1" applyFill="1" applyBorder="1" applyAlignment="1">
      <alignment horizontal="center"/>
    </xf>
    <xf numFmtId="0" fontId="36" fillId="0" borderId="0" xfId="504" applyFont="1" applyFill="1" applyBorder="1"/>
    <xf numFmtId="164" fontId="36" fillId="0" borderId="0" xfId="403" applyNumberFormat="1" applyFont="1" applyFill="1" applyBorder="1" applyAlignment="1"/>
    <xf numFmtId="37" fontId="35" fillId="0" borderId="0" xfId="0" applyNumberFormat="1" applyFont="1" applyFill="1"/>
    <xf numFmtId="0" fontId="35" fillId="0" borderId="0" xfId="0" quotePrefix="1" applyFont="1" applyFill="1" applyAlignment="1">
      <alignment horizontal="center"/>
    </xf>
    <xf numFmtId="164" fontId="35" fillId="0" borderId="0" xfId="382" applyNumberFormat="1" applyFont="1" applyAlignment="1"/>
    <xf numFmtId="164" fontId="35" fillId="0" borderId="18" xfId="403" applyNumberFormat="1" applyFont="1" applyBorder="1"/>
    <xf numFmtId="0" fontId="35" fillId="0" borderId="0" xfId="504" applyFont="1" applyAlignment="1">
      <alignment horizontal="center"/>
    </xf>
    <xf numFmtId="0" fontId="35" fillId="0" borderId="0" xfId="504" applyFont="1" applyAlignment="1">
      <alignment wrapText="1"/>
    </xf>
    <xf numFmtId="0" fontId="35" fillId="0" borderId="0" xfId="591" applyFont="1" applyFill="1" applyBorder="1" applyAlignment="1">
      <alignment horizontal="center"/>
    </xf>
    <xf numFmtId="164" fontId="35" fillId="0" borderId="0" xfId="504" applyNumberFormat="1" applyFont="1" applyFill="1" applyBorder="1" applyAlignment="1">
      <alignment wrapText="1"/>
    </xf>
    <xf numFmtId="43" fontId="35" fillId="0" borderId="0" xfId="504" applyNumberFormat="1" applyFont="1"/>
    <xf numFmtId="167" fontId="35" fillId="0" borderId="0" xfId="504" applyNumberFormat="1" applyFont="1" applyFill="1" applyBorder="1"/>
    <xf numFmtId="164" fontId="35" fillId="0" borderId="0" xfId="404" applyNumberFormat="1" applyFont="1" applyFill="1" applyBorder="1"/>
    <xf numFmtId="0" fontId="41" fillId="0" borderId="0" xfId="504" applyFont="1" applyFill="1" applyBorder="1" applyAlignment="1">
      <alignment horizontal="left"/>
    </xf>
    <xf numFmtId="0" fontId="35" fillId="0" borderId="0" xfId="504" applyFont="1" applyBorder="1" applyAlignment="1">
      <alignment horizontal="center"/>
    </xf>
    <xf numFmtId="0" fontId="39" fillId="0" borderId="22" xfId="0" applyNumberFormat="1" applyFont="1" applyFill="1" applyBorder="1" applyAlignment="1">
      <alignment horizontal="center" vertical="top"/>
    </xf>
    <xf numFmtId="0" fontId="39" fillId="0" borderId="0" xfId="0" applyFont="1" applyFill="1" applyBorder="1" applyAlignment="1">
      <alignment vertical="top"/>
    </xf>
    <xf numFmtId="3" fontId="39" fillId="0" borderId="0" xfId="0" applyNumberFormat="1" applyFont="1" applyFill="1" applyBorder="1" applyAlignment="1">
      <alignment horizontal="left" vertical="top"/>
    </xf>
    <xf numFmtId="0" fontId="39" fillId="0" borderId="0" xfId="0" applyFont="1" applyFill="1" applyAlignment="1">
      <alignment vertical="top"/>
    </xf>
    <xf numFmtId="0" fontId="39" fillId="0" borderId="0" xfId="0" applyNumberFormat="1" applyFont="1" applyFill="1" applyAlignment="1">
      <alignment horizontal="center" vertical="top"/>
    </xf>
    <xf numFmtId="0" fontId="39" fillId="50" borderId="0" xfId="0" applyFont="1" applyFill="1" applyBorder="1" applyAlignment="1"/>
    <xf numFmtId="0" fontId="39" fillId="50" borderId="0" xfId="0" applyFont="1" applyFill="1" applyBorder="1"/>
    <xf numFmtId="0" fontId="37" fillId="50" borderId="0" xfId="0" applyFont="1" applyFill="1" applyBorder="1" applyAlignment="1"/>
    <xf numFmtId="0" fontId="39" fillId="50" borderId="11" xfId="0" applyFont="1" applyFill="1" applyBorder="1" applyAlignment="1">
      <alignment horizontal="center" wrapText="1"/>
    </xf>
    <xf numFmtId="0" fontId="37" fillId="50" borderId="6" xfId="0" applyFont="1" applyFill="1" applyBorder="1" applyAlignment="1"/>
    <xf numFmtId="0" fontId="39" fillId="50" borderId="6" xfId="0" applyFont="1" applyFill="1" applyBorder="1" applyAlignment="1"/>
    <xf numFmtId="0" fontId="37" fillId="50" borderId="6" xfId="0" applyNumberFormat="1" applyFont="1" applyFill="1" applyBorder="1" applyAlignment="1">
      <alignment horizontal="center"/>
    </xf>
    <xf numFmtId="0" fontId="39" fillId="50" borderId="6" xfId="0" applyFont="1" applyFill="1" applyBorder="1"/>
    <xf numFmtId="0" fontId="39" fillId="50" borderId="21" xfId="0" applyFont="1" applyFill="1" applyBorder="1" applyAlignment="1">
      <alignment horizontal="center" wrapText="1"/>
    </xf>
    <xf numFmtId="0" fontId="39" fillId="50" borderId="21" xfId="0" applyFont="1" applyFill="1" applyBorder="1"/>
    <xf numFmtId="3" fontId="39" fillId="0" borderId="35" xfId="0" applyNumberFormat="1" applyFont="1" applyFill="1" applyBorder="1" applyAlignment="1">
      <alignment vertical="top"/>
    </xf>
    <xf numFmtId="164" fontId="35" fillId="0" borderId="0" xfId="382" applyNumberFormat="1" applyFont="1"/>
    <xf numFmtId="171" fontId="39" fillId="0" borderId="30" xfId="674" applyNumberFormat="1" applyFont="1" applyFill="1" applyBorder="1"/>
    <xf numFmtId="168" fontId="39" fillId="0" borderId="0" xfId="0" applyNumberFormat="1" applyFont="1" applyFill="1" applyBorder="1" applyAlignment="1">
      <alignment horizontal="left"/>
    </xf>
    <xf numFmtId="10" fontId="39" fillId="0" borderId="30" xfId="674" applyNumberFormat="1" applyFont="1" applyFill="1" applyBorder="1" applyAlignment="1"/>
    <xf numFmtId="10" fontId="37" fillId="0" borderId="26" xfId="674" applyNumberFormat="1" applyFont="1" applyFill="1" applyBorder="1" applyAlignment="1"/>
    <xf numFmtId="3" fontId="39" fillId="0" borderId="35" xfId="0" applyNumberFormat="1" applyFont="1" applyFill="1" applyBorder="1" applyAlignment="1">
      <alignment horizontal="left"/>
    </xf>
    <xf numFmtId="0" fontId="39" fillId="0" borderId="0" xfId="0" applyFont="1" applyAlignment="1">
      <alignment vertical="center"/>
    </xf>
    <xf numFmtId="0" fontId="39" fillId="0" borderId="0" xfId="0" applyFont="1" applyFill="1" applyAlignment="1">
      <alignment vertical="center"/>
    </xf>
    <xf numFmtId="164" fontId="35" fillId="37" borderId="18" xfId="382" applyNumberFormat="1" applyFont="1" applyFill="1" applyBorder="1"/>
    <xf numFmtId="0" fontId="39" fillId="0" borderId="37" xfId="0" applyFont="1" applyFill="1" applyBorder="1"/>
    <xf numFmtId="0" fontId="39" fillId="0" borderId="0" xfId="0" applyFont="1"/>
    <xf numFmtId="0" fontId="39" fillId="0" borderId="0" xfId="0" applyFont="1" applyFill="1"/>
    <xf numFmtId="0" fontId="35" fillId="0" borderId="0" xfId="504" applyFont="1" applyFill="1" applyBorder="1"/>
    <xf numFmtId="164" fontId="35" fillId="0" borderId="0" xfId="382" applyNumberFormat="1" applyFont="1" applyFill="1" applyBorder="1"/>
    <xf numFmtId="0" fontId="36" fillId="0" borderId="0" xfId="504" applyNumberFormat="1" applyFont="1" applyFill="1" applyBorder="1" applyAlignment="1"/>
    <xf numFmtId="3" fontId="36" fillId="0" borderId="0" xfId="504" applyNumberFormat="1" applyFont="1" applyFill="1" applyBorder="1" applyAlignment="1">
      <alignment horizontal="center"/>
    </xf>
    <xf numFmtId="0" fontId="36" fillId="0" borderId="0" xfId="504" applyNumberFormat="1" applyFont="1" applyFill="1" applyBorder="1" applyAlignment="1">
      <alignment horizontal="left"/>
    </xf>
    <xf numFmtId="0" fontId="35" fillId="0" borderId="0" xfId="504" applyNumberFormat="1" applyFont="1" applyFill="1" applyBorder="1" applyAlignment="1">
      <alignment horizontal="left"/>
    </xf>
    <xf numFmtId="0" fontId="35" fillId="0" borderId="0" xfId="504" applyNumberFormat="1" applyFont="1" applyFill="1" applyBorder="1" applyAlignment="1">
      <alignment horizontal="center"/>
    </xf>
    <xf numFmtId="0" fontId="36" fillId="0" borderId="0" xfId="504" applyFont="1" applyFill="1" applyBorder="1" applyAlignment="1"/>
    <xf numFmtId="3" fontId="36" fillId="0" borderId="0" xfId="504" applyNumberFormat="1" applyFont="1" applyFill="1" applyBorder="1" applyAlignment="1"/>
    <xf numFmtId="164" fontId="36" fillId="0" borderId="0" xfId="13644" applyNumberFormat="1" applyFont="1"/>
    <xf numFmtId="10" fontId="39" fillId="0" borderId="26" xfId="0" applyNumberFormat="1" applyFont="1" applyFill="1" applyBorder="1" applyAlignment="1"/>
    <xf numFmtId="169" fontId="39" fillId="0" borderId="0" xfId="0" applyNumberFormat="1" applyFont="1" applyFill="1" applyBorder="1" applyAlignment="1"/>
    <xf numFmtId="164" fontId="35" fillId="0" borderId="0" xfId="504" applyNumberFormat="1" applyFont="1" applyFill="1"/>
    <xf numFmtId="167" fontId="35" fillId="0" borderId="0" xfId="434" applyNumberFormat="1" applyFont="1" applyFill="1" applyBorder="1" applyAlignment="1">
      <alignment horizontal="center" wrapText="1"/>
    </xf>
    <xf numFmtId="164" fontId="49" fillId="37" borderId="0" xfId="382" applyNumberFormat="1" applyFont="1" applyFill="1" applyAlignment="1">
      <alignment horizontal="left"/>
    </xf>
    <xf numFmtId="41" fontId="35" fillId="0" borderId="0" xfId="484" applyNumberFormat="1" applyFont="1" applyFill="1" applyBorder="1" applyAlignment="1">
      <alignment vertical="top"/>
    </xf>
    <xf numFmtId="0" fontId="35" fillId="0" borderId="0" xfId="0" applyFont="1" applyAlignment="1">
      <alignment horizontal="left" indent="1"/>
    </xf>
    <xf numFmtId="0" fontId="49" fillId="0" borderId="0" xfId="11275" applyFont="1"/>
    <xf numFmtId="0" fontId="39" fillId="0" borderId="47" xfId="0" applyNumberFormat="1" applyFont="1" applyFill="1" applyBorder="1" applyAlignment="1"/>
    <xf numFmtId="3" fontId="39" fillId="0" borderId="47" xfId="0" applyNumberFormat="1" applyFont="1" applyFill="1" applyBorder="1" applyAlignment="1"/>
    <xf numFmtId="3" fontId="39" fillId="0" borderId="47" xfId="0" applyNumberFormat="1" applyFont="1" applyFill="1" applyBorder="1" applyAlignment="1">
      <alignment horizontal="center"/>
    </xf>
    <xf numFmtId="0" fontId="39" fillId="0" borderId="47" xfId="0" applyFont="1" applyFill="1" applyBorder="1" applyAlignment="1"/>
    <xf numFmtId="0" fontId="39" fillId="0" borderId="47" xfId="0" applyFont="1" applyFill="1" applyBorder="1" applyAlignment="1">
      <alignment horizontal="center"/>
    </xf>
    <xf numFmtId="0" fontId="37" fillId="0" borderId="47" xfId="0" applyNumberFormat="1" applyFont="1" applyFill="1" applyBorder="1" applyAlignment="1"/>
    <xf numFmtId="0" fontId="39" fillId="0" borderId="47" xfId="0" applyFont="1" applyFill="1" applyBorder="1"/>
    <xf numFmtId="0" fontId="37" fillId="0" borderId="47" xfId="0" applyFont="1" applyFill="1" applyBorder="1"/>
    <xf numFmtId="0" fontId="37" fillId="0" borderId="47" xfId="0" applyFont="1" applyFill="1" applyBorder="1" applyAlignment="1"/>
    <xf numFmtId="0" fontId="37" fillId="0" borderId="47" xfId="0" applyNumberFormat="1" applyFont="1" applyFill="1" applyBorder="1" applyAlignment="1">
      <alignment horizontal="center"/>
    </xf>
    <xf numFmtId="43" fontId="39" fillId="0" borderId="47" xfId="0" applyNumberFormat="1" applyFont="1" applyFill="1" applyBorder="1" applyAlignment="1"/>
    <xf numFmtId="3" fontId="37" fillId="0" borderId="38" xfId="0" applyNumberFormat="1" applyFont="1" applyFill="1" applyBorder="1" applyAlignment="1"/>
    <xf numFmtId="169" fontId="95" fillId="0" borderId="0" xfId="37694" applyFont="1" applyAlignment="1"/>
    <xf numFmtId="164" fontId="95" fillId="0" borderId="0" xfId="382" applyNumberFormat="1" applyFont="1" applyAlignment="1"/>
    <xf numFmtId="0" fontId="95" fillId="0" borderId="0" xfId="37695" applyFont="1"/>
    <xf numFmtId="0" fontId="95" fillId="0" borderId="0" xfId="37695" applyFont="1" applyAlignment="1">
      <alignment horizontal="right"/>
    </xf>
    <xf numFmtId="169" fontId="95" fillId="0" borderId="0" xfId="37696" applyFont="1" applyAlignment="1"/>
    <xf numFmtId="0" fontId="95" fillId="0" borderId="0" xfId="37696" applyNumberFormat="1" applyFont="1" applyAlignment="1" applyProtection="1">
      <protection locked="0"/>
    </xf>
    <xf numFmtId="0" fontId="95" fillId="0" borderId="0" xfId="37696" applyNumberFormat="1" applyFont="1" applyAlignment="1" applyProtection="1">
      <alignment horizontal="center"/>
      <protection locked="0"/>
    </xf>
    <xf numFmtId="0" fontId="95" fillId="0" borderId="0" xfId="37696" applyNumberFormat="1" applyFont="1" applyFill="1" applyAlignment="1" applyProtection="1">
      <protection locked="0"/>
    </xf>
    <xf numFmtId="0" fontId="95" fillId="0" borderId="0" xfId="37696" applyNumberFormat="1" applyFont="1" applyFill="1" applyProtection="1">
      <protection locked="0"/>
    </xf>
    <xf numFmtId="3" fontId="95" fillId="0" borderId="0" xfId="37696" applyNumberFormat="1" applyFont="1" applyAlignment="1">
      <alignment horizontal="center"/>
    </xf>
    <xf numFmtId="3" fontId="95" fillId="0" borderId="0" xfId="37696" applyNumberFormat="1" applyFont="1" applyAlignment="1"/>
    <xf numFmtId="0" fontId="95" fillId="0" borderId="0" xfId="37696" applyNumberFormat="1" applyFont="1" applyProtection="1">
      <protection locked="0"/>
    </xf>
    <xf numFmtId="0" fontId="95" fillId="0" borderId="0" xfId="37696" applyNumberFormat="1" applyFont="1"/>
    <xf numFmtId="0" fontId="114" fillId="0" borderId="0" xfId="37696" applyNumberFormat="1" applyFont="1"/>
    <xf numFmtId="0" fontId="95" fillId="0" borderId="0" xfId="37696" applyNumberFormat="1" applyFont="1" applyFill="1"/>
    <xf numFmtId="49" fontId="95" fillId="0" borderId="0" xfId="37696" applyNumberFormat="1" applyFont="1" applyAlignment="1"/>
    <xf numFmtId="49" fontId="95" fillId="0" borderId="0" xfId="37696" applyNumberFormat="1" applyFont="1" applyAlignment="1">
      <alignment horizontal="center"/>
    </xf>
    <xf numFmtId="164" fontId="95" fillId="0" borderId="0" xfId="382" applyNumberFormat="1" applyFont="1" applyAlignment="1">
      <alignment horizontal="left"/>
    </xf>
    <xf numFmtId="0" fontId="95" fillId="0" borderId="0" xfId="37696" applyNumberFormat="1" applyFont="1" applyAlignment="1">
      <alignment horizontal="center"/>
    </xf>
    <xf numFmtId="49" fontId="95" fillId="0" borderId="0" xfId="37696" applyNumberFormat="1" applyFont="1"/>
    <xf numFmtId="0" fontId="95" fillId="0" borderId="7" xfId="37696" applyNumberFormat="1" applyFont="1" applyBorder="1" applyAlignment="1" applyProtection="1">
      <alignment horizontal="center"/>
      <protection locked="0"/>
    </xf>
    <xf numFmtId="3" fontId="95" fillId="0" borderId="0" xfId="37696" applyNumberFormat="1" applyFont="1"/>
    <xf numFmtId="164" fontId="95" fillId="0" borderId="0" xfId="382" applyNumberFormat="1" applyFont="1" applyFill="1" applyAlignment="1"/>
    <xf numFmtId="0" fontId="95" fillId="0" borderId="0" xfId="37696" applyNumberFormat="1" applyFont="1" applyFill="1" applyAlignment="1"/>
    <xf numFmtId="3" fontId="95" fillId="0" borderId="0" xfId="37696" applyNumberFormat="1" applyFont="1" applyFill="1" applyAlignment="1"/>
    <xf numFmtId="0" fontId="95" fillId="0" borderId="7" xfId="37696" applyNumberFormat="1" applyFont="1" applyFill="1" applyBorder="1" applyAlignment="1" applyProtection="1">
      <alignment horizontal="center"/>
      <protection locked="0"/>
    </xf>
    <xf numFmtId="0" fontId="95" fillId="0" borderId="7" xfId="37696" applyNumberFormat="1" applyFont="1" applyFill="1" applyBorder="1" applyAlignment="1" applyProtection="1">
      <alignment horizontal="centerContinuous"/>
      <protection locked="0"/>
    </xf>
    <xf numFmtId="3" fontId="95" fillId="0" borderId="0" xfId="37696" applyNumberFormat="1" applyFont="1" applyFill="1"/>
    <xf numFmtId="170" fontId="95" fillId="0" borderId="0" xfId="382" applyNumberFormat="1" applyFont="1" applyFill="1" applyAlignment="1"/>
    <xf numFmtId="3" fontId="95" fillId="0" borderId="0" xfId="37695" applyNumberFormat="1" applyFont="1" applyFill="1" applyAlignment="1"/>
    <xf numFmtId="43" fontId="95" fillId="0" borderId="0" xfId="382" applyFont="1" applyFill="1" applyAlignment="1"/>
    <xf numFmtId="3" fontId="95" fillId="0" borderId="0" xfId="37696" applyNumberFormat="1" applyFont="1" applyFill="1" applyAlignment="1">
      <alignment horizontal="left"/>
    </xf>
    <xf numFmtId="43" fontId="95" fillId="0" borderId="7" xfId="382" applyFont="1" applyFill="1" applyBorder="1" applyAlignment="1"/>
    <xf numFmtId="43" fontId="95" fillId="0" borderId="0" xfId="382" applyFont="1" applyFill="1" applyAlignment="1">
      <alignment horizontal="fill"/>
    </xf>
    <xf numFmtId="189" fontId="95" fillId="0" borderId="0" xfId="37695" applyNumberFormat="1" applyFont="1" applyFill="1" applyAlignment="1"/>
    <xf numFmtId="169" fontId="95" fillId="0" borderId="0" xfId="37696" applyFont="1" applyFill="1" applyAlignment="1"/>
    <xf numFmtId="189" fontId="95" fillId="0" borderId="0" xfId="37696" applyNumberFormat="1" applyFont="1" applyFill="1" applyAlignment="1"/>
    <xf numFmtId="0" fontId="95" fillId="0" borderId="0" xfId="37698" applyNumberFormat="1" applyFont="1" applyFill="1" applyAlignment="1"/>
    <xf numFmtId="0" fontId="95" fillId="0" borderId="0" xfId="37698" applyNumberFormat="1" applyFont="1" applyFill="1"/>
    <xf numFmtId="0" fontId="95" fillId="0" borderId="0" xfId="37698" applyNumberFormat="1" applyFont="1" applyFill="1" applyBorder="1" applyAlignment="1"/>
    <xf numFmtId="189" fontId="95" fillId="0" borderId="0" xfId="37698" applyNumberFormat="1" applyFont="1" applyFill="1" applyAlignment="1"/>
    <xf numFmtId="169" fontId="95" fillId="0" borderId="0" xfId="37694" applyFont="1" applyFill="1" applyAlignment="1"/>
    <xf numFmtId="0" fontId="95" fillId="0" borderId="0" xfId="37696" applyNumberFormat="1" applyFont="1" applyFill="1" applyBorder="1"/>
    <xf numFmtId="0" fontId="95" fillId="0" borderId="0" xfId="37698" applyFont="1" applyFill="1" applyAlignment="1"/>
    <xf numFmtId="3" fontId="95" fillId="0" borderId="0" xfId="37698" applyNumberFormat="1" applyFont="1" applyFill="1" applyAlignment="1"/>
    <xf numFmtId="0" fontId="95" fillId="0" borderId="0" xfId="37696" applyNumberFormat="1" applyFont="1" applyFill="1" applyBorder="1" applyAlignment="1" applyProtection="1">
      <alignment horizontal="center"/>
      <protection locked="0"/>
    </xf>
    <xf numFmtId="3" fontId="95" fillId="0" borderId="0" xfId="37696" applyNumberFormat="1" applyFont="1" applyFill="1" applyBorder="1"/>
    <xf numFmtId="169" fontId="95" fillId="0" borderId="0" xfId="37696" applyFont="1" applyFill="1" applyBorder="1" applyAlignment="1"/>
    <xf numFmtId="0" fontId="95" fillId="0" borderId="0" xfId="37696" applyNumberFormat="1" applyFont="1" applyFill="1" applyBorder="1" applyProtection="1">
      <protection locked="0"/>
    </xf>
    <xf numFmtId="0" fontId="95" fillId="0" borderId="0" xfId="37696" applyNumberFormat="1" applyFont="1" applyFill="1" applyBorder="1" applyAlignment="1"/>
    <xf numFmtId="0" fontId="95" fillId="0" borderId="0" xfId="37694" applyNumberFormat="1" applyFont="1" applyFill="1" applyAlignment="1"/>
    <xf numFmtId="0" fontId="95" fillId="0" borderId="0" xfId="37694" applyNumberFormat="1" applyFont="1" applyFill="1"/>
    <xf numFmtId="3" fontId="95" fillId="0" borderId="0" xfId="37694" applyNumberFormat="1" applyFont="1" applyFill="1"/>
    <xf numFmtId="43" fontId="95" fillId="0" borderId="0" xfId="382" applyFont="1" applyFill="1"/>
    <xf numFmtId="0" fontId="95" fillId="0" borderId="0" xfId="37694" applyNumberFormat="1" applyFont="1" applyFill="1" applyProtection="1">
      <protection locked="0"/>
    </xf>
    <xf numFmtId="164" fontId="95" fillId="0" borderId="0" xfId="382" applyNumberFormat="1" applyFont="1" applyFill="1"/>
    <xf numFmtId="3" fontId="95" fillId="0" borderId="0" xfId="37694" applyNumberFormat="1" applyFont="1" applyFill="1" applyAlignment="1"/>
    <xf numFmtId="43" fontId="95" fillId="0" borderId="0" xfId="382" applyFont="1" applyFill="1" applyBorder="1"/>
    <xf numFmtId="43" fontId="95" fillId="0" borderId="7" xfId="382" applyFont="1" applyFill="1" applyBorder="1"/>
    <xf numFmtId="0" fontId="95" fillId="0" borderId="0" xfId="37694" applyNumberFormat="1" applyFont="1" applyFill="1" applyAlignment="1" applyProtection="1">
      <protection locked="0"/>
    </xf>
    <xf numFmtId="43" fontId="95" fillId="0" borderId="0" xfId="382" applyFont="1" applyFill="1" applyAlignment="1">
      <alignment horizontal="center"/>
    </xf>
    <xf numFmtId="0" fontId="95" fillId="0" borderId="0" xfId="37694" applyNumberFormat="1" applyFont="1" applyFill="1" applyAlignment="1">
      <alignment horizontal="left"/>
    </xf>
    <xf numFmtId="0" fontId="95" fillId="0" borderId="0" xfId="37694" applyNumberFormat="1" applyFont="1" applyAlignment="1"/>
    <xf numFmtId="43" fontId="95" fillId="0" borderId="0" xfId="382" applyFont="1" applyProtection="1">
      <protection locked="0"/>
    </xf>
    <xf numFmtId="190" fontId="95" fillId="0" borderId="0" xfId="37694" applyNumberFormat="1" applyFont="1" applyProtection="1">
      <protection locked="0"/>
    </xf>
    <xf numFmtId="0" fontId="95" fillId="0" borderId="0" xfId="37694" applyNumberFormat="1" applyFont="1" applyFill="1" applyAlignment="1" applyProtection="1">
      <alignment horizontal="center"/>
      <protection locked="0"/>
    </xf>
    <xf numFmtId="190" fontId="95" fillId="0" borderId="0" xfId="37694" applyNumberFormat="1" applyFont="1" applyFill="1" applyProtection="1">
      <protection locked="0"/>
    </xf>
    <xf numFmtId="0" fontId="95" fillId="0" borderId="0" xfId="37696" applyNumberFormat="1" applyFont="1" applyAlignment="1"/>
    <xf numFmtId="190" fontId="95" fillId="0" borderId="0" xfId="37696" applyNumberFormat="1" applyFont="1" applyFill="1" applyProtection="1">
      <protection locked="0"/>
    </xf>
    <xf numFmtId="190" fontId="95" fillId="0" borderId="0" xfId="37696" applyNumberFormat="1" applyFont="1" applyProtection="1">
      <protection locked="0"/>
    </xf>
    <xf numFmtId="0" fontId="95" fillId="0" borderId="0" xfId="37695" applyFont="1" applyFill="1" applyAlignment="1">
      <alignment horizontal="right"/>
    </xf>
    <xf numFmtId="166" fontId="95" fillId="0" borderId="0" xfId="37696" applyNumberFormat="1" applyFont="1"/>
    <xf numFmtId="0" fontId="95" fillId="0" borderId="0" xfId="37696" applyNumberFormat="1" applyFont="1" applyAlignment="1">
      <alignment horizontal="right"/>
    </xf>
    <xf numFmtId="0" fontId="116" fillId="0" borderId="0" xfId="37696" applyNumberFormat="1" applyFont="1" applyAlignment="1"/>
    <xf numFmtId="0" fontId="82" fillId="0" borderId="0" xfId="37696" applyNumberFormat="1" applyFont="1" applyAlignment="1" applyProtection="1">
      <alignment horizontal="center"/>
      <protection locked="0"/>
    </xf>
    <xf numFmtId="3" fontId="82" fillId="0" borderId="0" xfId="37696" applyNumberFormat="1" applyFont="1" applyAlignment="1"/>
    <xf numFmtId="0" fontId="82" fillId="0" borderId="0" xfId="37696" applyNumberFormat="1" applyFont="1" applyAlignment="1"/>
    <xf numFmtId="0" fontId="95" fillId="0" borderId="0" xfId="37696" applyNumberFormat="1" applyFont="1" applyFill="1" applyAlignment="1" applyProtection="1">
      <alignment horizontal="center"/>
      <protection locked="0"/>
    </xf>
    <xf numFmtId="191" fontId="95" fillId="0" borderId="0" xfId="37696" applyNumberFormat="1" applyFont="1" applyFill="1" applyAlignment="1"/>
    <xf numFmtId="10" fontId="95" fillId="0" borderId="0" xfId="674" applyNumberFormat="1" applyFont="1" applyAlignment="1"/>
    <xf numFmtId="164" fontId="95" fillId="0" borderId="7" xfId="382" applyNumberFormat="1" applyFont="1" applyFill="1" applyBorder="1" applyAlignment="1"/>
    <xf numFmtId="170" fontId="95" fillId="0" borderId="0" xfId="382" applyNumberFormat="1" applyFont="1" applyFill="1" applyAlignment="1">
      <alignment horizontal="center"/>
    </xf>
    <xf numFmtId="170" fontId="95" fillId="0" borderId="0" xfId="37696" applyNumberFormat="1" applyFont="1" applyFill="1" applyAlignment="1">
      <alignment horizontal="center"/>
    </xf>
    <xf numFmtId="170" fontId="95" fillId="0" borderId="0" xfId="37696" applyNumberFormat="1" applyFont="1" applyFill="1" applyAlignment="1"/>
    <xf numFmtId="3" fontId="95" fillId="0" borderId="0" xfId="37698" applyNumberFormat="1" applyFont="1" applyFill="1" applyBorder="1" applyAlignment="1"/>
    <xf numFmtId="164" fontId="95" fillId="0" borderId="0" xfId="382" applyNumberFormat="1" applyFont="1" applyFill="1" applyBorder="1" applyAlignment="1"/>
    <xf numFmtId="3" fontId="116" fillId="0" borderId="0" xfId="37696" applyNumberFormat="1" applyFont="1" applyFill="1" applyAlignment="1"/>
    <xf numFmtId="169" fontId="116" fillId="0" borderId="0" xfId="37694" applyFont="1" applyFill="1" applyAlignment="1"/>
    <xf numFmtId="169" fontId="116" fillId="0" borderId="0" xfId="37694" applyFont="1" applyAlignment="1"/>
    <xf numFmtId="191" fontId="95" fillId="0" borderId="0" xfId="37695" applyNumberFormat="1" applyFont="1" applyFill="1" applyAlignment="1">
      <alignment horizontal="right"/>
    </xf>
    <xf numFmtId="168" fontId="95" fillId="0" borderId="0" xfId="37696" applyNumberFormat="1" applyFont="1" applyFill="1" applyAlignment="1">
      <alignment horizontal="center"/>
    </xf>
    <xf numFmtId="170" fontId="95" fillId="0" borderId="0" xfId="382" applyNumberFormat="1" applyFont="1" applyFill="1" applyAlignment="1">
      <alignment horizontal="right"/>
    </xf>
    <xf numFmtId="0" fontId="95" fillId="0" borderId="0" xfId="37695" applyNumberFormat="1" applyFont="1" applyFill="1"/>
    <xf numFmtId="164" fontId="95" fillId="0" borderId="40" xfId="382" applyNumberFormat="1" applyFont="1" applyFill="1" applyBorder="1" applyAlignment="1"/>
    <xf numFmtId="168" fontId="95" fillId="0" borderId="0" xfId="37695" applyNumberFormat="1" applyFont="1" applyFill="1" applyAlignment="1">
      <alignment horizontal="center"/>
    </xf>
    <xf numFmtId="3" fontId="95" fillId="0" borderId="0" xfId="37695" applyNumberFormat="1" applyFont="1" applyFill="1" applyBorder="1" applyAlignment="1"/>
    <xf numFmtId="3" fontId="95" fillId="0" borderId="0" xfId="37696" applyNumberFormat="1" applyFont="1" applyFill="1" applyAlignment="1">
      <alignment horizontal="right"/>
    </xf>
    <xf numFmtId="3" fontId="95" fillId="0" borderId="0" xfId="37696" applyNumberFormat="1" applyFont="1" applyFill="1" applyAlignment="1">
      <alignment horizontal="center"/>
    </xf>
    <xf numFmtId="0" fontId="95" fillId="0" borderId="0" xfId="37695" applyFont="1" applyFill="1"/>
    <xf numFmtId="0" fontId="95" fillId="0" borderId="0" xfId="37696" applyNumberFormat="1" applyFont="1" applyFill="1" applyAlignment="1">
      <alignment horizontal="center"/>
    </xf>
    <xf numFmtId="49" fontId="95" fillId="0" borderId="0" xfId="37696" applyNumberFormat="1" applyFont="1" applyFill="1" applyAlignment="1">
      <alignment horizontal="center"/>
    </xf>
    <xf numFmtId="3" fontId="82" fillId="0" borderId="0" xfId="37696" applyNumberFormat="1" applyFont="1" applyFill="1" applyAlignment="1">
      <alignment horizontal="center"/>
    </xf>
    <xf numFmtId="169" fontId="82" fillId="0" borderId="0" xfId="37696" applyFont="1" applyFill="1" applyAlignment="1">
      <alignment horizontal="center"/>
    </xf>
    <xf numFmtId="3" fontId="82" fillId="0" borderId="0" xfId="37696" applyNumberFormat="1" applyFont="1" applyFill="1" applyAlignment="1"/>
    <xf numFmtId="193" fontId="95" fillId="0" borderId="0" xfId="37694" applyNumberFormat="1" applyFont="1" applyAlignment="1"/>
    <xf numFmtId="0" fontId="95" fillId="0" borderId="0" xfId="37696" quotePrefix="1" applyNumberFormat="1" applyFont="1" applyFill="1"/>
    <xf numFmtId="0" fontId="95" fillId="0" borderId="0" xfId="37698" applyNumberFormat="1" applyFont="1" applyFill="1" applyAlignment="1" applyProtection="1">
      <alignment horizontal="center"/>
      <protection locked="0"/>
    </xf>
    <xf numFmtId="169" fontId="95" fillId="0" borderId="0" xfId="37694" quotePrefix="1" applyFont="1" applyFill="1" applyAlignment="1"/>
    <xf numFmtId="10" fontId="95" fillId="0" borderId="0" xfId="674" applyNumberFormat="1" applyFont="1" applyFill="1" applyAlignment="1"/>
    <xf numFmtId="189" fontId="95" fillId="0" borderId="0" xfId="37696" applyNumberFormat="1" applyFont="1" applyFill="1" applyAlignment="1">
      <alignment horizontal="center"/>
    </xf>
    <xf numFmtId="194" fontId="95" fillId="0" borderId="0" xfId="37696" applyNumberFormat="1" applyFont="1" applyFill="1" applyAlignment="1"/>
    <xf numFmtId="189" fontId="95" fillId="0" borderId="0" xfId="37695" applyNumberFormat="1" applyFont="1" applyFill="1" applyAlignment="1">
      <alignment horizontal="center"/>
    </xf>
    <xf numFmtId="164" fontId="95" fillId="0" borderId="17" xfId="382" applyNumberFormat="1" applyFont="1" applyFill="1" applyBorder="1" applyAlignment="1"/>
    <xf numFmtId="164" fontId="95" fillId="0" borderId="53" xfId="382" applyNumberFormat="1" applyFont="1" applyFill="1" applyBorder="1" applyAlignment="1"/>
    <xf numFmtId="0" fontId="95" fillId="0" borderId="0" xfId="37695" applyNumberFormat="1" applyFont="1" applyFill="1" applyAlignment="1"/>
    <xf numFmtId="169" fontId="95" fillId="0" borderId="0" xfId="37696" applyFont="1" applyFill="1" applyAlignment="1">
      <alignment horizontal="center"/>
    </xf>
    <xf numFmtId="169" fontId="95" fillId="0" borderId="0" xfId="37696" applyFont="1" applyFill="1" applyAlignment="1">
      <alignment horizontal="right"/>
    </xf>
    <xf numFmtId="0" fontId="82" fillId="0" borderId="0" xfId="37696" applyNumberFormat="1" applyFont="1" applyFill="1" applyAlignment="1"/>
    <xf numFmtId="0" fontId="95" fillId="0" borderId="7" xfId="37696" applyNumberFormat="1" applyFont="1" applyFill="1" applyBorder="1"/>
    <xf numFmtId="49" fontId="95" fillId="0" borderId="0" xfId="37696" applyNumberFormat="1" applyFont="1" applyFill="1" applyAlignment="1"/>
    <xf numFmtId="3" fontId="95" fillId="0" borderId="7" xfId="37696" applyNumberFormat="1" applyFont="1" applyFill="1" applyBorder="1" applyAlignment="1"/>
    <xf numFmtId="3" fontId="95" fillId="0" borderId="7" xfId="37696" applyNumberFormat="1" applyFont="1" applyFill="1" applyBorder="1" applyAlignment="1">
      <alignment horizontal="center"/>
    </xf>
    <xf numFmtId="43" fontId="95" fillId="0" borderId="0" xfId="382" applyNumberFormat="1" applyFont="1" applyFill="1" applyAlignment="1"/>
    <xf numFmtId="3" fontId="95" fillId="0" borderId="0" xfId="37695" applyNumberFormat="1" applyFont="1" applyFill="1" applyBorder="1" applyAlignment="1">
      <alignment horizontal="center"/>
    </xf>
    <xf numFmtId="0" fontId="95" fillId="0" borderId="7" xfId="37695" applyNumberFormat="1" applyFont="1" applyFill="1" applyBorder="1" applyAlignment="1">
      <alignment horizontal="center"/>
    </xf>
    <xf numFmtId="0" fontId="95" fillId="0" borderId="0" xfId="37695" applyNumberFormat="1" applyFont="1" applyFill="1" applyAlignment="1">
      <alignment horizontal="center"/>
    </xf>
    <xf numFmtId="192" fontId="95" fillId="0" borderId="0" xfId="382" applyNumberFormat="1" applyFont="1" applyFill="1" applyAlignment="1"/>
    <xf numFmtId="189" fontId="95" fillId="0" borderId="0" xfId="37696" applyNumberFormat="1" applyFont="1" applyFill="1" applyAlignment="1" applyProtection="1">
      <alignment horizontal="center"/>
      <protection locked="0"/>
    </xf>
    <xf numFmtId="0" fontId="95" fillId="0" borderId="0" xfId="37696" applyNumberFormat="1" applyFont="1" applyFill="1" applyAlignment="1">
      <alignment horizontal="left"/>
    </xf>
    <xf numFmtId="192" fontId="95" fillId="0" borderId="0" xfId="382" applyNumberFormat="1" applyFont="1" applyFill="1" applyAlignment="1">
      <alignment horizontal="center"/>
    </xf>
    <xf numFmtId="168" fontId="95" fillId="0" borderId="0" xfId="674" applyNumberFormat="1" applyFont="1" applyFill="1" applyAlignment="1"/>
    <xf numFmtId="3" fontId="95" fillId="0" borderId="0" xfId="37696" quotePrefix="1" applyNumberFormat="1" applyFont="1" applyFill="1" applyAlignment="1"/>
    <xf numFmtId="168" fontId="95" fillId="0" borderId="7" xfId="674" applyNumberFormat="1" applyFont="1" applyFill="1" applyBorder="1" applyAlignment="1"/>
    <xf numFmtId="164" fontId="95" fillId="0" borderId="0" xfId="382" applyNumberFormat="1" applyFont="1" applyFill="1" applyAlignment="1">
      <alignment horizontal="center"/>
    </xf>
    <xf numFmtId="169" fontId="95" fillId="0" borderId="0" xfId="37696" applyFont="1" applyFill="1" applyAlignment="1" applyProtection="1"/>
    <xf numFmtId="195" fontId="95" fillId="0" borderId="0" xfId="382" applyNumberFormat="1" applyFont="1" applyFill="1" applyBorder="1" applyProtection="1">
      <protection locked="0"/>
    </xf>
    <xf numFmtId="38" fontId="95" fillId="0" borderId="0" xfId="37696" applyNumberFormat="1" applyFont="1" applyFill="1" applyAlignment="1" applyProtection="1"/>
    <xf numFmtId="195" fontId="95" fillId="0" borderId="7" xfId="382" applyNumberFormat="1" applyFont="1" applyFill="1" applyBorder="1" applyProtection="1">
      <protection locked="0"/>
    </xf>
    <xf numFmtId="38" fontId="95" fillId="0" borderId="0" xfId="37696" applyNumberFormat="1" applyFont="1" applyFill="1" applyAlignment="1"/>
    <xf numFmtId="193" fontId="95" fillId="0" borderId="0" xfId="37696" applyNumberFormat="1" applyFont="1" applyFill="1" applyBorder="1" applyProtection="1"/>
    <xf numFmtId="196" fontId="95" fillId="0" borderId="0" xfId="37696" applyNumberFormat="1" applyFont="1" applyFill="1" applyProtection="1">
      <protection locked="0"/>
    </xf>
    <xf numFmtId="1" fontId="95" fillId="0" borderId="0" xfId="37696" applyNumberFormat="1" applyFont="1" applyFill="1" applyProtection="1"/>
    <xf numFmtId="1" fontId="95" fillId="0" borderId="0" xfId="37696" applyNumberFormat="1" applyFont="1" applyFill="1" applyAlignment="1" applyProtection="1"/>
    <xf numFmtId="3" fontId="95" fillId="0" borderId="0" xfId="37696" applyNumberFormat="1" applyFont="1" applyFill="1" applyAlignment="1" applyProtection="1"/>
    <xf numFmtId="164" fontId="95" fillId="0" borderId="0" xfId="382" applyNumberFormat="1" applyFont="1" applyFill="1" applyBorder="1" applyAlignment="1" applyProtection="1"/>
    <xf numFmtId="193" fontId="95" fillId="0" borderId="0" xfId="37696" applyNumberFormat="1" applyFont="1" applyFill="1" applyBorder="1" applyAlignment="1" applyProtection="1"/>
    <xf numFmtId="0" fontId="115" fillId="0" borderId="0" xfId="37698" applyNumberFormat="1" applyFont="1" applyFill="1" applyAlignment="1" applyProtection="1">
      <alignment vertical="top" wrapText="1"/>
      <protection locked="0"/>
    </xf>
    <xf numFmtId="164" fontId="115" fillId="0" borderId="0" xfId="382" applyNumberFormat="1" applyFont="1" applyFill="1" applyAlignment="1" applyProtection="1">
      <alignment vertical="top" wrapText="1"/>
      <protection locked="0"/>
    </xf>
    <xf numFmtId="164" fontId="39" fillId="0" borderId="0" xfId="382" applyNumberFormat="1" applyFont="1"/>
    <xf numFmtId="0" fontId="37" fillId="0" borderId="0" xfId="0" applyFont="1" applyAlignment="1">
      <alignment horizontal="center"/>
    </xf>
    <xf numFmtId="3" fontId="39" fillId="0" borderId="0" xfId="0" applyNumberFormat="1" applyFont="1" applyFill="1" applyBorder="1"/>
    <xf numFmtId="0" fontId="39" fillId="0" borderId="17" xfId="0" applyFont="1" applyFill="1" applyBorder="1"/>
    <xf numFmtId="0" fontId="39" fillId="0" borderId="17" xfId="0" applyFont="1" applyFill="1" applyBorder="1" applyAlignment="1">
      <alignment horizontal="center"/>
    </xf>
    <xf numFmtId="3" fontId="37" fillId="0" borderId="36" xfId="0" applyNumberFormat="1" applyFont="1" applyFill="1" applyBorder="1" applyAlignment="1"/>
    <xf numFmtId="164" fontId="39" fillId="0" borderId="30" xfId="382" applyNumberFormat="1" applyFont="1" applyFill="1" applyBorder="1"/>
    <xf numFmtId="0" fontId="39" fillId="0" borderId="0" xfId="0" quotePrefix="1" applyFont="1" applyFill="1" applyBorder="1" applyAlignment="1">
      <alignment horizontal="center" wrapText="1"/>
    </xf>
    <xf numFmtId="0" fontId="39" fillId="0" borderId="18" xfId="0" applyFont="1" applyFill="1" applyBorder="1"/>
    <xf numFmtId="0" fontId="39" fillId="0" borderId="0" xfId="0" applyFont="1" applyFill="1" applyAlignment="1">
      <alignment horizontal="right"/>
    </xf>
    <xf numFmtId="0" fontId="37" fillId="0" borderId="17" xfId="0" applyFont="1" applyFill="1" applyBorder="1" applyAlignment="1"/>
    <xf numFmtId="3" fontId="37" fillId="0" borderId="47" xfId="0" applyNumberFormat="1" applyFont="1" applyFill="1" applyBorder="1" applyAlignment="1">
      <alignment horizontal="center"/>
    </xf>
    <xf numFmtId="0" fontId="37" fillId="0" borderId="6" xfId="0" applyNumberFormat="1" applyFont="1" applyFill="1" applyBorder="1" applyAlignment="1">
      <alignment horizontal="center"/>
    </xf>
    <xf numFmtId="0" fontId="37" fillId="0" borderId="6" xfId="0" applyFont="1" applyFill="1" applyBorder="1" applyAlignment="1">
      <alignment horizontal="center" wrapText="1"/>
    </xf>
    <xf numFmtId="0" fontId="37" fillId="0" borderId="6" xfId="0" applyFont="1" applyFill="1" applyBorder="1" applyAlignment="1">
      <alignment horizontal="center"/>
    </xf>
    <xf numFmtId="43" fontId="37" fillId="0" borderId="0" xfId="382" applyFont="1" applyBorder="1"/>
    <xf numFmtId="0" fontId="37" fillId="35" borderId="46" xfId="0" applyFont="1" applyFill="1" applyBorder="1" applyAlignment="1">
      <alignment horizontal="center" wrapText="1"/>
    </xf>
    <xf numFmtId="0" fontId="39" fillId="50" borderId="32" xfId="0" applyFont="1" applyFill="1" applyBorder="1" applyAlignment="1">
      <alignment horizontal="center" wrapText="1"/>
    </xf>
    <xf numFmtId="0" fontId="39" fillId="50" borderId="42" xfId="0" applyFont="1" applyFill="1" applyBorder="1" applyAlignment="1">
      <alignment horizontal="center" wrapText="1"/>
    </xf>
    <xf numFmtId="0" fontId="46" fillId="35" borderId="31" xfId="0" applyFont="1" applyFill="1" applyBorder="1" applyAlignment="1">
      <alignment horizontal="left"/>
    </xf>
    <xf numFmtId="0" fontId="37" fillId="35" borderId="46" xfId="0" applyFont="1" applyFill="1" applyBorder="1" applyAlignment="1"/>
    <xf numFmtId="0" fontId="37" fillId="35" borderId="46" xfId="0" applyNumberFormat="1" applyFont="1" applyFill="1" applyBorder="1" applyAlignment="1">
      <alignment horizontal="center"/>
    </xf>
    <xf numFmtId="0" fontId="37" fillId="35" borderId="46" xfId="0" applyNumberFormat="1" applyFont="1" applyFill="1" applyBorder="1" applyAlignment="1">
      <alignment horizontal="center" wrapText="1"/>
    </xf>
    <xf numFmtId="3" fontId="39" fillId="0" borderId="41" xfId="0" applyNumberFormat="1" applyFont="1" applyBorder="1" applyAlignment="1"/>
    <xf numFmtId="43" fontId="37" fillId="0" borderId="35" xfId="382" applyFont="1" applyBorder="1"/>
    <xf numFmtId="43" fontId="37" fillId="0" borderId="41" xfId="382" applyFont="1" applyBorder="1"/>
    <xf numFmtId="43" fontId="106" fillId="0" borderId="0" xfId="382" applyFont="1" applyFill="1" applyAlignment="1">
      <alignment horizontal="center" wrapText="1"/>
    </xf>
    <xf numFmtId="164" fontId="105" fillId="0" borderId="0" xfId="382" applyNumberFormat="1" applyFont="1" applyFill="1" applyBorder="1"/>
    <xf numFmtId="0" fontId="108" fillId="0" borderId="0" xfId="0" applyFont="1"/>
    <xf numFmtId="0" fontId="35" fillId="0" borderId="0" xfId="0" applyFont="1" applyFill="1" applyBorder="1" applyAlignment="1">
      <alignment horizontal="center"/>
    </xf>
    <xf numFmtId="164" fontId="105" fillId="0" borderId="0" xfId="382" applyNumberFormat="1" applyFont="1" applyFill="1" applyAlignment="1">
      <alignment horizontal="center"/>
    </xf>
    <xf numFmtId="17" fontId="35" fillId="0" borderId="0" xfId="0" applyNumberFormat="1" applyFont="1" applyFill="1" applyBorder="1"/>
    <xf numFmtId="166" fontId="35" fillId="0" borderId="0" xfId="678" applyNumberFormat="1" applyFont="1" applyBorder="1"/>
    <xf numFmtId="43" fontId="35" fillId="0" borderId="0" xfId="0" applyNumberFormat="1" applyFont="1" applyFill="1"/>
    <xf numFmtId="43" fontId="35" fillId="0" borderId="0" xfId="0" applyNumberFormat="1" applyFont="1" applyFill="1" applyBorder="1"/>
    <xf numFmtId="0" fontId="117" fillId="0" borderId="0" xfId="0" applyFont="1" applyAlignment="1">
      <alignment horizontal="center"/>
    </xf>
    <xf numFmtId="43" fontId="113" fillId="0" borderId="0" xfId="382" applyFont="1" applyAlignment="1">
      <alignment horizontal="center"/>
    </xf>
    <xf numFmtId="10" fontId="35" fillId="0" borderId="0" xfId="678" applyNumberFormat="1" applyFont="1" applyFill="1" applyBorder="1"/>
    <xf numFmtId="164" fontId="113" fillId="0" borderId="0" xfId="382" applyNumberFormat="1" applyFont="1"/>
    <xf numFmtId="0" fontId="36" fillId="0" borderId="0" xfId="0" applyFont="1" applyBorder="1"/>
    <xf numFmtId="39" fontId="35" fillId="0" borderId="0" xfId="403" applyNumberFormat="1" applyFont="1" applyFill="1"/>
    <xf numFmtId="10" fontId="35" fillId="0" borderId="0" xfId="674" applyNumberFormat="1" applyFont="1" applyFill="1"/>
    <xf numFmtId="10" fontId="35" fillId="0" borderId="0" xfId="678" applyNumberFormat="1" applyFont="1" applyBorder="1"/>
    <xf numFmtId="43" fontId="35" fillId="0" borderId="0" xfId="0" applyNumberFormat="1" applyFont="1"/>
    <xf numFmtId="43" fontId="35" fillId="0" borderId="0" xfId="0" quotePrefix="1" applyNumberFormat="1" applyFont="1" applyFill="1"/>
    <xf numFmtId="164" fontId="49" fillId="0" borderId="0" xfId="382" applyNumberFormat="1" applyFont="1" applyFill="1"/>
    <xf numFmtId="0" fontId="49" fillId="0" borderId="0" xfId="0" applyFont="1" applyAlignment="1">
      <alignment horizontal="center"/>
    </xf>
    <xf numFmtId="164" fontId="49" fillId="0" borderId="0" xfId="382" applyNumberFormat="1" applyFont="1" applyAlignment="1">
      <alignment horizontal="center"/>
    </xf>
    <xf numFmtId="0" fontId="35" fillId="0" borderId="0" xfId="0" applyFont="1" applyAlignment="1">
      <alignment horizontal="center" wrapText="1"/>
    </xf>
    <xf numFmtId="0" fontId="49" fillId="0" borderId="0" xfId="0" quotePrefix="1" applyFont="1" applyAlignment="1">
      <alignment horizontal="center" wrapText="1"/>
    </xf>
    <xf numFmtId="0" fontId="49" fillId="0" borderId="0" xfId="0" applyFont="1" applyAlignment="1">
      <alignment horizontal="left"/>
    </xf>
    <xf numFmtId="37" fontId="49" fillId="0" borderId="0" xfId="0" applyNumberFormat="1" applyFont="1" applyAlignment="1">
      <alignment horizontal="center"/>
    </xf>
    <xf numFmtId="164" fontId="49" fillId="37" borderId="0" xfId="382" applyNumberFormat="1" applyFont="1" applyFill="1" applyAlignment="1"/>
    <xf numFmtId="0" fontId="107" fillId="0" borderId="0" xfId="0" quotePrefix="1" applyFont="1" applyAlignment="1">
      <alignment horizontal="left" wrapText="1"/>
    </xf>
    <xf numFmtId="0" fontId="76" fillId="0" borderId="0" xfId="0" applyFont="1" applyFill="1" applyBorder="1"/>
    <xf numFmtId="0" fontId="49" fillId="0" borderId="0" xfId="474" quotePrefix="1" applyFont="1" applyAlignment="1"/>
    <xf numFmtId="0" fontId="49" fillId="0" borderId="0" xfId="11272" applyFont="1" applyAlignment="1"/>
    <xf numFmtId="43" fontId="105" fillId="0" borderId="0" xfId="382" applyFont="1" applyFill="1" applyBorder="1" applyAlignment="1">
      <alignment horizontal="center" wrapText="1"/>
    </xf>
    <xf numFmtId="17" fontId="35" fillId="0" borderId="0" xfId="0" applyNumberFormat="1" applyFont="1" applyFill="1" applyBorder="1" applyAlignment="1">
      <alignment horizontal="left" vertical="top"/>
    </xf>
    <xf numFmtId="10" fontId="35" fillId="0" borderId="0" xfId="678" applyNumberFormat="1" applyFont="1" applyBorder="1" applyAlignment="1">
      <alignment horizontal="left" vertical="top"/>
    </xf>
    <xf numFmtId="166" fontId="35" fillId="0" borderId="0" xfId="678" applyNumberFormat="1" applyFont="1" applyBorder="1" applyAlignment="1">
      <alignment horizontal="left" vertical="top"/>
    </xf>
    <xf numFmtId="164" fontId="49" fillId="0" borderId="0" xfId="382" applyNumberFormat="1" applyFont="1" applyFill="1" applyBorder="1" applyAlignment="1">
      <alignment horizontal="left"/>
    </xf>
    <xf numFmtId="164" fontId="118" fillId="0" borderId="0" xfId="382" applyNumberFormat="1" applyFont="1"/>
    <xf numFmtId="0" fontId="35" fillId="0" borderId="0" xfId="474" applyFont="1"/>
    <xf numFmtId="0" fontId="35" fillId="0" borderId="0" xfId="11267" applyFont="1" applyFill="1" applyAlignment="1">
      <alignment horizontal="left" indent="1"/>
    </xf>
    <xf numFmtId="49" fontId="35" fillId="0" borderId="0" xfId="0" applyNumberFormat="1" applyFont="1"/>
    <xf numFmtId="43" fontId="113" fillId="0" borderId="0" xfId="382" applyFont="1"/>
    <xf numFmtId="0" fontId="35" fillId="0" borderId="0" xfId="474" applyFont="1" applyBorder="1"/>
    <xf numFmtId="164" fontId="35" fillId="0" borderId="0" xfId="382" applyNumberFormat="1" applyFont="1" applyBorder="1"/>
    <xf numFmtId="164" fontId="35" fillId="0" borderId="0" xfId="474" applyNumberFormat="1" applyFont="1" applyBorder="1"/>
    <xf numFmtId="0" fontId="35" fillId="0" borderId="0" xfId="517" applyNumberFormat="1" applyFont="1" applyFill="1" applyBorder="1" applyAlignment="1">
      <alignment horizontal="center"/>
    </xf>
    <xf numFmtId="0" fontId="35" fillId="0" borderId="0" xfId="474" applyFont="1" applyBorder="1" applyAlignment="1">
      <alignment horizontal="center"/>
    </xf>
    <xf numFmtId="164" fontId="35" fillId="0" borderId="0" xfId="474" applyNumberFormat="1" applyFont="1"/>
    <xf numFmtId="0" fontId="36" fillId="0" borderId="0" xfId="474" applyFont="1" applyAlignment="1"/>
    <xf numFmtId="17" fontId="35" fillId="0" borderId="0" xfId="517" applyNumberFormat="1" applyFont="1" applyBorder="1"/>
    <xf numFmtId="0" fontId="36" fillId="0" borderId="0" xfId="474" applyFont="1"/>
    <xf numFmtId="0" fontId="35" fillId="0" borderId="0" xfId="517" applyNumberFormat="1" applyFont="1" applyFill="1" applyBorder="1" applyAlignment="1">
      <alignment horizontal="right"/>
    </xf>
    <xf numFmtId="17" fontId="35" fillId="0" borderId="0" xfId="517" applyNumberFormat="1" applyFont="1" applyBorder="1" applyAlignment="1">
      <alignment horizontal="center"/>
    </xf>
    <xf numFmtId="43" fontId="35" fillId="0" borderId="0" xfId="382" applyFont="1" applyAlignment="1">
      <alignment wrapText="1"/>
    </xf>
    <xf numFmtId="43" fontId="35" fillId="0" borderId="0" xfId="382" applyFont="1" applyAlignment="1">
      <alignment horizontal="left"/>
    </xf>
    <xf numFmtId="43" fontId="37" fillId="0" borderId="26" xfId="382" applyFont="1" applyFill="1" applyBorder="1" applyAlignment="1">
      <alignment horizontal="center"/>
    </xf>
    <xf numFmtId="49" fontId="35" fillId="0" borderId="0" xfId="0" applyNumberFormat="1" applyFont="1" applyBorder="1"/>
    <xf numFmtId="164" fontId="35" fillId="0" borderId="0" xfId="382" applyNumberFormat="1" applyFont="1" applyFill="1" applyBorder="1" applyAlignment="1">
      <alignment horizontal="left"/>
    </xf>
    <xf numFmtId="43" fontId="105" fillId="0" borderId="0" xfId="382" applyFont="1" applyFill="1" applyBorder="1" applyAlignment="1">
      <alignment horizontal="center"/>
    </xf>
    <xf numFmtId="0" fontId="35" fillId="0" borderId="0" xfId="474" applyFont="1" applyBorder="1" applyProtection="1">
      <protection locked="0"/>
    </xf>
    <xf numFmtId="164" fontId="35" fillId="0" borderId="0" xfId="382" applyNumberFormat="1" applyFont="1" applyBorder="1" applyProtection="1">
      <protection locked="0"/>
    </xf>
    <xf numFmtId="43" fontId="49" fillId="0" borderId="0" xfId="382" applyFont="1" applyAlignment="1">
      <alignment horizontal="center"/>
    </xf>
    <xf numFmtId="0" fontId="35" fillId="0" borderId="0" xfId="504" applyFont="1" applyFill="1" applyBorder="1" applyAlignment="1">
      <alignment horizontal="center" wrapText="1"/>
    </xf>
    <xf numFmtId="0" fontId="36" fillId="0" borderId="0" xfId="569" applyFont="1" applyFill="1" applyBorder="1" applyAlignment="1">
      <alignment horizontal="center" vertical="top"/>
    </xf>
    <xf numFmtId="164" fontId="35" fillId="0" borderId="0" xfId="569" applyNumberFormat="1" applyFont="1" applyFill="1" applyBorder="1" applyAlignment="1">
      <alignment horizontal="center" vertical="top"/>
    </xf>
    <xf numFmtId="0" fontId="35" fillId="0" borderId="0" xfId="569" quotePrefix="1" applyFont="1" applyFill="1" applyBorder="1" applyAlignment="1">
      <alignment horizontal="left" vertical="top"/>
    </xf>
    <xf numFmtId="0" fontId="35" fillId="0" borderId="0" xfId="530" applyFont="1" applyAlignment="1"/>
    <xf numFmtId="0" fontId="35" fillId="0" borderId="0" xfId="530" applyFont="1" applyBorder="1" applyAlignment="1"/>
    <xf numFmtId="0" fontId="49" fillId="0" borderId="0" xfId="530" applyFont="1" applyBorder="1" applyAlignment="1"/>
    <xf numFmtId="0" fontId="49" fillId="0" borderId="18" xfId="530" applyFont="1" applyBorder="1" applyAlignment="1"/>
    <xf numFmtId="0" fontId="105" fillId="0" borderId="18" xfId="0" applyFont="1" applyBorder="1"/>
    <xf numFmtId="0" fontId="35" fillId="0" borderId="18" xfId="0" applyFont="1" applyBorder="1"/>
    <xf numFmtId="0" fontId="49" fillId="0" borderId="18" xfId="530" applyFont="1" applyBorder="1" applyAlignment="1">
      <alignment horizontal="center"/>
    </xf>
    <xf numFmtId="164" fontId="49" fillId="37" borderId="54" xfId="382" applyNumberFormat="1" applyFont="1" applyFill="1" applyBorder="1" applyAlignment="1">
      <alignment horizontal="left"/>
    </xf>
    <xf numFmtId="164" fontId="49" fillId="37" borderId="45" xfId="382" applyNumberFormat="1" applyFont="1" applyFill="1" applyBorder="1" applyAlignment="1">
      <alignment horizontal="left"/>
    </xf>
    <xf numFmtId="0" fontId="49" fillId="0" borderId="45" xfId="530" applyFont="1" applyBorder="1" applyAlignment="1">
      <alignment horizontal="center"/>
    </xf>
    <xf numFmtId="0" fontId="35" fillId="0" borderId="0" xfId="533" applyFont="1"/>
    <xf numFmtId="0" fontId="35" fillId="0" borderId="11" xfId="0" applyFont="1" applyFill="1" applyBorder="1"/>
    <xf numFmtId="0" fontId="35" fillId="0" borderId="0" xfId="0" applyFont="1" applyFill="1" applyBorder="1" applyAlignment="1">
      <alignment horizontal="center" wrapText="1"/>
    </xf>
    <xf numFmtId="0" fontId="35" fillId="0" borderId="0" xfId="0" applyFont="1" applyFill="1" applyAlignment="1">
      <alignment horizontal="center" vertical="top"/>
    </xf>
    <xf numFmtId="0" fontId="35" fillId="0" borderId="0" xfId="0" applyFont="1" applyFill="1" applyAlignment="1">
      <alignment vertical="top"/>
    </xf>
    <xf numFmtId="164" fontId="35" fillId="0" borderId="18" xfId="382" applyNumberFormat="1" applyFont="1" applyFill="1" applyBorder="1"/>
    <xf numFmtId="164" fontId="35" fillId="0" borderId="18" xfId="382" applyNumberFormat="1" applyFont="1" applyBorder="1"/>
    <xf numFmtId="164" fontId="44" fillId="0" borderId="0" xfId="382" applyNumberFormat="1" applyFont="1" applyFill="1" applyBorder="1" applyAlignment="1">
      <alignment horizontal="center"/>
    </xf>
    <xf numFmtId="164" fontId="36" fillId="0" borderId="0" xfId="403" applyNumberFormat="1" applyFont="1" applyFill="1" applyAlignment="1"/>
    <xf numFmtId="164" fontId="36" fillId="0" borderId="0" xfId="504" applyNumberFormat="1" applyFont="1"/>
    <xf numFmtId="0" fontId="35" fillId="0" borderId="0" xfId="504" applyFont="1" applyAlignment="1">
      <alignment vertical="center"/>
    </xf>
    <xf numFmtId="0" fontId="35" fillId="0" borderId="0" xfId="504" applyFont="1" applyAlignment="1">
      <alignment horizontal="center" vertical="center"/>
    </xf>
    <xf numFmtId="0" fontId="35" fillId="0" borderId="0" xfId="0" applyFont="1" applyFill="1" applyAlignment="1">
      <alignment horizontal="left" indent="1"/>
    </xf>
    <xf numFmtId="164" fontId="35" fillId="0" borderId="6" xfId="403" applyNumberFormat="1" applyFont="1" applyFill="1" applyBorder="1" applyAlignment="1"/>
    <xf numFmtId="43" fontId="35" fillId="0" borderId="18" xfId="382" applyFont="1" applyFill="1" applyBorder="1" applyAlignment="1">
      <alignment horizontal="center" wrapText="1"/>
    </xf>
    <xf numFmtId="0" fontId="37" fillId="0" borderId="19" xfId="0" applyNumberFormat="1" applyFont="1" applyBorder="1" applyAlignment="1">
      <alignment horizontal="center"/>
    </xf>
    <xf numFmtId="0" fontId="39" fillId="0" borderId="5" xfId="0" applyNumberFormat="1" applyFont="1" applyBorder="1" applyAlignment="1">
      <alignment horizontal="center"/>
    </xf>
    <xf numFmtId="0" fontId="37" fillId="0" borderId="5" xfId="0" applyNumberFormat="1" applyFont="1" applyFill="1" applyBorder="1" applyAlignment="1"/>
    <xf numFmtId="0" fontId="37" fillId="0" borderId="5" xfId="0" applyFont="1" applyFill="1" applyBorder="1" applyAlignment="1"/>
    <xf numFmtId="0" fontId="37" fillId="0" borderId="18" xfId="0" applyFont="1" applyFill="1" applyBorder="1" applyAlignment="1"/>
    <xf numFmtId="3" fontId="37" fillId="0" borderId="0" xfId="0" applyNumberFormat="1" applyFont="1" applyFill="1" applyBorder="1" applyAlignment="1">
      <alignment horizontal="center"/>
    </xf>
    <xf numFmtId="0" fontId="37" fillId="0" borderId="5" xfId="0" applyNumberFormat="1" applyFont="1" applyBorder="1" applyAlignment="1">
      <alignment horizontal="left"/>
    </xf>
    <xf numFmtId="0" fontId="37" fillId="0" borderId="5" xfId="0" applyFont="1" applyFill="1" applyBorder="1"/>
    <xf numFmtId="0" fontId="37" fillId="0" borderId="5" xfId="0" applyFont="1" applyBorder="1" applyAlignment="1">
      <alignment horizontal="center"/>
    </xf>
    <xf numFmtId="164" fontId="39" fillId="0" borderId="0" xfId="382" applyNumberFormat="1" applyFont="1" applyFill="1"/>
    <xf numFmtId="164" fontId="36" fillId="0" borderId="0" xfId="382" applyNumberFormat="1" applyFont="1" applyFill="1" applyAlignment="1">
      <alignment horizontal="center"/>
    </xf>
    <xf numFmtId="164" fontId="35" fillId="0" borderId="0" xfId="382" applyNumberFormat="1" applyFont="1" applyFill="1" applyAlignment="1">
      <alignment horizontal="right" wrapText="1"/>
    </xf>
    <xf numFmtId="164" fontId="35" fillId="0" borderId="0" xfId="382" quotePrefix="1" applyNumberFormat="1" applyFont="1" applyFill="1" applyBorder="1" applyAlignment="1">
      <alignment horizontal="center" vertical="top"/>
    </xf>
    <xf numFmtId="164" fontId="36" fillId="0" borderId="0" xfId="382" applyNumberFormat="1" applyFont="1" applyFill="1" applyBorder="1" applyAlignment="1">
      <alignment horizontal="center" vertical="top"/>
    </xf>
    <xf numFmtId="164" fontId="37" fillId="0" borderId="27" xfId="382" applyNumberFormat="1" applyFont="1" applyFill="1" applyBorder="1"/>
    <xf numFmtId="0" fontId="35" fillId="0" borderId="0" xfId="0" applyFont="1" applyFill="1" applyAlignment="1">
      <alignment horizontal="center" vertical="center"/>
    </xf>
    <xf numFmtId="166" fontId="35" fillId="0" borderId="0" xfId="0" applyNumberFormat="1" applyFont="1" applyAlignment="1">
      <alignment horizontal="center" vertical="center"/>
    </xf>
    <xf numFmtId="39" fontId="35" fillId="0" borderId="0" xfId="403" applyNumberFormat="1" applyFont="1" applyAlignment="1">
      <alignment horizontal="center" vertical="center"/>
    </xf>
    <xf numFmtId="0" fontId="35" fillId="0" borderId="0" xfId="504" applyFont="1" applyFill="1" applyBorder="1" applyAlignment="1"/>
    <xf numFmtId="185" fontId="35" fillId="0" borderId="0" xfId="474" applyNumberFormat="1" applyFont="1" applyAlignment="1" applyProtection="1">
      <alignment horizontal="center"/>
      <protection locked="0"/>
    </xf>
    <xf numFmtId="164" fontId="49" fillId="0" borderId="18" xfId="382" applyNumberFormat="1" applyFont="1" applyFill="1" applyBorder="1"/>
    <xf numFmtId="0" fontId="49" fillId="0" borderId="0" xfId="569" applyFont="1" applyBorder="1"/>
    <xf numFmtId="164" fontId="35" fillId="0" borderId="4" xfId="382" applyNumberFormat="1" applyFont="1" applyFill="1" applyBorder="1" applyAlignment="1">
      <alignment horizontal="center"/>
    </xf>
    <xf numFmtId="43" fontId="49" fillId="0" borderId="21" xfId="382" applyFont="1" applyFill="1" applyBorder="1" applyAlignment="1">
      <alignment horizontal="center"/>
    </xf>
    <xf numFmtId="164" fontId="49" fillId="0" borderId="54" xfId="382" applyNumberFormat="1" applyFont="1" applyFill="1" applyBorder="1" applyAlignment="1">
      <alignment horizontal="left"/>
    </xf>
    <xf numFmtId="164" fontId="49" fillId="0" borderId="35" xfId="382" applyNumberFormat="1" applyFont="1" applyFill="1" applyBorder="1" applyAlignment="1">
      <alignment horizontal="left"/>
    </xf>
    <xf numFmtId="0" fontId="35" fillId="0" borderId="0" xfId="0" applyFont="1" applyAlignment="1">
      <alignment vertical="center" wrapText="1"/>
    </xf>
    <xf numFmtId="0" fontId="36" fillId="0" borderId="0" xfId="569" applyFont="1" applyFill="1" applyBorder="1" applyAlignment="1">
      <alignment vertical="top"/>
    </xf>
    <xf numFmtId="0" fontId="35" fillId="0" borderId="0" xfId="504" applyFont="1" applyBorder="1" applyAlignment="1">
      <alignment horizontal="center" wrapText="1"/>
    </xf>
    <xf numFmtId="0" fontId="35" fillId="0" borderId="0" xfId="504" applyFont="1" applyAlignment="1">
      <alignment horizontal="center" wrapText="1"/>
    </xf>
    <xf numFmtId="0" fontId="49" fillId="0" borderId="0" xfId="511" applyFont="1"/>
    <xf numFmtId="0" fontId="49" fillId="0" borderId="0" xfId="511" applyFont="1" applyAlignment="1">
      <alignment horizontal="center"/>
    </xf>
    <xf numFmtId="0" fontId="49" fillId="0" borderId="0" xfId="0" applyFont="1" applyFill="1" applyAlignment="1"/>
    <xf numFmtId="0" fontId="35" fillId="0" borderId="0" xfId="484" applyFont="1" applyFill="1" applyAlignment="1">
      <alignment horizontal="left" vertical="top" indent="2"/>
    </xf>
    <xf numFmtId="0" fontId="35" fillId="0" borderId="0" xfId="484" applyFont="1" applyFill="1" applyBorder="1" applyAlignment="1">
      <alignment vertical="top"/>
    </xf>
    <xf numFmtId="41" fontId="35" fillId="0" borderId="0" xfId="484" applyNumberFormat="1" applyFont="1" applyBorder="1" applyAlignment="1">
      <alignment vertical="top"/>
    </xf>
    <xf numFmtId="0" fontId="35" fillId="0" borderId="0" xfId="484" applyFont="1" applyFill="1" applyBorder="1" applyAlignment="1">
      <alignment horizontal="center" vertical="top"/>
    </xf>
    <xf numFmtId="0" fontId="35" fillId="0" borderId="0" xfId="504" applyFont="1" applyBorder="1" applyAlignment="1">
      <alignment horizontal="left" indent="1"/>
    </xf>
    <xf numFmtId="0" fontId="35" fillId="0" borderId="0" xfId="504" applyNumberFormat="1" applyFont="1" applyFill="1" applyBorder="1" applyAlignment="1">
      <alignment horizontal="left" indent="1"/>
    </xf>
    <xf numFmtId="0" fontId="36" fillId="0" borderId="0" xfId="0" applyFont="1" applyAlignment="1">
      <alignment horizontal="center"/>
    </xf>
    <xf numFmtId="0" fontId="36" fillId="0" borderId="0" xfId="0" applyNumberFormat="1" applyFont="1" applyFill="1" applyBorder="1" applyAlignment="1"/>
    <xf numFmtId="43" fontId="35" fillId="0" borderId="0" xfId="382" applyFont="1" applyFill="1" applyBorder="1" applyAlignment="1">
      <alignment horizontal="center" wrapText="1"/>
    </xf>
    <xf numFmtId="43" fontId="49" fillId="0" borderId="0" xfId="425" applyFont="1"/>
    <xf numFmtId="0" fontId="36" fillId="50" borderId="6" xfId="0" applyFont="1" applyFill="1" applyBorder="1" applyAlignment="1"/>
    <xf numFmtId="0" fontId="35" fillId="50" borderId="6" xfId="0" applyFont="1" applyFill="1" applyBorder="1" applyAlignment="1"/>
    <xf numFmtId="0" fontId="36" fillId="50" borderId="6" xfId="0" applyNumberFormat="1" applyFont="1" applyFill="1" applyBorder="1" applyAlignment="1">
      <alignment horizontal="center"/>
    </xf>
    <xf numFmtId="0" fontId="36" fillId="50" borderId="4" xfId="0" applyFont="1" applyFill="1" applyBorder="1" applyAlignment="1">
      <alignment horizontal="left"/>
    </xf>
    <xf numFmtId="0" fontId="35" fillId="50" borderId="6" xfId="0" applyFont="1" applyFill="1" applyBorder="1"/>
    <xf numFmtId="0" fontId="35" fillId="50" borderId="6" xfId="0" applyFont="1" applyFill="1" applyBorder="1" applyAlignment="1">
      <alignment horizontal="center" wrapText="1"/>
    </xf>
    <xf numFmtId="0" fontId="35" fillId="0" borderId="0" xfId="504" applyFont="1" applyFill="1" applyAlignment="1">
      <alignment horizontal="left" indent="1"/>
    </xf>
    <xf numFmtId="0" fontId="35" fillId="0" borderId="0" xfId="504" applyNumberFormat="1" applyFont="1" applyFill="1" applyBorder="1" applyAlignment="1">
      <alignment horizontal="left" indent="2"/>
    </xf>
    <xf numFmtId="0" fontId="39" fillId="0" borderId="16" xfId="0" applyNumberFormat="1" applyFont="1" applyFill="1" applyBorder="1" applyAlignment="1">
      <alignment horizontal="left"/>
    </xf>
    <xf numFmtId="164" fontId="39" fillId="0" borderId="26" xfId="382" applyNumberFormat="1" applyFont="1" applyFill="1" applyBorder="1" applyAlignment="1">
      <alignment horizontal="right"/>
    </xf>
    <xf numFmtId="0" fontId="49" fillId="0" borderId="4" xfId="530" applyFont="1" applyBorder="1" applyAlignment="1">
      <alignment horizontal="center"/>
    </xf>
    <xf numFmtId="164" fontId="49" fillId="37" borderId="43" xfId="382" applyNumberFormat="1" applyFont="1" applyFill="1" applyBorder="1" applyAlignment="1">
      <alignment horizontal="left"/>
    </xf>
    <xf numFmtId="0" fontId="105" fillId="0" borderId="45" xfId="0" applyFont="1" applyBorder="1"/>
    <xf numFmtId="0" fontId="49" fillId="0" borderId="6" xfId="530" applyFont="1" applyBorder="1" applyAlignment="1">
      <alignment horizontal="center"/>
    </xf>
    <xf numFmtId="0" fontId="49" fillId="0" borderId="21" xfId="530" applyFont="1" applyBorder="1" applyAlignment="1">
      <alignment horizontal="center"/>
    </xf>
    <xf numFmtId="43" fontId="35" fillId="0" borderId="0" xfId="382" applyFont="1" applyBorder="1" applyAlignment="1">
      <alignment horizontal="center" wrapText="1"/>
    </xf>
    <xf numFmtId="43" fontId="35" fillId="0" borderId="0" xfId="382" applyFont="1" applyAlignment="1">
      <alignment horizontal="center" wrapText="1"/>
    </xf>
    <xf numFmtId="0" fontId="76" fillId="0" borderId="0" xfId="0" applyFont="1" applyAlignment="1">
      <alignment horizontal="left"/>
    </xf>
    <xf numFmtId="43" fontId="35" fillId="0" borderId="0" xfId="382" applyFont="1" applyFill="1" applyBorder="1" applyAlignment="1">
      <alignment horizontal="left"/>
    </xf>
    <xf numFmtId="43" fontId="35" fillId="0" borderId="0" xfId="382" applyFont="1" applyBorder="1" applyAlignment="1">
      <alignment horizontal="left"/>
    </xf>
    <xf numFmtId="0" fontId="35" fillId="0" borderId="0" xfId="484" applyFont="1" applyFill="1" applyAlignment="1">
      <alignment horizontal="left" vertical="top"/>
    </xf>
    <xf numFmtId="41" fontId="35" fillId="0" borderId="17" xfId="484" applyNumberFormat="1" applyFont="1" applyFill="1" applyBorder="1" applyAlignment="1">
      <alignment vertical="top"/>
    </xf>
    <xf numFmtId="0" fontId="49" fillId="0" borderId="0" xfId="0" quotePrefix="1" applyFont="1" applyAlignment="1">
      <alignment horizontal="center"/>
    </xf>
    <xf numFmtId="0" fontId="36" fillId="0" borderId="0" xfId="0" applyFont="1" applyFill="1" applyBorder="1" applyAlignment="1"/>
    <xf numFmtId="0" fontId="36" fillId="0" borderId="0" xfId="0" applyNumberFormat="1" applyFont="1" applyFill="1" applyBorder="1" applyAlignment="1">
      <alignment horizontal="center"/>
    </xf>
    <xf numFmtId="0" fontId="49" fillId="0" borderId="18" xfId="0" applyFont="1" applyBorder="1" applyAlignment="1">
      <alignment horizontal="left"/>
    </xf>
    <xf numFmtId="164" fontId="49" fillId="37" borderId="18" xfId="382" applyNumberFormat="1" applyFont="1" applyFill="1" applyBorder="1" applyAlignment="1"/>
    <xf numFmtId="164" fontId="39" fillId="0" borderId="26" xfId="382" applyNumberFormat="1" applyFont="1" applyFill="1" applyBorder="1"/>
    <xf numFmtId="164" fontId="39" fillId="0" borderId="30" xfId="382" applyNumberFormat="1" applyFont="1" applyFill="1" applyBorder="1" applyAlignment="1">
      <alignment horizontal="right"/>
    </xf>
    <xf numFmtId="164" fontId="37" fillId="0" borderId="26" xfId="382" applyNumberFormat="1" applyFont="1" applyFill="1" applyBorder="1"/>
    <xf numFmtId="164" fontId="37" fillId="0" borderId="26" xfId="382" applyNumberFormat="1" applyFont="1" applyFill="1" applyBorder="1" applyAlignment="1">
      <alignment horizontal="right"/>
    </xf>
    <xf numFmtId="164" fontId="39" fillId="0" borderId="26" xfId="382" applyNumberFormat="1" applyFont="1" applyBorder="1"/>
    <xf numFmtId="164" fontId="37" fillId="0" borderId="27" xfId="382" applyNumberFormat="1" applyFont="1" applyBorder="1"/>
    <xf numFmtId="164" fontId="39" fillId="50" borderId="21" xfId="382" applyNumberFormat="1" applyFont="1" applyFill="1" applyBorder="1" applyAlignment="1">
      <alignment horizontal="center" wrapText="1"/>
    </xf>
    <xf numFmtId="164" fontId="39" fillId="0" borderId="26" xfId="382" applyNumberFormat="1" applyFont="1" applyFill="1" applyBorder="1" applyAlignment="1">
      <alignment horizontal="center" wrapText="1"/>
    </xf>
    <xf numFmtId="164" fontId="39" fillId="0" borderId="26" xfId="382" applyNumberFormat="1" applyFont="1" applyBorder="1" applyAlignment="1"/>
    <xf numFmtId="164" fontId="39" fillId="0" borderId="30" xfId="382" applyNumberFormat="1" applyFont="1" applyFill="1" applyBorder="1" applyAlignment="1"/>
    <xf numFmtId="164" fontId="37" fillId="0" borderId="27" xfId="382" applyNumberFormat="1" applyFont="1" applyFill="1" applyBorder="1" applyAlignment="1"/>
    <xf numFmtId="164" fontId="39" fillId="37" borderId="30" xfId="382" applyNumberFormat="1" applyFont="1" applyFill="1" applyBorder="1" applyAlignment="1">
      <alignment horizontal="right"/>
    </xf>
    <xf numFmtId="164" fontId="37" fillId="0" borderId="26" xfId="382" applyNumberFormat="1" applyFont="1" applyBorder="1" applyAlignment="1"/>
    <xf numFmtId="164" fontId="39" fillId="0" borderId="28" xfId="382" applyNumberFormat="1" applyFont="1" applyFill="1" applyBorder="1" applyAlignment="1">
      <alignment horizontal="right"/>
    </xf>
    <xf numFmtId="164" fontId="39" fillId="0" borderId="26" xfId="382" applyNumberFormat="1" applyFont="1" applyBorder="1" applyAlignment="1">
      <alignment horizontal="right"/>
    </xf>
    <xf numFmtId="164" fontId="37" fillId="0" borderId="28" xfId="382" applyNumberFormat="1" applyFont="1" applyBorder="1"/>
    <xf numFmtId="164" fontId="37" fillId="0" borderId="26" xfId="382" applyNumberFormat="1" applyFont="1" applyBorder="1"/>
    <xf numFmtId="164" fontId="37" fillId="0" borderId="29" xfId="382" applyNumberFormat="1" applyFont="1" applyFill="1" applyBorder="1"/>
    <xf numFmtId="164" fontId="37" fillId="0" borderId="33" xfId="382" applyNumberFormat="1" applyFont="1" applyBorder="1" applyAlignment="1"/>
    <xf numFmtId="164" fontId="39" fillId="0" borderId="35" xfId="382" applyNumberFormat="1" applyFont="1" applyBorder="1"/>
    <xf numFmtId="164" fontId="37" fillId="0" borderId="35" xfId="382" applyNumberFormat="1" applyFont="1" applyBorder="1"/>
    <xf numFmtId="0" fontId="35" fillId="0" borderId="0" xfId="504" quotePrefix="1" applyFont="1" applyFill="1" applyBorder="1"/>
    <xf numFmtId="164" fontId="113" fillId="0" borderId="0" xfId="382" applyNumberFormat="1" applyFont="1" applyFill="1"/>
    <xf numFmtId="3" fontId="39" fillId="0" borderId="37" xfId="0" quotePrefix="1" applyNumberFormat="1" applyFont="1" applyFill="1" applyBorder="1" applyAlignment="1">
      <alignment horizontal="left"/>
    </xf>
    <xf numFmtId="171" fontId="39" fillId="0" borderId="30" xfId="674" applyNumberFormat="1" applyFont="1" applyFill="1" applyBorder="1" applyAlignment="1">
      <alignment horizontal="right"/>
    </xf>
    <xf numFmtId="0" fontId="57" fillId="0" borderId="0" xfId="11272" applyFont="1" applyAlignment="1">
      <alignment horizontal="center"/>
    </xf>
    <xf numFmtId="0" fontId="35" fillId="0" borderId="0" xfId="11272" applyAlignment="1">
      <alignment horizontal="center" vertical="top"/>
    </xf>
    <xf numFmtId="0" fontId="0" fillId="0" borderId="0" xfId="0" applyAlignment="1">
      <alignment vertical="top"/>
    </xf>
    <xf numFmtId="3" fontId="119" fillId="0" borderId="0" xfId="11265" quotePrefix="1" applyNumberFormat="1" applyFont="1" applyFill="1" applyAlignment="1">
      <alignment horizontal="left"/>
    </xf>
    <xf numFmtId="177" fontId="35" fillId="0" borderId="0" xfId="0" applyNumberFormat="1" applyFont="1" applyBorder="1" applyAlignment="1">
      <alignment horizontal="center" wrapText="1"/>
    </xf>
    <xf numFmtId="0" fontId="35" fillId="0" borderId="0" xfId="0" applyNumberFormat="1" applyFont="1" applyBorder="1"/>
    <xf numFmtId="0" fontId="35" fillId="0" borderId="0" xfId="0" applyFont="1" applyBorder="1" applyAlignment="1">
      <alignment horizontal="center"/>
    </xf>
    <xf numFmtId="0" fontId="35" fillId="0" borderId="0" xfId="0" applyFont="1" applyBorder="1" applyAlignment="1">
      <alignment vertical="top"/>
    </xf>
    <xf numFmtId="0" fontId="39" fillId="0" borderId="0" xfId="0" applyNumberFormat="1" applyFont="1" applyFill="1" applyBorder="1" applyAlignment="1">
      <alignment wrapText="1"/>
    </xf>
    <xf numFmtId="0" fontId="35" fillId="0" borderId="0" xfId="0" applyFont="1" applyAlignment="1">
      <alignment horizontal="center" vertical="top"/>
    </xf>
    <xf numFmtId="0" fontId="36" fillId="0" borderId="0" xfId="564" quotePrefix="1" applyFont="1" applyFill="1" applyBorder="1" applyAlignment="1">
      <alignment horizontal="center" vertical="top"/>
    </xf>
    <xf numFmtId="0" fontId="35" fillId="0" borderId="0" xfId="504" applyFont="1" applyAlignment="1">
      <alignment horizontal="left"/>
    </xf>
    <xf numFmtId="0" fontId="35" fillId="50" borderId="21" xfId="0" applyFont="1" applyFill="1" applyBorder="1" applyAlignment="1">
      <alignment horizontal="left" wrapText="1"/>
    </xf>
    <xf numFmtId="0" fontId="35" fillId="0" borderId="18" xfId="504" applyFont="1" applyBorder="1" applyAlignment="1">
      <alignment horizontal="left"/>
    </xf>
    <xf numFmtId="0" fontId="36" fillId="0" borderId="0" xfId="504" applyFont="1" applyAlignment="1">
      <alignment horizontal="left"/>
    </xf>
    <xf numFmtId="0" fontId="41" fillId="0" borderId="0" xfId="0" applyFont="1" applyBorder="1" applyAlignment="1">
      <alignment horizontal="left"/>
    </xf>
    <xf numFmtId="0" fontId="35" fillId="0" borderId="0" xfId="504" applyFont="1" applyBorder="1" applyAlignment="1">
      <alignment horizontal="left" wrapText="1"/>
    </xf>
    <xf numFmtId="0" fontId="35" fillId="50" borderId="6" xfId="0" applyFont="1" applyFill="1" applyBorder="1" applyAlignment="1">
      <alignment horizontal="left" wrapText="1"/>
    </xf>
    <xf numFmtId="0" fontId="35" fillId="0" borderId="0" xfId="0" applyFont="1" applyAlignment="1">
      <alignment horizontal="left"/>
    </xf>
    <xf numFmtId="0" fontId="35" fillId="0" borderId="0" xfId="0" applyFont="1" applyFill="1" applyBorder="1" applyAlignment="1">
      <alignment horizontal="left" wrapText="1"/>
    </xf>
    <xf numFmtId="3" fontId="35" fillId="0" borderId="0" xfId="0" applyNumberFormat="1" applyFont="1" applyFill="1" applyBorder="1" applyAlignment="1">
      <alignment horizontal="left" indent="1"/>
    </xf>
    <xf numFmtId="0" fontId="35" fillId="0" borderId="0" xfId="504" applyFont="1" applyFill="1" applyBorder="1" applyAlignment="1">
      <alignment horizontal="center" vertical="top"/>
    </xf>
    <xf numFmtId="164" fontId="35" fillId="0" borderId="0" xfId="13644" applyNumberFormat="1" applyFont="1"/>
    <xf numFmtId="164" fontId="35" fillId="0" borderId="17" xfId="382" applyNumberFormat="1" applyFont="1" applyBorder="1"/>
    <xf numFmtId="43" fontId="35" fillId="0" borderId="0" xfId="382" applyFont="1" applyFill="1" applyAlignment="1">
      <alignment horizontal="center" wrapText="1"/>
    </xf>
    <xf numFmtId="0" fontId="39" fillId="0" borderId="0" xfId="0" applyFont="1" applyAlignment="1">
      <alignment vertical="top"/>
    </xf>
    <xf numFmtId="43" fontId="35" fillId="0" borderId="0" xfId="382" applyFont="1" applyFill="1" applyBorder="1" applyAlignment="1">
      <alignment horizontal="center"/>
    </xf>
    <xf numFmtId="10" fontId="39" fillId="37" borderId="26" xfId="0" applyNumberFormat="1" applyFont="1" applyFill="1" applyBorder="1" applyAlignment="1"/>
    <xf numFmtId="0" fontId="35" fillId="0" borderId="0" xfId="504" quotePrefix="1" applyFont="1" applyAlignment="1">
      <alignment horizontal="center"/>
    </xf>
    <xf numFmtId="43" fontId="105" fillId="0" borderId="0" xfId="382" applyFont="1" applyFill="1" applyAlignment="1">
      <alignment horizontal="left"/>
    </xf>
    <xf numFmtId="176" fontId="35" fillId="0" borderId="18" xfId="0" applyNumberFormat="1" applyFont="1" applyBorder="1" applyAlignment="1">
      <alignment horizontal="center" wrapText="1"/>
    </xf>
    <xf numFmtId="0" fontId="108" fillId="0" borderId="0" xfId="504" applyFont="1"/>
    <xf numFmtId="164" fontId="35" fillId="37" borderId="0" xfId="404" applyNumberFormat="1" applyFont="1" applyFill="1" applyBorder="1"/>
    <xf numFmtId="164" fontId="35" fillId="37" borderId="0" xfId="382" applyNumberFormat="1" applyFont="1" applyFill="1" applyBorder="1" applyAlignment="1">
      <alignment horizontal="right"/>
    </xf>
    <xf numFmtId="164" fontId="105" fillId="37" borderId="0" xfId="382" applyNumberFormat="1" applyFont="1" applyFill="1"/>
    <xf numFmtId="164" fontId="39" fillId="37" borderId="30" xfId="382" applyNumberFormat="1" applyFont="1" applyFill="1" applyBorder="1" applyAlignment="1"/>
    <xf numFmtId="0" fontId="36" fillId="0" borderId="0" xfId="504" applyFont="1" applyBorder="1" applyAlignment="1">
      <alignment horizontal="left" indent="2"/>
    </xf>
    <xf numFmtId="0" fontId="36" fillId="0" borderId="0" xfId="0" applyNumberFormat="1" applyFont="1" applyFill="1" applyBorder="1" applyAlignment="1">
      <alignment horizontal="left"/>
    </xf>
    <xf numFmtId="0" fontId="35" fillId="0" borderId="0" xfId="517" applyFont="1" applyBorder="1" applyAlignment="1">
      <alignment horizontal="center" vertical="center"/>
    </xf>
    <xf numFmtId="0" fontId="35" fillId="0" borderId="0" xfId="474" applyFont="1" applyAlignment="1">
      <alignment vertical="center"/>
    </xf>
    <xf numFmtId="0" fontId="35" fillId="0" borderId="0" xfId="530" applyFont="1" applyAlignment="1">
      <alignment horizontal="left"/>
    </xf>
    <xf numFmtId="0" fontId="49" fillId="0" borderId="0" xfId="11275" applyFont="1" applyAlignment="1">
      <alignment horizontal="left"/>
    </xf>
    <xf numFmtId="43" fontId="49" fillId="0" borderId="0" xfId="0" applyNumberFormat="1" applyFont="1" applyFill="1" applyAlignment="1">
      <alignment horizontal="left"/>
    </xf>
    <xf numFmtId="43" fontId="49" fillId="0" borderId="0" xfId="511" applyNumberFormat="1" applyFont="1" applyAlignment="1">
      <alignment horizontal="left"/>
    </xf>
    <xf numFmtId="43" fontId="35" fillId="0" borderId="0" xfId="484" applyNumberFormat="1" applyFont="1" applyAlignment="1">
      <alignment horizontal="left" vertical="top"/>
    </xf>
    <xf numFmtId="43" fontId="49" fillId="0" borderId="0" xfId="425" applyNumberFormat="1" applyFont="1" applyAlignment="1">
      <alignment horizontal="left"/>
    </xf>
    <xf numFmtId="43" fontId="49" fillId="0" borderId="0" xfId="511" quotePrefix="1" applyNumberFormat="1" applyFont="1" applyAlignment="1">
      <alignment horizontal="left" vertical="top"/>
    </xf>
    <xf numFmtId="164" fontId="39" fillId="0" borderId="37" xfId="382" applyNumberFormat="1" applyFont="1" applyFill="1" applyBorder="1"/>
    <xf numFmtId="164" fontId="39" fillId="0" borderId="35" xfId="382" applyNumberFormat="1" applyFont="1" applyFill="1" applyBorder="1" applyAlignment="1"/>
    <xf numFmtId="0" fontId="121" fillId="0" borderId="0" xfId="0" applyFont="1"/>
    <xf numFmtId="0" fontId="36" fillId="0" borderId="16" xfId="0" applyFont="1" applyBorder="1" applyAlignment="1">
      <alignment horizontal="left" indent="1"/>
    </xf>
    <xf numFmtId="0" fontId="112" fillId="0" borderId="0" xfId="0" applyFont="1" applyAlignment="1">
      <alignment horizontal="left"/>
    </xf>
    <xf numFmtId="0" fontId="112" fillId="0" borderId="0" xfId="0" applyFont="1"/>
    <xf numFmtId="164" fontId="112" fillId="0" borderId="0" xfId="382" applyNumberFormat="1" applyFont="1" applyFill="1"/>
    <xf numFmtId="0" fontId="35" fillId="0" borderId="0" xfId="0" applyFont="1" applyAlignment="1">
      <alignment horizontal="left" vertical="top"/>
    </xf>
    <xf numFmtId="164" fontId="35" fillId="37" borderId="0" xfId="382" applyNumberFormat="1" applyFont="1" applyFill="1" applyAlignment="1">
      <alignment vertical="top"/>
    </xf>
    <xf numFmtId="164" fontId="35" fillId="37" borderId="18" xfId="382" applyNumberFormat="1" applyFont="1" applyFill="1" applyBorder="1" applyAlignment="1">
      <alignment vertical="top"/>
    </xf>
    <xf numFmtId="0" fontId="35" fillId="0" borderId="0" xfId="0" applyFont="1" applyAlignment="1">
      <alignment vertical="top" wrapText="1"/>
    </xf>
    <xf numFmtId="164" fontId="49" fillId="0" borderId="0" xfId="401" applyNumberFormat="1" applyFont="1" applyFill="1" applyBorder="1"/>
    <xf numFmtId="164" fontId="95" fillId="0" borderId="0" xfId="382" applyNumberFormat="1" applyFont="1" applyFill="1" applyBorder="1" applyAlignment="1">
      <alignment vertical="top"/>
    </xf>
    <xf numFmtId="164" fontId="95" fillId="0" borderId="0" xfId="382" applyNumberFormat="1" applyFont="1" applyFill="1" applyAlignment="1">
      <alignment vertical="top"/>
    </xf>
    <xf numFmtId="0" fontId="95" fillId="0" borderId="0" xfId="37694" applyNumberFormat="1" applyFont="1" applyFill="1" applyAlignment="1">
      <alignment vertical="top" wrapText="1"/>
    </xf>
    <xf numFmtId="3" fontId="95" fillId="0" borderId="0" xfId="37694" applyNumberFormat="1" applyFont="1" applyFill="1" applyAlignment="1">
      <alignment vertical="top" wrapText="1"/>
    </xf>
    <xf numFmtId="164" fontId="95" fillId="0" borderId="0" xfId="382" applyNumberFormat="1" applyFont="1" applyFill="1" applyBorder="1" applyAlignment="1">
      <alignment vertical="top" wrapText="1"/>
    </xf>
    <xf numFmtId="164" fontId="95" fillId="0" borderId="0" xfId="382" applyNumberFormat="1" applyFont="1" applyFill="1" applyAlignment="1">
      <alignment vertical="top" wrapText="1"/>
    </xf>
    <xf numFmtId="169" fontId="95" fillId="0" borderId="0" xfId="37694" applyFont="1" applyFill="1" applyAlignment="1">
      <alignment vertical="top"/>
    </xf>
    <xf numFmtId="164" fontId="95" fillId="0" borderId="0" xfId="382" applyNumberFormat="1" applyFont="1" applyAlignment="1">
      <alignment vertical="top"/>
    </xf>
    <xf numFmtId="169" fontId="95" fillId="0" borderId="0" xfId="37694" applyFont="1" applyAlignment="1">
      <alignment vertical="top"/>
    </xf>
    <xf numFmtId="0" fontId="95" fillId="0" borderId="0" xfId="37696" applyNumberFormat="1" applyFont="1" applyFill="1" applyAlignment="1" applyProtection="1">
      <alignment horizontal="left" indent="1"/>
      <protection locked="0"/>
    </xf>
    <xf numFmtId="0" fontId="95" fillId="0" borderId="0" xfId="37696" applyNumberFormat="1" applyFont="1" applyFill="1" applyAlignment="1">
      <alignment horizontal="left" indent="1"/>
    </xf>
    <xf numFmtId="168" fontId="95" fillId="0" borderId="0" xfId="37696" applyNumberFormat="1" applyFont="1" applyFill="1" applyAlignment="1" applyProtection="1">
      <alignment horizontal="left" indent="1"/>
      <protection locked="0"/>
    </xf>
    <xf numFmtId="0" fontId="95" fillId="0" borderId="0" xfId="37696" quotePrefix="1" applyNumberFormat="1" applyFont="1" applyFill="1" applyAlignment="1">
      <alignment horizontal="left" indent="1"/>
    </xf>
    <xf numFmtId="0" fontId="95" fillId="0" borderId="0" xfId="37694" applyNumberFormat="1" applyFont="1" applyFill="1" applyAlignment="1">
      <alignment horizontal="left" indent="1"/>
    </xf>
    <xf numFmtId="0" fontId="95" fillId="0" borderId="7" xfId="37696" applyNumberFormat="1" applyFont="1" applyFill="1" applyBorder="1" applyAlignment="1">
      <alignment horizontal="left" indent="1"/>
    </xf>
    <xf numFmtId="0" fontId="115" fillId="0" borderId="0" xfId="37698" applyNumberFormat="1" applyFont="1" applyFill="1" applyAlignment="1" applyProtection="1">
      <alignment horizontal="left" vertical="top" wrapText="1" indent="1"/>
      <protection locked="0"/>
    </xf>
    <xf numFmtId="0" fontId="95" fillId="0" borderId="0" xfId="474" applyFont="1" applyFill="1" applyBorder="1" applyAlignment="1">
      <alignment horizontal="left" indent="1"/>
    </xf>
    <xf numFmtId="0" fontId="36" fillId="0" borderId="0" xfId="0" applyFont="1" applyAlignment="1">
      <alignment horizontal="center"/>
    </xf>
    <xf numFmtId="0" fontId="35" fillId="0" borderId="0" xfId="0" applyFont="1" applyFill="1" applyAlignment="1">
      <alignment horizontal="center"/>
    </xf>
    <xf numFmtId="0" fontId="35" fillId="0" borderId="0" xfId="0" applyFont="1" applyAlignment="1">
      <alignment horizontal="center" vertical="top"/>
    </xf>
    <xf numFmtId="0" fontId="49" fillId="0" borderId="0" xfId="11272" applyFont="1" applyAlignment="1">
      <alignment horizontal="center"/>
    </xf>
    <xf numFmtId="0" fontId="35" fillId="0" borderId="0" xfId="0" applyFont="1" applyAlignment="1">
      <alignment horizontal="center"/>
    </xf>
    <xf numFmtId="3" fontId="35" fillId="0" borderId="0" xfId="11265" quotePrefix="1" applyNumberFormat="1" applyFont="1" applyFill="1" applyAlignment="1">
      <alignment horizontal="center"/>
    </xf>
    <xf numFmtId="0" fontId="35" fillId="0" borderId="0" xfId="569" applyFont="1" applyFill="1" applyBorder="1" applyAlignment="1">
      <alignment horizontal="center" vertical="top"/>
    </xf>
    <xf numFmtId="0" fontId="35" fillId="0" borderId="0" xfId="564" quotePrefix="1" applyFont="1" applyFill="1" applyBorder="1" applyAlignment="1">
      <alignment horizontal="center" vertical="top"/>
    </xf>
    <xf numFmtId="0" fontId="57" fillId="0" borderId="0" xfId="11271" applyFont="1" applyAlignment="1">
      <alignment horizontal="center"/>
    </xf>
    <xf numFmtId="0" fontId="35" fillId="0" borderId="0" xfId="0" applyFont="1" applyAlignment="1">
      <alignment horizontal="center" vertical="center"/>
    </xf>
    <xf numFmtId="0" fontId="35" fillId="0" borderId="0" xfId="0" applyFont="1" applyFill="1" applyAlignment="1">
      <alignment horizontal="left" vertical="top"/>
    </xf>
    <xf numFmtId="0" fontId="35" fillId="0" borderId="0" xfId="484" applyFont="1" applyAlignment="1">
      <alignment horizontal="center" vertical="top"/>
    </xf>
    <xf numFmtId="3" fontId="95" fillId="0" borderId="0" xfId="37696" applyNumberFormat="1" applyFont="1" applyFill="1" applyAlignment="1">
      <alignment vertical="top"/>
    </xf>
    <xf numFmtId="170" fontId="95" fillId="0" borderId="0" xfId="382" applyNumberFormat="1" applyFont="1" applyFill="1" applyAlignment="1">
      <alignment vertical="top"/>
    </xf>
    <xf numFmtId="3" fontId="95" fillId="0" borderId="0" xfId="37695" applyNumberFormat="1" applyFont="1" applyFill="1" applyAlignment="1">
      <alignment vertical="top"/>
    </xf>
    <xf numFmtId="0" fontId="95" fillId="0" borderId="0" xfId="37696" quotePrefix="1" applyNumberFormat="1" applyFont="1" applyFill="1" applyAlignment="1">
      <alignment vertical="top"/>
    </xf>
    <xf numFmtId="10" fontId="95" fillId="0" borderId="0" xfId="674" applyNumberFormat="1" applyFont="1" applyAlignment="1">
      <alignment vertical="top"/>
    </xf>
    <xf numFmtId="193" fontId="95" fillId="0" borderId="0" xfId="37694" applyNumberFormat="1" applyFont="1" applyAlignment="1">
      <alignment vertical="top"/>
    </xf>
    <xf numFmtId="0" fontId="95" fillId="0" borderId="0" xfId="37696" applyNumberFormat="1" applyFont="1" applyFill="1" applyAlignment="1">
      <alignment horizontal="left" vertical="top" wrapText="1" indent="1"/>
    </xf>
    <xf numFmtId="0" fontId="18" fillId="0" borderId="0" xfId="496" applyFont="1"/>
    <xf numFmtId="164" fontId="18" fillId="0" borderId="0" xfId="382" applyNumberFormat="1" applyFont="1"/>
    <xf numFmtId="0" fontId="35" fillId="0" borderId="0" xfId="0" quotePrefix="1" applyFont="1" applyAlignment="1">
      <alignment horizontal="center" vertical="top"/>
    </xf>
    <xf numFmtId="0" fontId="49" fillId="0" borderId="0" xfId="474" applyFont="1"/>
    <xf numFmtId="0" fontId="49" fillId="0" borderId="0" xfId="0" applyFont="1"/>
    <xf numFmtId="0" fontId="49" fillId="0" borderId="0" xfId="0" applyFont="1" applyAlignment="1">
      <alignment horizontal="center" wrapText="1"/>
    </xf>
    <xf numFmtId="0" fontId="35" fillId="37" borderId="0" xfId="0" applyFont="1" applyFill="1"/>
    <xf numFmtId="1" fontId="35" fillId="0" borderId="0" xfId="0" applyNumberFormat="1" applyFont="1" applyFill="1" applyAlignment="1">
      <alignment horizontal="left" vertical="top"/>
    </xf>
    <xf numFmtId="2" fontId="35" fillId="0" borderId="0" xfId="0" applyNumberFormat="1" applyFont="1" applyFill="1" applyAlignment="1">
      <alignment horizontal="left" vertical="top"/>
    </xf>
    <xf numFmtId="0" fontId="35" fillId="0" borderId="0" xfId="0" quotePrefix="1" applyFont="1" applyAlignment="1">
      <alignment horizontal="center"/>
    </xf>
    <xf numFmtId="0" fontId="18" fillId="0" borderId="0" xfId="514" applyFont="1"/>
    <xf numFmtId="0" fontId="18" fillId="0" borderId="0" xfId="514" applyFont="1" applyAlignment="1">
      <alignment horizontal="center"/>
    </xf>
    <xf numFmtId="164" fontId="18" fillId="0" borderId="0" xfId="382" applyNumberFormat="1" applyFont="1" applyAlignment="1">
      <alignment horizontal="center"/>
    </xf>
    <xf numFmtId="0" fontId="18" fillId="0" borderId="0" xfId="514" applyFont="1" applyBorder="1"/>
    <xf numFmtId="164" fontId="18" fillId="0" borderId="0" xfId="382" applyNumberFormat="1" applyFont="1" applyBorder="1"/>
    <xf numFmtId="0" fontId="18" fillId="0" borderId="0" xfId="514" quotePrefix="1" applyFont="1" applyAlignment="1">
      <alignment horizontal="center"/>
    </xf>
    <xf numFmtId="0" fontId="18" fillId="0" borderId="0" xfId="513" applyFont="1"/>
    <xf numFmtId="43" fontId="18" fillId="0" borderId="0" xfId="382" applyFont="1"/>
    <xf numFmtId="0" fontId="49" fillId="0" borderId="0" xfId="513" applyFont="1" applyAlignment="1"/>
    <xf numFmtId="0" fontId="49" fillId="0" borderId="0" xfId="11271" applyFont="1" applyAlignment="1"/>
    <xf numFmtId="0" fontId="49" fillId="0" borderId="0" xfId="11271" applyFont="1" applyAlignment="1">
      <alignment horizontal="center"/>
    </xf>
    <xf numFmtId="0" fontId="38" fillId="0" borderId="0" xfId="0" applyFont="1" applyAlignment="1">
      <alignment horizontal="center"/>
    </xf>
    <xf numFmtId="0" fontId="119" fillId="0" borderId="0" xfId="496" applyFont="1"/>
    <xf numFmtId="0" fontId="119" fillId="0" borderId="0" xfId="0" applyFont="1"/>
    <xf numFmtId="14" fontId="35" fillId="0" borderId="0" xfId="382" applyNumberFormat="1" applyFont="1" applyBorder="1" applyAlignment="1">
      <alignment horizontal="center"/>
    </xf>
    <xf numFmtId="164" fontId="35" fillId="0" borderId="0" xfId="0" applyNumberFormat="1" applyFont="1"/>
    <xf numFmtId="0" fontId="49" fillId="0" borderId="0" xfId="569" applyFont="1" applyFill="1"/>
    <xf numFmtId="49" fontId="49" fillId="0" borderId="0" xfId="569" applyNumberFormat="1" applyFont="1"/>
    <xf numFmtId="164" fontId="49" fillId="0" borderId="0" xfId="569" applyNumberFormat="1" applyFont="1"/>
    <xf numFmtId="200" fontId="49" fillId="0" borderId="0" xfId="569" applyNumberFormat="1" applyFont="1"/>
    <xf numFmtId="0" fontId="119" fillId="0" borderId="0" xfId="569" applyFont="1"/>
    <xf numFmtId="0" fontId="35" fillId="0" borderId="0" xfId="569" quotePrefix="1" applyFont="1" applyFill="1" applyBorder="1" applyAlignment="1">
      <alignment horizontal="center" vertical="top"/>
    </xf>
    <xf numFmtId="0" fontId="119" fillId="0" borderId="0" xfId="569" applyFont="1" applyFill="1"/>
    <xf numFmtId="0" fontId="35" fillId="0" borderId="0" xfId="11266" quotePrefix="1" applyFont="1" applyFill="1" applyAlignment="1"/>
    <xf numFmtId="0" fontId="35" fillId="0" borderId="0" xfId="474" applyFont="1" applyAlignment="1">
      <alignment horizontal="left"/>
    </xf>
    <xf numFmtId="0" fontId="35" fillId="0" borderId="0" xfId="474" applyFont="1" applyFill="1" applyAlignment="1">
      <alignment horizontal="left"/>
    </xf>
    <xf numFmtId="0" fontId="35" fillId="0" borderId="0" xfId="474" applyFont="1" applyAlignment="1">
      <alignment horizontal="left" vertical="top"/>
    </xf>
    <xf numFmtId="0" fontId="35" fillId="0" borderId="30" xfId="0" applyFont="1" applyBorder="1"/>
    <xf numFmtId="0" fontId="35" fillId="0" borderId="30" xfId="0" applyFont="1" applyFill="1" applyBorder="1"/>
    <xf numFmtId="0" fontId="18" fillId="0" borderId="0" xfId="11271" applyFont="1"/>
    <xf numFmtId="164" fontId="18" fillId="0" borderId="0" xfId="11271" applyNumberFormat="1" applyFont="1"/>
    <xf numFmtId="43" fontId="18" fillId="0" borderId="0" xfId="11271" applyNumberFormat="1" applyFont="1"/>
    <xf numFmtId="0" fontId="18" fillId="0" borderId="0" xfId="11271" applyFont="1" applyFill="1" applyAlignment="1">
      <alignment horizontal="left"/>
    </xf>
    <xf numFmtId="164" fontId="18" fillId="0" borderId="0" xfId="11271" applyNumberFormat="1" applyFont="1" applyFill="1"/>
    <xf numFmtId="43" fontId="18" fillId="0" borderId="0" xfId="11271" applyNumberFormat="1" applyFont="1" applyFill="1"/>
    <xf numFmtId="0" fontId="18" fillId="0" borderId="0" xfId="11271" applyFont="1" applyFill="1"/>
    <xf numFmtId="0" fontId="18" fillId="0" borderId="0" xfId="11271" applyFont="1" applyAlignment="1">
      <alignment horizontal="center"/>
    </xf>
    <xf numFmtId="0" fontId="18" fillId="0" borderId="0" xfId="11271" quotePrefix="1" applyFont="1" applyAlignment="1">
      <alignment horizontal="center" vertical="top"/>
    </xf>
    <xf numFmtId="0" fontId="18" fillId="0" borderId="0" xfId="0" applyFont="1"/>
    <xf numFmtId="43" fontId="18" fillId="0" borderId="0" xfId="423" applyNumberFormat="1" applyFont="1" applyFill="1" applyAlignment="1">
      <alignment horizontal="left"/>
    </xf>
    <xf numFmtId="0" fontId="18" fillId="0" borderId="0" xfId="0" applyFont="1" applyFill="1" applyAlignment="1">
      <alignment horizontal="center"/>
    </xf>
    <xf numFmtId="43" fontId="18" fillId="0" borderId="0" xfId="423" applyFont="1" applyFill="1" applyAlignment="1">
      <alignment horizontal="center"/>
    </xf>
    <xf numFmtId="0" fontId="18" fillId="0" borderId="0" xfId="0" applyFont="1" applyFill="1"/>
    <xf numFmtId="164" fontId="18" fillId="0" borderId="0" xfId="423" applyNumberFormat="1" applyFont="1" applyFill="1"/>
    <xf numFmtId="0" fontId="18" fillId="0" borderId="0" xfId="0" applyFont="1" applyFill="1" applyAlignment="1">
      <alignment horizontal="left" indent="1"/>
    </xf>
    <xf numFmtId="164" fontId="18" fillId="0" borderId="0" xfId="0" applyNumberFormat="1" applyFont="1" applyFill="1"/>
    <xf numFmtId="164" fontId="18" fillId="0" borderId="0" xfId="0" applyNumberFormat="1" applyFont="1" applyFill="1" applyBorder="1"/>
    <xf numFmtId="164" fontId="18" fillId="0" borderId="18" xfId="0" applyNumberFormat="1" applyFont="1" applyFill="1" applyBorder="1"/>
    <xf numFmtId="164" fontId="18" fillId="0" borderId="17" xfId="0" applyNumberFormat="1" applyFont="1" applyFill="1" applyBorder="1"/>
    <xf numFmtId="43" fontId="18" fillId="0" borderId="0" xfId="423" applyFont="1" applyFill="1"/>
    <xf numFmtId="0" fontId="35" fillId="0" borderId="0" xfId="0" applyFont="1" applyFill="1" applyBorder="1" applyAlignment="1">
      <alignment vertical="top"/>
    </xf>
    <xf numFmtId="0" fontId="119" fillId="0" borderId="0" xfId="511" applyFont="1"/>
    <xf numFmtId="0" fontId="35" fillId="0" borderId="0" xfId="0" quotePrefix="1" applyFont="1" applyFill="1" applyBorder="1" applyAlignment="1">
      <alignment vertical="top"/>
    </xf>
    <xf numFmtId="0" fontId="35" fillId="0" borderId="0" xfId="484" applyFont="1" applyAlignment="1">
      <alignment horizontal="left" vertical="top"/>
    </xf>
    <xf numFmtId="0" fontId="119" fillId="0" borderId="0" xfId="484" applyFont="1" applyAlignment="1">
      <alignment vertical="top"/>
    </xf>
    <xf numFmtId="0" fontId="35" fillId="0" borderId="0" xfId="511" applyFont="1" applyFill="1" applyBorder="1" applyAlignment="1">
      <alignment vertical="top"/>
    </xf>
    <xf numFmtId="0" fontId="49" fillId="0" borderId="0" xfId="0" applyFont="1" applyFill="1" applyAlignment="1" applyProtection="1">
      <alignment horizontal="left"/>
      <protection locked="0"/>
    </xf>
    <xf numFmtId="43" fontId="18" fillId="0" borderId="18" xfId="382" applyFont="1" applyFill="1" applyBorder="1" applyAlignment="1">
      <alignment horizontal="center"/>
    </xf>
    <xf numFmtId="164" fontId="18" fillId="0" borderId="0" xfId="382" applyNumberFormat="1" applyFont="1" applyFill="1"/>
    <xf numFmtId="164" fontId="18" fillId="0" borderId="17" xfId="382" applyNumberFormat="1" applyFont="1" applyFill="1" applyBorder="1"/>
    <xf numFmtId="164" fontId="18" fillId="0" borderId="0" xfId="382" applyNumberFormat="1" applyFont="1" applyFill="1" applyBorder="1"/>
    <xf numFmtId="0" fontId="35" fillId="0" borderId="0" xfId="0" applyFont="1" applyFill="1" applyBorder="1" applyAlignment="1">
      <alignment horizontal="left" wrapText="1"/>
    </xf>
    <xf numFmtId="0" fontId="49" fillId="0" borderId="0" xfId="0" applyFont="1" applyFill="1" applyAlignment="1">
      <alignment horizontal="center"/>
    </xf>
    <xf numFmtId="0" fontId="95" fillId="0" borderId="0" xfId="37698" applyNumberFormat="1" applyFont="1" applyFill="1" applyAlignment="1" applyProtection="1">
      <alignment vertical="top"/>
      <protection locked="0"/>
    </xf>
    <xf numFmtId="2" fontId="35" fillId="0" borderId="0" xfId="512" applyNumberFormat="1" applyFont="1" applyFill="1" applyAlignment="1">
      <alignment horizontal="left"/>
    </xf>
    <xf numFmtId="0" fontId="35" fillId="0" borderId="0" xfId="512" applyNumberFormat="1" applyFont="1" applyFill="1" applyAlignment="1">
      <alignment horizontal="left"/>
    </xf>
    <xf numFmtId="0" fontId="38" fillId="0" borderId="0" xfId="474" applyFont="1" applyFill="1" applyAlignment="1">
      <alignment horizontal="center"/>
    </xf>
    <xf numFmtId="0" fontId="35" fillId="0" borderId="0" xfId="474" quotePrefix="1" applyFont="1" applyFill="1" applyAlignment="1">
      <alignment horizontal="center" vertical="top"/>
    </xf>
    <xf numFmtId="164" fontId="35" fillId="0" borderId="0" xfId="0" applyNumberFormat="1" applyFont="1" applyFill="1"/>
    <xf numFmtId="1" fontId="35" fillId="0" borderId="0" xfId="510" applyNumberFormat="1" applyFont="1" applyFill="1" applyBorder="1" applyAlignment="1">
      <alignment horizontal="left" vertical="center"/>
    </xf>
    <xf numFmtId="1" fontId="35" fillId="0" borderId="0" xfId="0" applyNumberFormat="1" applyFont="1" applyFill="1" applyAlignment="1">
      <alignment horizontal="left" vertical="center"/>
    </xf>
    <xf numFmtId="187" fontId="35" fillId="0" borderId="0" xfId="510" applyNumberFormat="1" applyFont="1" applyFill="1" applyBorder="1" applyAlignment="1">
      <alignment horizontal="left" vertical="center"/>
    </xf>
    <xf numFmtId="0" fontId="35" fillId="0" borderId="0" xfId="504" applyFont="1" applyAlignment="1"/>
    <xf numFmtId="164" fontId="108" fillId="0" borderId="0" xfId="382" applyNumberFormat="1" applyFont="1" applyFill="1"/>
    <xf numFmtId="0" fontId="49" fillId="0" borderId="0" xfId="474" applyFont="1" applyFill="1"/>
    <xf numFmtId="0" fontId="49" fillId="0" borderId="0" xfId="0" quotePrefix="1" applyFont="1" applyFill="1" applyAlignment="1"/>
    <xf numFmtId="0" fontId="49" fillId="0" borderId="0" xfId="0" applyFont="1" applyFill="1" applyAlignment="1">
      <alignment horizontal="center" wrapText="1"/>
    </xf>
    <xf numFmtId="0" fontId="49" fillId="0" borderId="0" xfId="0" quotePrefix="1" applyFont="1" applyFill="1" applyAlignment="1">
      <alignment horizontal="center" wrapText="1"/>
    </xf>
    <xf numFmtId="37" fontId="49" fillId="0" borderId="0" xfId="0" applyNumberFormat="1" applyFont="1" applyFill="1" applyAlignment="1">
      <alignment horizontal="center"/>
    </xf>
    <xf numFmtId="164" fontId="108" fillId="0" borderId="0" xfId="382" applyNumberFormat="1" applyFont="1" applyFill="1" applyBorder="1"/>
    <xf numFmtId="164" fontId="35" fillId="0" borderId="18" xfId="504" applyNumberFormat="1" applyFont="1" applyFill="1" applyBorder="1" applyAlignment="1">
      <alignment wrapText="1"/>
    </xf>
    <xf numFmtId="16" fontId="95" fillId="0" borderId="0" xfId="37696" quotePrefix="1" applyNumberFormat="1" applyFont="1" applyFill="1" applyAlignment="1" applyProtection="1">
      <alignment horizontal="center"/>
      <protection locked="0"/>
    </xf>
    <xf numFmtId="0" fontId="95" fillId="0" borderId="0" xfId="37696" quotePrefix="1" applyNumberFormat="1" applyFont="1" applyFill="1" applyAlignment="1" applyProtection="1">
      <alignment horizontal="center"/>
      <protection locked="0"/>
    </xf>
    <xf numFmtId="0" fontId="95" fillId="0" borderId="0" xfId="37696" applyNumberFormat="1" applyFont="1" applyFill="1" applyAlignment="1">
      <alignment horizontal="right"/>
    </xf>
    <xf numFmtId="169" fontId="95" fillId="0" borderId="0" xfId="37694" applyNumberFormat="1" applyFont="1" applyFill="1" applyAlignment="1" applyProtection="1">
      <protection locked="0"/>
    </xf>
    <xf numFmtId="0" fontId="95" fillId="0" borderId="0" xfId="37698" applyNumberFormat="1" applyFont="1" applyFill="1" applyAlignment="1" applyProtection="1">
      <alignment horizontal="center" vertical="top"/>
      <protection locked="0"/>
    </xf>
    <xf numFmtId="0" fontId="95" fillId="0" borderId="0" xfId="37694" applyNumberFormat="1" applyFont="1" applyFill="1" applyAlignment="1" applyProtection="1">
      <alignment horizontal="center" vertical="top"/>
      <protection locked="0"/>
    </xf>
    <xf numFmtId="0" fontId="95" fillId="0" borderId="0" xfId="37694" applyNumberFormat="1" applyFont="1" applyFill="1" applyAlignment="1" applyProtection="1">
      <alignment horizontal="center" vertical="top" wrapText="1"/>
      <protection locked="0"/>
    </xf>
    <xf numFmtId="3" fontId="95" fillId="0" borderId="0" xfId="37694" applyNumberFormat="1" applyFont="1" applyFill="1" applyAlignment="1">
      <alignment vertical="top"/>
    </xf>
    <xf numFmtId="0" fontId="36" fillId="0" borderId="0" xfId="0" applyFont="1" applyFill="1" applyAlignment="1"/>
    <xf numFmtId="164" fontId="113" fillId="0" borderId="0" xfId="382" applyNumberFormat="1" applyFont="1" applyFill="1" applyBorder="1"/>
    <xf numFmtId="0" fontId="49" fillId="0" borderId="0" xfId="569" applyFont="1" applyFill="1" applyAlignment="1">
      <alignment horizontal="left"/>
    </xf>
    <xf numFmtId="2" fontId="35" fillId="0" borderId="0" xfId="0" applyNumberFormat="1" applyFont="1" applyFill="1" applyAlignment="1">
      <alignment horizontal="left"/>
    </xf>
    <xf numFmtId="0" fontId="35" fillId="0" borderId="0" xfId="0" quotePrefix="1" applyFont="1" applyFill="1" applyAlignment="1">
      <alignment horizontal="center" vertical="top"/>
    </xf>
    <xf numFmtId="1" fontId="35" fillId="0" borderId="0" xfId="0" applyNumberFormat="1" applyFont="1" applyFill="1" applyAlignment="1">
      <alignment horizontal="left"/>
    </xf>
    <xf numFmtId="1" fontId="18" fillId="0" borderId="0" xfId="11271" applyNumberFormat="1" applyFont="1" applyFill="1" applyAlignment="1">
      <alignment horizontal="left"/>
    </xf>
    <xf numFmtId="2" fontId="18" fillId="0" borderId="0" xfId="11271" applyNumberFormat="1" applyFont="1" applyFill="1" applyAlignment="1">
      <alignment horizontal="left"/>
    </xf>
    <xf numFmtId="3" fontId="39" fillId="0" borderId="20" xfId="0" applyNumberFormat="1" applyFont="1" applyFill="1" applyBorder="1" applyAlignment="1"/>
    <xf numFmtId="0" fontId="37" fillId="50" borderId="6" xfId="0" applyNumberFormat="1" applyFont="1" applyFill="1" applyBorder="1" applyAlignment="1">
      <alignment horizontal="left"/>
    </xf>
    <xf numFmtId="0" fontId="39" fillId="0" borderId="17" xfId="0" applyNumberFormat="1" applyFont="1" applyFill="1" applyBorder="1" applyAlignment="1">
      <alignment horizontal="center"/>
    </xf>
    <xf numFmtId="0" fontId="37" fillId="35" borderId="52" xfId="0" applyFont="1" applyFill="1" applyBorder="1" applyAlignment="1">
      <alignment horizontal="center" wrapText="1"/>
    </xf>
    <xf numFmtId="3" fontId="39" fillId="0" borderId="21" xfId="0" applyNumberFormat="1" applyFont="1" applyFill="1" applyBorder="1" applyAlignment="1"/>
    <xf numFmtId="3" fontId="39" fillId="0" borderId="39" xfId="0" applyNumberFormat="1" applyFont="1" applyFill="1" applyBorder="1" applyAlignment="1"/>
    <xf numFmtId="164" fontId="39" fillId="0" borderId="28" xfId="382" applyNumberFormat="1" applyFont="1" applyFill="1" applyBorder="1" applyAlignment="1"/>
    <xf numFmtId="164" fontId="39" fillId="0" borderId="11" xfId="382" applyNumberFormat="1" applyFont="1" applyFill="1" applyBorder="1" applyAlignment="1">
      <alignment horizontal="right"/>
    </xf>
    <xf numFmtId="0" fontId="37" fillId="0" borderId="47" xfId="0" applyNumberFormat="1" applyFont="1" applyFill="1" applyBorder="1" applyAlignment="1">
      <alignment horizontal="left"/>
    </xf>
    <xf numFmtId="0" fontId="37" fillId="0" borderId="47" xfId="0" applyFont="1" applyFill="1" applyBorder="1" applyAlignment="1">
      <alignment horizontal="left"/>
    </xf>
    <xf numFmtId="0" fontId="37" fillId="0" borderId="47" xfId="0" applyFont="1" applyFill="1" applyBorder="1" applyAlignment="1">
      <alignment horizontal="center"/>
    </xf>
    <xf numFmtId="0" fontId="39" fillId="0" borderId="37" xfId="0" applyNumberFormat="1" applyFont="1" applyFill="1" applyBorder="1" applyAlignment="1">
      <alignment horizontal="left"/>
    </xf>
    <xf numFmtId="0" fontId="39" fillId="0" borderId="0" xfId="0" applyFont="1" applyFill="1" applyBorder="1" applyAlignment="1">
      <alignment horizontal="right"/>
    </xf>
    <xf numFmtId="0" fontId="39" fillId="0" borderId="0" xfId="0" applyFont="1" applyFill="1" applyAlignment="1">
      <alignment horizontal="left" indent="1"/>
    </xf>
    <xf numFmtId="0" fontId="18" fillId="0" borderId="0" xfId="513" applyFont="1" applyFill="1" applyAlignment="1">
      <alignment horizontal="center"/>
    </xf>
    <xf numFmtId="0" fontId="18" fillId="0" borderId="0" xfId="513" applyFont="1" applyFill="1" applyBorder="1"/>
    <xf numFmtId="0" fontId="18" fillId="0" borderId="0" xfId="513" applyFont="1" applyFill="1"/>
    <xf numFmtId="0" fontId="18" fillId="0" borderId="0" xfId="513" quotePrefix="1" applyFont="1" applyFill="1" applyAlignment="1">
      <alignment horizontal="center" vertical="top"/>
    </xf>
    <xf numFmtId="0" fontId="39" fillId="0" borderId="18" xfId="0" applyNumberFormat="1" applyFont="1" applyFill="1" applyBorder="1" applyAlignment="1">
      <alignment horizontal="left" indent="1"/>
    </xf>
    <xf numFmtId="0" fontId="39" fillId="0" borderId="0" xfId="0" applyFont="1" applyFill="1" applyBorder="1" applyAlignment="1">
      <alignment horizontal="left" indent="1"/>
    </xf>
    <xf numFmtId="0" fontId="39" fillId="0" borderId="0" xfId="0" applyFont="1" applyFill="1" applyBorder="1" applyAlignment="1">
      <alignment horizontal="left" indent="2"/>
    </xf>
    <xf numFmtId="0" fontId="39" fillId="0" borderId="0" xfId="0" applyFont="1" applyFill="1" applyAlignment="1">
      <alignment horizontal="center"/>
    </xf>
    <xf numFmtId="164" fontId="39" fillId="0" borderId="0" xfId="382" applyNumberFormat="1" applyFont="1" applyFill="1" applyBorder="1"/>
    <xf numFmtId="164" fontId="49" fillId="0" borderId="0" xfId="382" applyNumberFormat="1" applyFont="1" applyFill="1" applyAlignment="1">
      <alignment horizontal="left"/>
    </xf>
    <xf numFmtId="1" fontId="49" fillId="0" borderId="0" xfId="511" applyNumberFormat="1" applyFont="1" applyFill="1" applyAlignment="1">
      <alignment horizontal="left"/>
    </xf>
    <xf numFmtId="0" fontId="35" fillId="0" borderId="0" xfId="504" applyFont="1" applyFill="1" applyBorder="1" applyAlignment="1">
      <alignment horizontal="right"/>
    </xf>
    <xf numFmtId="43" fontId="105" fillId="0" borderId="0" xfId="382" applyFont="1" applyFill="1" applyAlignment="1">
      <alignment horizontal="center"/>
    </xf>
    <xf numFmtId="0" fontId="35" fillId="0" borderId="0" xfId="0" applyFont="1" applyFill="1" applyAlignment="1">
      <alignment horizontal="right"/>
    </xf>
    <xf numFmtId="43" fontId="35" fillId="0" borderId="0" xfId="0" applyNumberFormat="1" applyFont="1" applyFill="1" applyAlignment="1">
      <alignment horizontal="right"/>
    </xf>
    <xf numFmtId="43" fontId="35" fillId="0" borderId="0" xfId="382" applyNumberFormat="1" applyFont="1" applyFill="1" applyBorder="1"/>
    <xf numFmtId="43" fontId="35" fillId="0" borderId="0" xfId="504" applyNumberFormat="1" applyFont="1" applyFill="1" applyBorder="1"/>
    <xf numFmtId="0" fontId="36" fillId="0" borderId="0" xfId="0" applyFont="1" applyFill="1" applyAlignment="1">
      <alignment horizontal="left"/>
    </xf>
    <xf numFmtId="0" fontId="36" fillId="0" borderId="0" xfId="0" applyFont="1" applyFill="1" applyAlignment="1">
      <alignment horizontal="left" indent="2"/>
    </xf>
    <xf numFmtId="0" fontId="36" fillId="0" borderId="0" xfId="504" applyFont="1" applyFill="1" applyBorder="1" applyAlignment="1">
      <alignment horizontal="left" indent="2"/>
    </xf>
    <xf numFmtId="0" fontId="36" fillId="0" borderId="0" xfId="504" applyNumberFormat="1" applyFont="1" applyFill="1" applyBorder="1" applyAlignment="1">
      <alignment horizontal="left" wrapText="1" indent="2"/>
    </xf>
    <xf numFmtId="0" fontId="36" fillId="0" borderId="0" xfId="504" applyFont="1" applyFill="1" applyAlignment="1">
      <alignment horizontal="left" indent="2"/>
    </xf>
    <xf numFmtId="0" fontId="35" fillId="0" borderId="0" xfId="504" applyFont="1" applyFill="1" applyAlignment="1">
      <alignment horizontal="center" wrapText="1"/>
    </xf>
    <xf numFmtId="43" fontId="113" fillId="0" borderId="0" xfId="382" applyFont="1" applyFill="1"/>
    <xf numFmtId="164" fontId="18" fillId="0" borderId="0" xfId="382" quotePrefix="1" applyNumberFormat="1" applyFont="1" applyBorder="1" applyAlignment="1">
      <alignment horizontal="center"/>
    </xf>
    <xf numFmtId="0" fontId="35" fillId="0" borderId="0" xfId="512" applyNumberFormat="1" applyFont="1" applyFill="1" applyAlignment="1">
      <alignment horizontal="left" vertical="top"/>
    </xf>
    <xf numFmtId="0" fontId="112" fillId="0" borderId="0" xfId="504" applyFont="1"/>
    <xf numFmtId="0" fontId="35" fillId="0" borderId="0" xfId="0" applyFont="1" applyFill="1" applyBorder="1" applyAlignment="1">
      <alignment horizontal="left" vertical="top"/>
    </xf>
    <xf numFmtId="0" fontId="35" fillId="0" borderId="16" xfId="0" applyFont="1" applyFill="1" applyBorder="1"/>
    <xf numFmtId="164" fontId="35" fillId="0" borderId="16" xfId="382" applyNumberFormat="1" applyFont="1" applyFill="1" applyBorder="1"/>
    <xf numFmtId="0" fontId="121" fillId="0" borderId="0" xfId="0" applyFont="1" applyFill="1"/>
    <xf numFmtId="164" fontId="35" fillId="0" borderId="0" xfId="382" applyNumberFormat="1" applyFont="1" applyBorder="1" applyAlignment="1">
      <alignment vertical="top"/>
    </xf>
    <xf numFmtId="170" fontId="44" fillId="0" borderId="0" xfId="382" applyNumberFormat="1" applyFont="1" applyFill="1" applyBorder="1" applyAlignment="1">
      <alignment horizontal="center"/>
    </xf>
    <xf numFmtId="164" fontId="35" fillId="0" borderId="0" xfId="382" applyNumberFormat="1" applyFont="1" applyFill="1" applyAlignment="1">
      <alignment vertical="top"/>
    </xf>
    <xf numFmtId="0" fontId="35" fillId="0" borderId="0" xfId="0" quotePrefix="1" applyFont="1" applyFill="1" applyAlignment="1">
      <alignment horizontal="left" vertical="top"/>
    </xf>
    <xf numFmtId="3" fontId="35" fillId="0" borderId="0" xfId="11265" quotePrefix="1" applyNumberFormat="1" applyFont="1" applyFill="1" applyAlignment="1"/>
    <xf numFmtId="43" fontId="49" fillId="0" borderId="0" xfId="511" applyNumberFormat="1" applyFont="1" applyFill="1" applyAlignment="1">
      <alignment horizontal="left"/>
    </xf>
    <xf numFmtId="0" fontId="49" fillId="0" borderId="0" xfId="511" applyFont="1" applyFill="1" applyAlignment="1">
      <alignment horizontal="center"/>
    </xf>
    <xf numFmtId="0" fontId="49" fillId="0" borderId="0" xfId="511" applyFont="1" applyFill="1" applyAlignment="1">
      <alignment horizontal="left"/>
    </xf>
    <xf numFmtId="2" fontId="49" fillId="0" borderId="0" xfId="511" applyNumberFormat="1" applyFont="1" applyFill="1" applyAlignment="1">
      <alignment horizontal="left"/>
    </xf>
    <xf numFmtId="0" fontId="49" fillId="0" borderId="0" xfId="511" applyFont="1" applyFill="1"/>
    <xf numFmtId="0" fontId="111" fillId="0" borderId="0" xfId="0" applyFont="1" applyFill="1"/>
    <xf numFmtId="2" fontId="35" fillId="0" borderId="0" xfId="0" applyNumberFormat="1" applyFont="1" applyFill="1" applyAlignment="1">
      <alignment horizontal="center"/>
    </xf>
    <xf numFmtId="193" fontId="35" fillId="0" borderId="0" xfId="0" applyNumberFormat="1" applyFont="1" applyFill="1" applyBorder="1"/>
    <xf numFmtId="170" fontId="95" fillId="0" borderId="0" xfId="382" applyNumberFormat="1" applyFont="1" applyFill="1" applyBorder="1" applyAlignment="1"/>
    <xf numFmtId="164" fontId="95" fillId="0" borderId="0" xfId="382" applyNumberFormat="1" applyFont="1" applyFill="1" applyBorder="1" applyAlignment="1">
      <alignment horizontal="right"/>
    </xf>
    <xf numFmtId="0" fontId="35" fillId="0" borderId="0" xfId="0" applyNumberFormat="1" applyFont="1" applyFill="1" applyBorder="1" applyAlignment="1"/>
    <xf numFmtId="164" fontId="49" fillId="0" borderId="0" xfId="382" applyNumberFormat="1" applyFont="1" applyFill="1" applyAlignment="1"/>
    <xf numFmtId="0" fontId="35" fillId="0" borderId="0" xfId="0" applyFont="1" applyFill="1" applyBorder="1" applyAlignment="1">
      <alignment horizontal="left" wrapText="1" indent="1"/>
    </xf>
    <xf numFmtId="0" fontId="35" fillId="0" borderId="0" xfId="0" applyFont="1" applyFill="1" applyBorder="1" applyAlignment="1">
      <alignment horizontal="left" wrapText="1"/>
    </xf>
    <xf numFmtId="164" fontId="35" fillId="0" borderId="0" xfId="382" applyNumberFormat="1" applyFont="1" applyFill="1" applyBorder="1" applyAlignment="1">
      <alignment vertical="top"/>
    </xf>
    <xf numFmtId="164" fontId="18" fillId="0" borderId="18" xfId="382" applyNumberFormat="1" applyFont="1" applyFill="1" applyBorder="1"/>
    <xf numFmtId="164" fontId="35" fillId="37" borderId="0" xfId="382" applyNumberFormat="1" applyFont="1" applyFill="1" applyAlignment="1">
      <alignment horizontal="left" vertical="top" indent="2"/>
    </xf>
    <xf numFmtId="164" fontId="35" fillId="37" borderId="18" xfId="382" applyNumberFormat="1" applyFont="1" applyFill="1" applyBorder="1" applyAlignment="1">
      <alignment horizontal="left" vertical="top" indent="2"/>
    </xf>
    <xf numFmtId="0" fontId="35" fillId="0" borderId="0" xfId="474" quotePrefix="1" applyFont="1" applyAlignment="1">
      <alignment horizontal="center" vertical="top"/>
    </xf>
    <xf numFmtId="0" fontId="35" fillId="52" borderId="0" xfId="0" applyFont="1" applyFill="1" applyBorder="1" applyAlignment="1">
      <alignment horizontal="left" wrapText="1"/>
    </xf>
    <xf numFmtId="0" fontId="35" fillId="0" borderId="0" xfId="0" applyFont="1" applyFill="1" applyAlignment="1">
      <alignment horizontal="left" vertical="top" wrapText="1"/>
    </xf>
    <xf numFmtId="0" fontId="35" fillId="0" borderId="0" xfId="0" applyFont="1" applyFill="1" applyAlignment="1">
      <alignment horizontal="center"/>
    </xf>
    <xf numFmtId="0" fontId="35" fillId="0" borderId="0" xfId="0" applyFont="1" applyFill="1" applyBorder="1" applyAlignment="1">
      <alignment horizontal="left" wrapText="1"/>
    </xf>
    <xf numFmtId="0" fontId="35" fillId="0" borderId="0" xfId="0" applyFont="1" applyFill="1" applyAlignment="1">
      <alignment horizontal="left" vertical="top"/>
    </xf>
    <xf numFmtId="0" fontId="123" fillId="0" borderId="0" xfId="513" applyFont="1"/>
    <xf numFmtId="0" fontId="123" fillId="0" borderId="0" xfId="511" applyFont="1" applyFill="1"/>
    <xf numFmtId="43" fontId="49" fillId="0" borderId="0" xfId="425" applyFont="1" applyFill="1"/>
    <xf numFmtId="164" fontId="123" fillId="0" borderId="0" xfId="382" applyNumberFormat="1" applyFont="1" applyFill="1" applyBorder="1"/>
    <xf numFmtId="0" fontId="35" fillId="0" borderId="0" xfId="474" applyFont="1" applyFill="1" applyAlignment="1">
      <alignment horizontal="left" vertical="top"/>
    </xf>
    <xf numFmtId="0" fontId="112" fillId="0" borderId="0" xfId="0" applyFont="1" applyFill="1"/>
    <xf numFmtId="0" fontId="108" fillId="0" borderId="0" xfId="484" applyFont="1" applyFill="1" applyBorder="1" applyAlignment="1">
      <alignment vertical="top"/>
    </xf>
    <xf numFmtId="0" fontId="49" fillId="0" borderId="0" xfId="511" applyFont="1" applyAlignment="1">
      <alignment horizontal="left" vertical="top"/>
    </xf>
    <xf numFmtId="199" fontId="35" fillId="0" borderId="11" xfId="382" applyNumberFormat="1" applyFont="1" applyFill="1" applyBorder="1" applyAlignment="1">
      <alignment horizontal="right"/>
    </xf>
    <xf numFmtId="199" fontId="35" fillId="0" borderId="11" xfId="382" applyNumberFormat="1" applyFont="1" applyFill="1" applyBorder="1"/>
    <xf numFmtId="199" fontId="35" fillId="0" borderId="30" xfId="382" applyNumberFormat="1" applyFont="1" applyFill="1" applyBorder="1"/>
    <xf numFmtId="199" fontId="35" fillId="0" borderId="30" xfId="382" applyNumberFormat="1" applyFont="1" applyFill="1" applyBorder="1" applyAlignment="1">
      <alignment horizontal="right"/>
    </xf>
    <xf numFmtId="199" fontId="35" fillId="0" borderId="11" xfId="382" applyNumberFormat="1" applyFont="1" applyBorder="1"/>
    <xf numFmtId="199" fontId="35" fillId="0" borderId="11" xfId="382" applyNumberFormat="1" applyFont="1" applyBorder="1" applyAlignment="1">
      <alignment horizontal="right"/>
    </xf>
    <xf numFmtId="169" fontId="95" fillId="0" borderId="0" xfId="37694" applyFont="1" applyAlignment="1">
      <alignment horizontal="center"/>
    </xf>
    <xf numFmtId="49" fontId="95" fillId="0" borderId="0" xfId="37696" applyNumberFormat="1" applyFont="1" applyFill="1" applyAlignment="1" applyProtection="1">
      <protection locked="0"/>
    </xf>
    <xf numFmtId="0" fontId="95" fillId="0" borderId="0" xfId="37696" applyNumberFormat="1" applyFont="1" applyFill="1" applyAlignment="1">
      <alignment wrapText="1"/>
    </xf>
    <xf numFmtId="0" fontId="95" fillId="0" borderId="0" xfId="37696" applyNumberFormat="1" applyFont="1" applyFill="1" applyAlignment="1" applyProtection="1">
      <alignment horizontal="left"/>
      <protection locked="0"/>
    </xf>
    <xf numFmtId="164" fontId="95" fillId="0" borderId="6" xfId="382" applyNumberFormat="1" applyFont="1" applyBorder="1" applyAlignment="1"/>
    <xf numFmtId="0" fontId="37" fillId="0" borderId="5" xfId="0" applyNumberFormat="1" applyFont="1" applyFill="1" applyBorder="1" applyAlignment="1">
      <alignment horizontal="left"/>
    </xf>
    <xf numFmtId="0" fontId="37" fillId="0" borderId="5" xfId="0" applyFont="1" applyFill="1" applyBorder="1" applyAlignment="1">
      <alignment horizontal="center"/>
    </xf>
    <xf numFmtId="3" fontId="39" fillId="0" borderId="35" xfId="0" quotePrefix="1" applyNumberFormat="1" applyFont="1" applyFill="1" applyBorder="1" applyAlignment="1">
      <alignment horizontal="left"/>
    </xf>
    <xf numFmtId="0" fontId="37" fillId="0" borderId="0" xfId="0" applyFont="1" applyFill="1" applyBorder="1" applyAlignment="1">
      <alignment horizontal="left"/>
    </xf>
    <xf numFmtId="3" fontId="39" fillId="0" borderId="18" xfId="0" applyNumberFormat="1" applyFont="1" applyFill="1" applyBorder="1" applyAlignment="1">
      <alignment horizontal="center"/>
    </xf>
    <xf numFmtId="168" fontId="111" fillId="0" borderId="0" xfId="0" applyNumberFormat="1" applyFont="1" applyFill="1" applyBorder="1" applyAlignment="1">
      <alignment horizontal="left"/>
    </xf>
    <xf numFmtId="3" fontId="37" fillId="0" borderId="38" xfId="0" applyNumberFormat="1" applyFont="1" applyFill="1" applyBorder="1" applyAlignment="1">
      <alignment horizontal="right"/>
    </xf>
    <xf numFmtId="168" fontId="39" fillId="0" borderId="0" xfId="0" applyNumberFormat="1" applyFont="1" applyFill="1" applyBorder="1" applyAlignment="1">
      <alignment horizontal="left" indent="1"/>
    </xf>
    <xf numFmtId="168" fontId="39" fillId="0" borderId="18" xfId="0" applyNumberFormat="1" applyFont="1" applyFill="1" applyBorder="1" applyAlignment="1">
      <alignment horizontal="left" indent="1"/>
    </xf>
    <xf numFmtId="0" fontId="111" fillId="0" borderId="0" xfId="0" applyFont="1"/>
    <xf numFmtId="3" fontId="39" fillId="0" borderId="35" xfId="0" applyNumberFormat="1" applyFont="1" applyFill="1" applyBorder="1"/>
    <xf numFmtId="3" fontId="39" fillId="0" borderId="36" xfId="0" applyNumberFormat="1" applyFont="1" applyFill="1" applyBorder="1" applyAlignment="1">
      <alignment horizontal="right"/>
    </xf>
    <xf numFmtId="0" fontId="39" fillId="50" borderId="0" xfId="0" applyFont="1" applyFill="1" applyBorder="1" applyAlignment="1">
      <alignment horizontal="center"/>
    </xf>
    <xf numFmtId="3" fontId="39" fillId="0" borderId="35" xfId="0" applyNumberFormat="1" applyFont="1" applyFill="1" applyBorder="1" applyAlignment="1">
      <alignment wrapText="1"/>
    </xf>
    <xf numFmtId="37" fontId="39" fillId="0" borderId="35" xfId="0" quotePrefix="1" applyNumberFormat="1" applyFont="1" applyFill="1" applyBorder="1" applyAlignment="1"/>
    <xf numFmtId="169" fontId="95" fillId="0" borderId="7" xfId="37696" applyFont="1" applyFill="1" applyBorder="1" applyAlignment="1"/>
    <xf numFmtId="0" fontId="95" fillId="0" borderId="7" xfId="37696" applyNumberFormat="1" applyFont="1" applyFill="1" applyBorder="1" applyProtection="1">
      <protection locked="0"/>
    </xf>
    <xf numFmtId="0" fontId="95" fillId="51" borderId="0" xfId="37695" applyFont="1" applyFill="1"/>
    <xf numFmtId="0" fontId="95" fillId="51" borderId="0" xfId="37696" applyNumberFormat="1" applyFont="1" applyFill="1"/>
    <xf numFmtId="0" fontId="95" fillId="51" borderId="0" xfId="37697" applyNumberFormat="1" applyFont="1" applyFill="1" applyAlignment="1">
      <alignment horizontal="right"/>
    </xf>
    <xf numFmtId="169" fontId="95" fillId="51" borderId="0" xfId="37694" applyFont="1" applyFill="1" applyAlignment="1"/>
    <xf numFmtId="0" fontId="95" fillId="51" borderId="0" xfId="37695" applyFont="1" applyFill="1" applyAlignment="1">
      <alignment horizontal="right"/>
    </xf>
    <xf numFmtId="170" fontId="95" fillId="0" borderId="0" xfId="382" applyNumberFormat="1" applyFont="1" applyFill="1" applyAlignment="1">
      <alignment horizontal="center" vertical="top"/>
    </xf>
    <xf numFmtId="0" fontId="95" fillId="0" borderId="0" xfId="37694" applyNumberFormat="1" applyFont="1" applyFill="1" applyAlignment="1">
      <alignment vertical="top"/>
    </xf>
    <xf numFmtId="1" fontId="35" fillId="0" borderId="0" xfId="510" applyNumberFormat="1" applyFont="1" applyFill="1" applyBorder="1" applyAlignment="1">
      <alignment horizontal="left"/>
    </xf>
    <xf numFmtId="0" fontId="35" fillId="0" borderId="6" xfId="0" applyFont="1" applyFill="1" applyBorder="1" applyAlignment="1">
      <alignment horizontal="left" wrapText="1"/>
    </xf>
    <xf numFmtId="0" fontId="35" fillId="0" borderId="0" xfId="504" quotePrefix="1" applyFont="1" applyAlignment="1">
      <alignment horizontal="center" vertical="top"/>
    </xf>
    <xf numFmtId="0" fontId="18" fillId="0" borderId="18" xfId="0" applyFont="1" applyFill="1" applyBorder="1" applyAlignment="1">
      <alignment horizontal="left" indent="1"/>
    </xf>
    <xf numFmtId="164" fontId="16" fillId="0" borderId="18" xfId="382" applyNumberFormat="1" applyFont="1" applyFill="1" applyBorder="1"/>
    <xf numFmtId="0" fontId="18" fillId="0" borderId="0" xfId="0" applyFont="1" applyFill="1" applyAlignment="1">
      <alignment horizontal="left"/>
    </xf>
    <xf numFmtId="164" fontId="35" fillId="0" borderId="17" xfId="382" applyNumberFormat="1" applyFont="1" applyFill="1" applyBorder="1" applyAlignment="1">
      <alignment vertical="top"/>
    </xf>
    <xf numFmtId="164" fontId="35" fillId="0" borderId="0" xfId="382" applyNumberFormat="1" applyFont="1" applyFill="1" applyAlignment="1">
      <alignment horizontal="left" vertical="top" indent="2"/>
    </xf>
    <xf numFmtId="0" fontId="49" fillId="0" borderId="0" xfId="511" quotePrefix="1" applyFont="1" applyFill="1" applyAlignment="1">
      <alignment horizontal="center"/>
    </xf>
    <xf numFmtId="0" fontId="49" fillId="0" borderId="0" xfId="511" quotePrefix="1" applyFont="1" applyFill="1" applyAlignment="1">
      <alignment horizontal="center" vertical="top"/>
    </xf>
    <xf numFmtId="0" fontId="119" fillId="0" borderId="0" xfId="0" applyFont="1" applyFill="1"/>
    <xf numFmtId="0" fontId="35" fillId="0" borderId="0" xfId="484" quotePrefix="1" applyFont="1" applyFill="1" applyAlignment="1">
      <alignment vertical="top"/>
    </xf>
    <xf numFmtId="0" fontId="76" fillId="0" borderId="0" xfId="0" applyFont="1" applyFill="1" applyAlignment="1">
      <alignment horizontal="left"/>
    </xf>
    <xf numFmtId="0" fontId="76" fillId="0" borderId="0" xfId="0" applyFont="1" applyFill="1"/>
    <xf numFmtId="0" fontId="36" fillId="0" borderId="16" xfId="0" applyFont="1" applyFill="1" applyBorder="1" applyAlignment="1">
      <alignment horizontal="left" indent="1"/>
    </xf>
    <xf numFmtId="1" fontId="49" fillId="0" borderId="0" xfId="11275" applyNumberFormat="1" applyFont="1" applyFill="1" applyAlignment="1">
      <alignment horizontal="left"/>
    </xf>
    <xf numFmtId="0" fontId="49" fillId="0" borderId="0" xfId="11275" applyFont="1" applyFill="1" applyAlignment="1">
      <alignment horizontal="left"/>
    </xf>
    <xf numFmtId="0" fontId="49" fillId="0" borderId="0" xfId="11275" quotePrefix="1" applyFont="1" applyFill="1" applyAlignment="1">
      <alignment horizontal="left"/>
    </xf>
    <xf numFmtId="0" fontId="18" fillId="0" borderId="0" xfId="11271" quotePrefix="1" applyFont="1" applyFill="1" applyAlignment="1">
      <alignment horizontal="center"/>
    </xf>
    <xf numFmtId="2" fontId="35" fillId="0" borderId="0" xfId="474" applyNumberFormat="1" applyFont="1" applyFill="1" applyAlignment="1">
      <alignment horizontal="left" vertical="top"/>
    </xf>
    <xf numFmtId="0" fontId="15" fillId="0" borderId="0" xfId="0" applyFont="1"/>
    <xf numFmtId="0" fontId="15" fillId="0" borderId="0" xfId="0" applyFont="1" applyFill="1"/>
    <xf numFmtId="164" fontId="15" fillId="0" borderId="0" xfId="382" applyNumberFormat="1" applyFont="1" applyFill="1"/>
    <xf numFmtId="3" fontId="95" fillId="0" borderId="0" xfId="37696" applyNumberFormat="1" applyFont="1" applyFill="1" applyAlignment="1">
      <alignment vertical="top" wrapText="1"/>
    </xf>
    <xf numFmtId="0" fontId="95" fillId="0" borderId="0" xfId="37696" applyNumberFormat="1" applyFont="1" applyFill="1" applyAlignment="1">
      <alignment horizontal="left" vertical="top"/>
    </xf>
    <xf numFmtId="169" fontId="95" fillId="0" borderId="0" xfId="37694" quotePrefix="1" applyFont="1" applyFill="1" applyAlignment="1">
      <alignment vertical="top"/>
    </xf>
    <xf numFmtId="0" fontId="35" fillId="0" borderId="0" xfId="513" applyFont="1"/>
    <xf numFmtId="0" fontId="49" fillId="0" borderId="0" xfId="0" applyFont="1" applyFill="1" applyAlignment="1">
      <alignment horizontal="center"/>
    </xf>
    <xf numFmtId="0" fontId="14" fillId="0" borderId="0" xfId="0" applyFont="1" applyFill="1" applyAlignment="1">
      <alignment horizontal="center"/>
    </xf>
    <xf numFmtId="0" fontId="14" fillId="0" borderId="0" xfId="0" applyFont="1" applyFill="1"/>
    <xf numFmtId="164" fontId="14" fillId="0" borderId="0" xfId="423" applyNumberFormat="1" applyFont="1" applyFill="1"/>
    <xf numFmtId="0" fontId="14" fillId="0" borderId="0" xfId="0" applyFont="1" applyFill="1" applyAlignment="1">
      <alignment horizontal="left" indent="1"/>
    </xf>
    <xf numFmtId="164" fontId="14" fillId="0" borderId="0" xfId="382" applyNumberFormat="1" applyFont="1" applyFill="1"/>
    <xf numFmtId="0" fontId="14" fillId="0" borderId="0" xfId="0" applyFont="1" applyFill="1" applyAlignment="1">
      <alignment horizontal="left"/>
    </xf>
    <xf numFmtId="164" fontId="14" fillId="0" borderId="0" xfId="0" applyNumberFormat="1" applyFont="1" applyFill="1"/>
    <xf numFmtId="164" fontId="14" fillId="0" borderId="0" xfId="0" applyNumberFormat="1" applyFont="1" applyFill="1" applyBorder="1"/>
    <xf numFmtId="164" fontId="14" fillId="0" borderId="17" xfId="0" applyNumberFormat="1" applyFont="1" applyFill="1" applyBorder="1"/>
    <xf numFmtId="43" fontId="14" fillId="0" borderId="0" xfId="423" applyFont="1" applyFill="1"/>
    <xf numFmtId="9" fontId="49" fillId="0" borderId="0" xfId="674" applyFont="1"/>
    <xf numFmtId="0" fontId="37" fillId="0" borderId="56" xfId="0" applyFont="1" applyFill="1" applyBorder="1" applyAlignment="1">
      <alignment horizontal="center"/>
    </xf>
    <xf numFmtId="0" fontId="37" fillId="50" borderId="57" xfId="0" applyFont="1" applyFill="1" applyBorder="1" applyAlignment="1">
      <alignment horizontal="left"/>
    </xf>
    <xf numFmtId="0" fontId="37" fillId="50" borderId="56" xfId="0" applyFont="1" applyFill="1" applyBorder="1" applyAlignment="1">
      <alignment horizontal="left"/>
    </xf>
    <xf numFmtId="0" fontId="37" fillId="50" borderId="56" xfId="0" applyFont="1" applyFill="1" applyBorder="1" applyAlignment="1"/>
    <xf numFmtId="0" fontId="39" fillId="0" borderId="22" xfId="0" applyFont="1" applyBorder="1"/>
    <xf numFmtId="0" fontId="39" fillId="0" borderId="59" xfId="0" applyFont="1" applyFill="1" applyBorder="1" applyAlignment="1">
      <alignment horizontal="center" wrapText="1"/>
    </xf>
    <xf numFmtId="3" fontId="39" fillId="0" borderId="60" xfId="0" applyNumberFormat="1" applyFont="1" applyBorder="1" applyAlignment="1"/>
    <xf numFmtId="164" fontId="39" fillId="0" borderId="60" xfId="382" applyNumberFormat="1" applyFont="1" applyFill="1" applyBorder="1" applyAlignment="1"/>
    <xf numFmtId="164" fontId="39" fillId="0" borderId="61" xfId="382" applyNumberFormat="1" applyFont="1" applyFill="1" applyBorder="1" applyAlignment="1"/>
    <xf numFmtId="164" fontId="39" fillId="0" borderId="62" xfId="382" applyNumberFormat="1" applyFont="1" applyFill="1" applyBorder="1" applyAlignment="1"/>
    <xf numFmtId="171" fontId="37" fillId="0" borderId="60" xfId="674" applyNumberFormat="1" applyFont="1" applyFill="1" applyBorder="1" applyAlignment="1"/>
    <xf numFmtId="0" fontId="39" fillId="0" borderId="60" xfId="0" applyFont="1" applyFill="1" applyBorder="1"/>
    <xf numFmtId="164" fontId="39" fillId="0" borderId="60" xfId="382" applyNumberFormat="1" applyFont="1" applyFill="1" applyBorder="1"/>
    <xf numFmtId="171" fontId="37" fillId="0" borderId="60" xfId="674" applyNumberFormat="1" applyFont="1" applyBorder="1" applyAlignment="1"/>
    <xf numFmtId="0" fontId="39" fillId="50" borderId="64" xfId="0" applyFont="1" applyFill="1" applyBorder="1" applyAlignment="1">
      <alignment horizontal="center" wrapText="1"/>
    </xf>
    <xf numFmtId="0" fontId="39" fillId="0" borderId="60" xfId="0" applyFont="1" applyFill="1" applyBorder="1" applyAlignment="1">
      <alignment horizontal="center" wrapText="1"/>
    </xf>
    <xf numFmtId="3" fontId="39" fillId="0" borderId="60" xfId="0" applyNumberFormat="1" applyFont="1" applyFill="1" applyBorder="1" applyAlignment="1"/>
    <xf numFmtId="164" fontId="37" fillId="0" borderId="60" xfId="382" applyNumberFormat="1" applyFont="1" applyFill="1" applyBorder="1" applyAlignment="1"/>
    <xf numFmtId="171" fontId="39" fillId="0" borderId="61" xfId="674" applyNumberFormat="1" applyFont="1" applyFill="1" applyBorder="1" applyAlignment="1"/>
    <xf numFmtId="164" fontId="37" fillId="0" borderId="63" xfId="382" applyNumberFormat="1" applyFont="1" applyFill="1" applyBorder="1"/>
    <xf numFmtId="3" fontId="39" fillId="0" borderId="60" xfId="0" applyNumberFormat="1" applyFont="1" applyBorder="1"/>
    <xf numFmtId="171" fontId="39" fillId="0" borderId="61" xfId="0" applyNumberFormat="1" applyFont="1" applyFill="1" applyBorder="1" applyAlignment="1">
      <alignment horizontal="right"/>
    </xf>
    <xf numFmtId="164" fontId="39" fillId="0" borderId="60" xfId="382" applyNumberFormat="1" applyFont="1" applyFill="1" applyBorder="1" applyAlignment="1">
      <alignment horizontal="right"/>
    </xf>
    <xf numFmtId="164" fontId="39" fillId="0" borderId="65" xfId="382" applyNumberFormat="1" applyFont="1" applyFill="1" applyBorder="1" applyAlignment="1">
      <alignment horizontal="right"/>
    </xf>
    <xf numFmtId="3" fontId="39" fillId="0" borderId="60" xfId="0" applyNumberFormat="1" applyFont="1" applyFill="1" applyBorder="1" applyAlignment="1">
      <alignment horizontal="right"/>
    </xf>
    <xf numFmtId="164" fontId="39" fillId="37" borderId="60" xfId="382" applyNumberFormat="1" applyFont="1" applyFill="1" applyBorder="1" applyAlignment="1"/>
    <xf numFmtId="3" fontId="37" fillId="0" borderId="60" xfId="0" applyNumberFormat="1" applyFont="1" applyFill="1" applyBorder="1" applyAlignment="1"/>
    <xf numFmtId="171" fontId="39" fillId="0" borderId="60" xfId="0" applyNumberFormat="1" applyFont="1" applyFill="1" applyBorder="1" applyAlignment="1">
      <alignment horizontal="right"/>
    </xf>
    <xf numFmtId="164" fontId="39" fillId="0" borderId="61" xfId="382" applyNumberFormat="1" applyFont="1" applyFill="1" applyBorder="1" applyAlignment="1">
      <alignment horizontal="right"/>
    </xf>
    <xf numFmtId="164" fontId="39" fillId="0" borderId="58" xfId="382" applyNumberFormat="1" applyFont="1" applyFill="1" applyBorder="1" applyAlignment="1">
      <alignment horizontal="right"/>
    </xf>
    <xf numFmtId="164" fontId="37" fillId="0" borderId="60" xfId="382" applyNumberFormat="1" applyFont="1" applyFill="1" applyBorder="1"/>
    <xf numFmtId="0" fontId="39" fillId="0" borderId="60" xfId="0" applyFont="1" applyBorder="1"/>
    <xf numFmtId="164" fontId="37" fillId="0" borderId="60" xfId="382" applyNumberFormat="1" applyFont="1" applyFill="1" applyBorder="1" applyAlignment="1">
      <alignment horizontal="right"/>
    </xf>
    <xf numFmtId="164" fontId="39" fillId="37" borderId="61" xfId="382" applyNumberFormat="1" applyFont="1" applyFill="1" applyBorder="1" applyAlignment="1"/>
    <xf numFmtId="164" fontId="39" fillId="0" borderId="60" xfId="382" applyNumberFormat="1" applyFont="1" applyBorder="1"/>
    <xf numFmtId="164" fontId="37" fillId="0" borderId="63" xfId="382" applyNumberFormat="1" applyFont="1" applyBorder="1"/>
    <xf numFmtId="164" fontId="39" fillId="50" borderId="65" xfId="382" applyNumberFormat="1" applyFont="1" applyFill="1" applyBorder="1" applyAlignment="1">
      <alignment horizontal="center" wrapText="1"/>
    </xf>
    <xf numFmtId="164" fontId="39" fillId="0" borderId="60" xfId="382" applyNumberFormat="1" applyFont="1" applyFill="1" applyBorder="1" applyAlignment="1">
      <alignment horizontal="center" wrapText="1"/>
    </xf>
    <xf numFmtId="164" fontId="39" fillId="0" borderId="60" xfId="382" applyNumberFormat="1" applyFont="1" applyBorder="1" applyAlignment="1"/>
    <xf numFmtId="164" fontId="37" fillId="0" borderId="63" xfId="382" applyNumberFormat="1" applyFont="1" applyFill="1" applyBorder="1" applyAlignment="1"/>
    <xf numFmtId="164" fontId="39" fillId="37" borderId="61" xfId="382" applyNumberFormat="1" applyFont="1" applyFill="1" applyBorder="1" applyAlignment="1">
      <alignment horizontal="right"/>
    </xf>
    <xf numFmtId="164" fontId="37" fillId="0" borderId="63" xfId="382" applyNumberFormat="1" applyFont="1" applyFill="1" applyBorder="1" applyAlignment="1">
      <alignment horizontal="right"/>
    </xf>
    <xf numFmtId="164" fontId="39" fillId="50" borderId="64" xfId="382" applyNumberFormat="1" applyFont="1" applyFill="1" applyBorder="1" applyAlignment="1">
      <alignment horizontal="center" wrapText="1"/>
    </xf>
    <xf numFmtId="164" fontId="37" fillId="0" borderId="60" xfId="382" applyNumberFormat="1" applyFont="1" applyBorder="1" applyAlignment="1"/>
    <xf numFmtId="164" fontId="39" fillId="0" borderId="61" xfId="382" applyNumberFormat="1" applyFont="1" applyFill="1" applyBorder="1"/>
    <xf numFmtId="0" fontId="39" fillId="50" borderId="65" xfId="0" applyFont="1" applyFill="1" applyBorder="1" applyAlignment="1">
      <alignment horizontal="center" wrapText="1"/>
    </xf>
    <xf numFmtId="37" fontId="39" fillId="0" borderId="60" xfId="0" applyNumberFormat="1" applyFont="1" applyFill="1" applyBorder="1"/>
    <xf numFmtId="10" fontId="39" fillId="0" borderId="60" xfId="674" applyNumberFormat="1" applyFont="1" applyFill="1" applyBorder="1" applyAlignment="1"/>
    <xf numFmtId="10" fontId="39" fillId="0" borderId="60" xfId="0" applyNumberFormat="1" applyFont="1" applyFill="1" applyBorder="1" applyAlignment="1"/>
    <xf numFmtId="10" fontId="39" fillId="37" borderId="60" xfId="674" applyNumberFormat="1" applyFont="1" applyFill="1" applyBorder="1" applyAlignment="1"/>
    <xf numFmtId="10" fontId="39" fillId="0" borderId="61" xfId="674" applyNumberFormat="1" applyFont="1" applyFill="1" applyBorder="1" applyAlignment="1"/>
    <xf numFmtId="10" fontId="37" fillId="0" borderId="60" xfId="674" applyNumberFormat="1" applyFont="1" applyFill="1" applyBorder="1" applyAlignment="1"/>
    <xf numFmtId="166" fontId="37" fillId="0" borderId="60" xfId="0" applyNumberFormat="1" applyFont="1" applyBorder="1" applyAlignment="1"/>
    <xf numFmtId="3" fontId="37" fillId="0" borderId="66" xfId="0" applyNumberFormat="1" applyFont="1" applyBorder="1" applyAlignment="1"/>
    <xf numFmtId="166" fontId="39" fillId="0" borderId="60" xfId="0" applyNumberFormat="1" applyFont="1" applyBorder="1" applyAlignment="1"/>
    <xf numFmtId="10" fontId="39" fillId="37" borderId="60" xfId="0" applyNumberFormat="1" applyFont="1" applyFill="1" applyBorder="1" applyAlignment="1"/>
    <xf numFmtId="10" fontId="39" fillId="0" borderId="60" xfId="0" applyNumberFormat="1" applyFont="1" applyFill="1" applyBorder="1"/>
    <xf numFmtId="10" fontId="39" fillId="0" borderId="60" xfId="0" applyNumberFormat="1" applyFont="1" applyFill="1" applyBorder="1" applyAlignment="1">
      <alignment horizontal="right"/>
    </xf>
    <xf numFmtId="10" fontId="39" fillId="0" borderId="60" xfId="674" applyNumberFormat="1" applyFont="1" applyBorder="1" applyAlignment="1"/>
    <xf numFmtId="164" fontId="39" fillId="0" borderId="60" xfId="382" applyNumberFormat="1" applyFont="1" applyBorder="1" applyAlignment="1">
      <alignment horizontal="right"/>
    </xf>
    <xf numFmtId="164" fontId="37" fillId="0" borderId="62" xfId="382" applyNumberFormat="1" applyFont="1" applyBorder="1"/>
    <xf numFmtId="164" fontId="37" fillId="0" borderId="67" xfId="382" applyNumberFormat="1" applyFont="1" applyFill="1" applyBorder="1"/>
    <xf numFmtId="164" fontId="37" fillId="0" borderId="60" xfId="382" applyNumberFormat="1" applyFont="1" applyBorder="1"/>
    <xf numFmtId="164" fontId="37" fillId="0" borderId="69" xfId="382" applyNumberFormat="1" applyFont="1" applyFill="1" applyBorder="1"/>
    <xf numFmtId="43" fontId="37" fillId="0" borderId="69" xfId="382" applyFont="1" applyBorder="1"/>
    <xf numFmtId="0" fontId="35" fillId="0" borderId="0" xfId="0" applyFont="1" applyFill="1" applyBorder="1" applyAlignment="1">
      <alignment horizontal="left" wrapText="1"/>
    </xf>
    <xf numFmtId="0" fontId="49" fillId="0" borderId="0" xfId="0" applyFont="1" applyFill="1" applyAlignment="1">
      <alignment horizontal="center"/>
    </xf>
    <xf numFmtId="164" fontId="49" fillId="37" borderId="0" xfId="382" applyNumberFormat="1" applyFont="1" applyFill="1" applyBorder="1"/>
    <xf numFmtId="0" fontId="119" fillId="0" borderId="0" xfId="513" applyFont="1" applyFill="1"/>
    <xf numFmtId="164" fontId="49" fillId="37" borderId="18" xfId="382" applyNumberFormat="1" applyFont="1" applyFill="1" applyBorder="1"/>
    <xf numFmtId="43" fontId="35" fillId="0" borderId="0" xfId="382" applyFont="1" applyFill="1" applyBorder="1" applyAlignment="1">
      <alignment horizontal="right"/>
    </xf>
    <xf numFmtId="0" fontId="35" fillId="0" borderId="0" xfId="484" quotePrefix="1" applyFont="1" applyFill="1" applyAlignment="1">
      <alignment horizontal="center" vertical="top"/>
    </xf>
    <xf numFmtId="0" fontId="13" fillId="0" borderId="0" xfId="0" applyFont="1" applyFill="1" applyAlignment="1">
      <alignment horizontal="left"/>
    </xf>
    <xf numFmtId="0" fontId="49" fillId="0" borderId="0" xfId="511" quotePrefix="1" applyFont="1" applyAlignment="1">
      <alignment horizontal="center"/>
    </xf>
    <xf numFmtId="0" fontId="35" fillId="0" borderId="0" xfId="511" quotePrefix="1" applyFont="1" applyFill="1" applyAlignment="1">
      <alignment horizontal="center"/>
    </xf>
    <xf numFmtId="0" fontId="17" fillId="0" borderId="0" xfId="0" applyFont="1" applyFill="1"/>
    <xf numFmtId="0" fontId="49" fillId="0" borderId="0" xfId="511" applyFont="1" applyFill="1" applyAlignment="1">
      <alignment vertical="top" wrapText="1"/>
    </xf>
    <xf numFmtId="43" fontId="18" fillId="0" borderId="18" xfId="382" applyFont="1" applyFill="1" applyBorder="1" applyAlignment="1">
      <alignment horizontal="center" wrapText="1"/>
    </xf>
    <xf numFmtId="0" fontId="119" fillId="0" borderId="0" xfId="511" applyFont="1" applyFill="1" applyAlignment="1">
      <alignment vertical="top" wrapText="1"/>
    </xf>
    <xf numFmtId="0" fontId="18" fillId="0" borderId="0" xfId="11271" applyFont="1" applyFill="1" applyAlignment="1">
      <alignment horizontal="center"/>
    </xf>
    <xf numFmtId="0" fontId="35" fillId="0" borderId="0" xfId="0" applyFont="1" applyFill="1" applyBorder="1" applyAlignment="1">
      <alignment vertical="top" wrapText="1"/>
    </xf>
    <xf numFmtId="0" fontId="49" fillId="0" borderId="0" xfId="11275" applyFont="1" applyFill="1"/>
    <xf numFmtId="0" fontId="49" fillId="0" borderId="0" xfId="569" applyFont="1" applyFill="1" applyBorder="1"/>
    <xf numFmtId="0" fontId="49" fillId="0" borderId="0" xfId="11275" quotePrefix="1" applyFont="1" applyFill="1" applyAlignment="1">
      <alignment horizontal="center"/>
    </xf>
    <xf numFmtId="0" fontId="49" fillId="0" borderId="0" xfId="11275" quotePrefix="1" applyFont="1" applyFill="1" applyAlignment="1">
      <alignment horizontal="center" vertical="top"/>
    </xf>
    <xf numFmtId="0" fontId="35" fillId="0" borderId="16" xfId="0" applyFont="1" applyFill="1" applyBorder="1" applyAlignment="1"/>
    <xf numFmtId="164" fontId="49" fillId="0" borderId="0" xfId="382" applyNumberFormat="1" applyFont="1" applyFill="1" applyBorder="1"/>
    <xf numFmtId="0" fontId="0" fillId="0" borderId="0" xfId="0" applyFill="1" applyAlignment="1">
      <alignment horizontal="center"/>
    </xf>
    <xf numFmtId="0" fontId="49" fillId="0" borderId="0" xfId="0" applyFont="1" applyFill="1" applyAlignment="1">
      <alignment horizontal="left"/>
    </xf>
    <xf numFmtId="0" fontId="0" fillId="0" borderId="0" xfId="0" quotePrefix="1" applyFill="1" applyAlignment="1">
      <alignment horizontal="center" vertical="top"/>
    </xf>
    <xf numFmtId="0" fontId="35" fillId="0" borderId="0" xfId="504" quotePrefix="1" applyFont="1" applyFill="1" applyAlignment="1">
      <alignment horizontal="center" vertical="top"/>
    </xf>
    <xf numFmtId="0" fontId="35" fillId="0" borderId="0" xfId="504" applyFont="1" applyFill="1" applyBorder="1" applyAlignment="1">
      <alignment horizontal="left" wrapText="1"/>
    </xf>
    <xf numFmtId="43" fontId="35" fillId="0" borderId="18" xfId="382" applyFont="1" applyFill="1" applyBorder="1" applyAlignment="1">
      <alignment horizontal="center"/>
    </xf>
    <xf numFmtId="166" fontId="35" fillId="0" borderId="0" xfId="678" applyNumberFormat="1" applyFont="1" applyFill="1" applyBorder="1"/>
    <xf numFmtId="0" fontId="37" fillId="0" borderId="17" xfId="0" applyNumberFormat="1" applyFont="1" applyFill="1" applyBorder="1" applyAlignment="1">
      <alignment horizontal="left"/>
    </xf>
    <xf numFmtId="37" fontId="39" fillId="0" borderId="0" xfId="0" applyNumberFormat="1" applyFont="1" applyFill="1" applyBorder="1" applyAlignment="1">
      <alignment horizontal="center"/>
    </xf>
    <xf numFmtId="3" fontId="37" fillId="0" borderId="5" xfId="0" applyNumberFormat="1" applyFont="1" applyFill="1" applyBorder="1" applyAlignment="1">
      <alignment horizontal="center"/>
    </xf>
    <xf numFmtId="3" fontId="37" fillId="0" borderId="35" xfId="0" applyNumberFormat="1" applyFont="1" applyFill="1" applyBorder="1" applyAlignment="1"/>
    <xf numFmtId="3" fontId="37" fillId="0" borderId="18" xfId="0" applyNumberFormat="1" applyFont="1" applyFill="1" applyBorder="1" applyAlignment="1">
      <alignment horizontal="center"/>
    </xf>
    <xf numFmtId="0" fontId="39" fillId="0" borderId="0" xfId="0" applyNumberFormat="1" applyFont="1" applyFill="1" applyBorder="1" applyAlignment="1">
      <alignment horizontal="left" indent="2"/>
    </xf>
    <xf numFmtId="164" fontId="39" fillId="0" borderId="35" xfId="382" applyNumberFormat="1" applyFont="1" applyFill="1" applyBorder="1"/>
    <xf numFmtId="164" fontId="39" fillId="0" borderId="58" xfId="382" applyNumberFormat="1" applyFont="1" applyFill="1" applyBorder="1"/>
    <xf numFmtId="164" fontId="39" fillId="0" borderId="68" xfId="382" applyNumberFormat="1" applyFont="1" applyFill="1" applyBorder="1"/>
    <xf numFmtId="164" fontId="37" fillId="0" borderId="35" xfId="382" applyNumberFormat="1" applyFont="1" applyFill="1" applyBorder="1"/>
    <xf numFmtId="0" fontId="39" fillId="0" borderId="18" xfId="0" applyFont="1" applyFill="1" applyBorder="1" applyAlignment="1">
      <alignment horizontal="left" indent="1"/>
    </xf>
    <xf numFmtId="0" fontId="124" fillId="0" borderId="0" xfId="37698" applyFont="1" applyFill="1" applyAlignment="1"/>
    <xf numFmtId="164" fontId="116" fillId="0" borderId="0" xfId="382" applyNumberFormat="1" applyFont="1" applyFill="1" applyAlignment="1"/>
    <xf numFmtId="3" fontId="116" fillId="0" borderId="0" xfId="37698" applyNumberFormat="1" applyFont="1" applyFill="1" applyBorder="1" applyAlignment="1"/>
    <xf numFmtId="192" fontId="95" fillId="0" borderId="0" xfId="382" applyNumberFormat="1" applyFont="1" applyFill="1" applyBorder="1" applyAlignment="1"/>
    <xf numFmtId="0" fontId="95" fillId="0" borderId="0" xfId="37698" applyFont="1" applyFill="1" applyBorder="1" applyAlignment="1">
      <alignment horizontal="left" indent="1"/>
    </xf>
    <xf numFmtId="0" fontId="95" fillId="0" borderId="0" xfId="0" applyNumberFormat="1" applyFont="1" applyFill="1" applyBorder="1" applyAlignment="1">
      <alignment horizontal="left" indent="1"/>
    </xf>
    <xf numFmtId="3" fontId="95" fillId="0" borderId="0" xfId="37696" applyNumberFormat="1" applyFont="1" applyFill="1" applyBorder="1" applyAlignment="1"/>
    <xf numFmtId="0" fontId="95" fillId="0" borderId="0" xfId="382" applyNumberFormat="1" applyFont="1" applyFill="1" applyAlignment="1"/>
    <xf numFmtId="164" fontId="95" fillId="0" borderId="7" xfId="382" applyNumberFormat="1" applyFont="1" applyFill="1" applyBorder="1" applyAlignment="1">
      <alignment vertical="top"/>
    </xf>
    <xf numFmtId="49" fontId="95" fillId="0" borderId="0" xfId="37696" applyNumberFormat="1" applyFont="1" applyFill="1" applyAlignment="1">
      <alignment horizontal="right"/>
    </xf>
    <xf numFmtId="195" fontId="95" fillId="0" borderId="0" xfId="382" applyNumberFormat="1" applyFont="1" applyFill="1" applyBorder="1" applyProtection="1"/>
    <xf numFmtId="169" fontId="95" fillId="0" borderId="0" xfId="37694" quotePrefix="1" applyFont="1" applyFill="1" applyAlignment="1">
      <alignment horizontal="center"/>
    </xf>
    <xf numFmtId="0" fontId="35" fillId="0" borderId="0" xfId="0" applyFont="1" applyFill="1" applyBorder="1" applyAlignment="1">
      <alignment horizontal="left" wrapText="1"/>
    </xf>
    <xf numFmtId="0" fontId="35" fillId="0" borderId="0" xfId="0" applyFont="1" applyFill="1" applyAlignment="1">
      <alignment horizontal="left"/>
    </xf>
    <xf numFmtId="0" fontId="82" fillId="0" borderId="3" xfId="37696" applyNumberFormat="1" applyFont="1" applyFill="1" applyBorder="1" applyAlignment="1" applyProtection="1">
      <alignment horizontal="center"/>
      <protection locked="0"/>
    </xf>
    <xf numFmtId="0" fontId="0" fillId="0" borderId="0" xfId="0" applyAlignment="1">
      <alignment horizontal="left"/>
    </xf>
    <xf numFmtId="0" fontId="0" fillId="0" borderId="0" xfId="0" applyFill="1" applyAlignment="1">
      <alignment horizontal="left"/>
    </xf>
    <xf numFmtId="3" fontId="35" fillId="0" borderId="0" xfId="11265" quotePrefix="1" applyNumberFormat="1" applyFont="1" applyFill="1" applyAlignment="1">
      <alignment horizontal="center"/>
    </xf>
    <xf numFmtId="0" fontId="35" fillId="0" borderId="0" xfId="0" applyFont="1" applyFill="1" applyAlignment="1">
      <alignment horizontal="left"/>
    </xf>
    <xf numFmtId="164" fontId="49" fillId="0" borderId="0" xfId="674" applyNumberFormat="1" applyFont="1"/>
    <xf numFmtId="0" fontId="35" fillId="0" borderId="0" xfId="0" quotePrefix="1" applyFont="1" applyFill="1" applyAlignment="1">
      <alignment horizontal="left"/>
    </xf>
    <xf numFmtId="0" fontId="12" fillId="0" borderId="11" xfId="0" applyFont="1" applyFill="1" applyBorder="1" applyAlignment="1">
      <alignment horizontal="center"/>
    </xf>
    <xf numFmtId="0" fontId="12" fillId="0" borderId="11" xfId="0" applyFont="1" applyBorder="1"/>
    <xf numFmtId="199" fontId="12" fillId="0" borderId="30" xfId="382" applyNumberFormat="1" applyFont="1" applyFill="1" applyBorder="1"/>
    <xf numFmtId="0" fontId="12" fillId="0" borderId="11" xfId="0" applyFont="1" applyFill="1" applyBorder="1"/>
    <xf numFmtId="199" fontId="12" fillId="0" borderId="55" xfId="382" applyNumberFormat="1" applyFont="1" applyFill="1" applyBorder="1"/>
    <xf numFmtId="199" fontId="12" fillId="0" borderId="11" xfId="382" applyNumberFormat="1" applyFont="1" applyFill="1" applyBorder="1"/>
    <xf numFmtId="164" fontId="35" fillId="0" borderId="0" xfId="11275" applyNumberFormat="1" applyFont="1" applyFill="1" applyBorder="1" applyAlignment="1">
      <alignment horizontal="center" vertical="top"/>
    </xf>
    <xf numFmtId="164" fontId="35" fillId="0" borderId="43" xfId="11275" applyNumberFormat="1" applyFont="1" applyFill="1" applyBorder="1" applyAlignment="1">
      <alignment horizontal="center" vertical="top"/>
    </xf>
    <xf numFmtId="164" fontId="35" fillId="0" borderId="54" xfId="11275" applyNumberFormat="1" applyFont="1" applyFill="1" applyBorder="1" applyAlignment="1">
      <alignment horizontal="center" vertical="top"/>
    </xf>
    <xf numFmtId="40" fontId="49" fillId="0" borderId="0" xfId="11275" quotePrefix="1" applyNumberFormat="1" applyFont="1" applyFill="1" applyBorder="1" applyAlignment="1">
      <alignment horizontal="left" vertical="top"/>
    </xf>
    <xf numFmtId="164" fontId="35" fillId="0" borderId="18" xfId="11275" applyNumberFormat="1" applyFont="1" applyFill="1" applyBorder="1" applyAlignment="1">
      <alignment horizontal="center" vertical="top"/>
    </xf>
    <xf numFmtId="0" fontId="49" fillId="0" borderId="18" xfId="11275" applyFont="1" applyFill="1" applyBorder="1"/>
    <xf numFmtId="164" fontId="35" fillId="0" borderId="6" xfId="382" applyNumberFormat="1" applyFont="1" applyFill="1" applyBorder="1" applyAlignment="1">
      <alignment horizontal="center"/>
    </xf>
    <xf numFmtId="43" fontId="49" fillId="0" borderId="6" xfId="382" applyFont="1" applyFill="1" applyBorder="1" applyAlignment="1">
      <alignment horizontal="center"/>
    </xf>
    <xf numFmtId="164" fontId="35" fillId="0" borderId="54" xfId="403" applyNumberFormat="1" applyFont="1" applyFill="1" applyBorder="1"/>
    <xf numFmtId="0" fontId="49" fillId="0" borderId="35" xfId="11275" applyFont="1" applyBorder="1"/>
    <xf numFmtId="0" fontId="49" fillId="0" borderId="35" xfId="11275" applyFont="1" applyFill="1" applyBorder="1"/>
    <xf numFmtId="164" fontId="49" fillId="0" borderId="35" xfId="11275" applyNumberFormat="1" applyFont="1" applyBorder="1"/>
    <xf numFmtId="164" fontId="49" fillId="0" borderId="0" xfId="11275" applyNumberFormat="1" applyFont="1" applyFill="1"/>
    <xf numFmtId="164" fontId="49" fillId="0" borderId="17" xfId="11275" applyNumberFormat="1" applyFont="1" applyBorder="1" applyAlignment="1">
      <alignment horizontal="left"/>
    </xf>
    <xf numFmtId="0" fontId="107" fillId="0" borderId="0" xfId="35689" applyFont="1"/>
    <xf numFmtId="0" fontId="108" fillId="0" borderId="0" xfId="35689" applyFont="1"/>
    <xf numFmtId="0" fontId="35" fillId="0" borderId="0" xfId="0" applyFont="1" applyFill="1" applyAlignment="1">
      <alignment horizontal="center"/>
    </xf>
    <xf numFmtId="0" fontId="35" fillId="0" borderId="0" xfId="0" applyFont="1" applyAlignment="1">
      <alignment horizontal="center"/>
    </xf>
    <xf numFmtId="0" fontId="36" fillId="0" borderId="0" xfId="0" applyFont="1" applyAlignment="1">
      <alignment horizontal="center"/>
    </xf>
    <xf numFmtId="0" fontId="35" fillId="0" borderId="0" xfId="0" applyFont="1" applyFill="1" applyAlignment="1">
      <alignment horizontal="left"/>
    </xf>
    <xf numFmtId="43" fontId="113" fillId="0" borderId="0" xfId="382" applyFont="1" applyFill="1" applyAlignment="1">
      <alignment horizontal="center"/>
    </xf>
    <xf numFmtId="0" fontId="11" fillId="0" borderId="0" xfId="11271" applyFont="1" applyFill="1"/>
    <xf numFmtId="0" fontId="11" fillId="0" borderId="0" xfId="11271" applyFont="1" applyFill="1" applyAlignment="1">
      <alignment horizontal="left"/>
    </xf>
    <xf numFmtId="0" fontId="11" fillId="0" borderId="0" xfId="11271" applyFont="1"/>
    <xf numFmtId="2" fontId="11" fillId="0" borderId="0" xfId="11271" applyNumberFormat="1" applyFont="1" applyFill="1" applyAlignment="1">
      <alignment horizontal="left"/>
    </xf>
    <xf numFmtId="49" fontId="11" fillId="0" borderId="0" xfId="11271" applyNumberFormat="1" applyFont="1" applyFill="1"/>
    <xf numFmtId="0" fontId="11" fillId="0" borderId="0" xfId="11271" applyFont="1" applyBorder="1"/>
    <xf numFmtId="164" fontId="11" fillId="0" borderId="0" xfId="382" applyNumberFormat="1" applyFont="1" applyFill="1" applyBorder="1"/>
    <xf numFmtId="164" fontId="11" fillId="0" borderId="0" xfId="382" applyNumberFormat="1" applyFont="1" applyBorder="1"/>
    <xf numFmtId="49" fontId="11" fillId="0" borderId="0" xfId="11271" applyNumberFormat="1" applyFont="1" applyBorder="1"/>
    <xf numFmtId="0" fontId="11" fillId="0" borderId="0" xfId="11271" quotePrefix="1" applyFont="1" applyFill="1" applyAlignment="1">
      <alignment horizontal="center"/>
    </xf>
    <xf numFmtId="43" fontId="11" fillId="0" borderId="0" xfId="382" applyFont="1"/>
    <xf numFmtId="167" fontId="11" fillId="0" borderId="0" xfId="11271" applyNumberFormat="1" applyFont="1"/>
    <xf numFmtId="164" fontId="11" fillId="0" borderId="0" xfId="382" applyNumberFormat="1" applyFont="1" applyFill="1"/>
    <xf numFmtId="164" fontId="11" fillId="0" borderId="0" xfId="11271" applyNumberFormat="1" applyFont="1" applyFill="1"/>
    <xf numFmtId="0" fontId="11" fillId="0" borderId="0" xfId="11271" quotePrefix="1" applyFont="1" applyFill="1" applyAlignment="1">
      <alignment horizontal="center" vertical="top"/>
    </xf>
    <xf numFmtId="0" fontId="11" fillId="0" borderId="0" xfId="11271" applyFont="1" applyFill="1" applyAlignment="1">
      <alignment horizontal="center"/>
    </xf>
    <xf numFmtId="0" fontId="11" fillId="0" borderId="0" xfId="11271" applyFont="1" applyAlignment="1">
      <alignment horizontal="center"/>
    </xf>
    <xf numFmtId="0" fontId="11" fillId="0" borderId="0" xfId="35157" applyFont="1" applyFill="1" applyBorder="1"/>
    <xf numFmtId="0" fontId="49" fillId="0" borderId="0" xfId="11275" applyFont="1" applyFill="1" applyBorder="1" applyAlignment="1">
      <alignment horizontal="left"/>
    </xf>
    <xf numFmtId="43" fontId="113" fillId="0" borderId="0" xfId="382" applyFont="1" applyFill="1" applyAlignment="1">
      <alignment horizontal="center"/>
    </xf>
    <xf numFmtId="0" fontId="35" fillId="0" borderId="0" xfId="484" applyFont="1" applyFill="1" applyAlignment="1">
      <alignment horizontal="center" vertical="top"/>
    </xf>
    <xf numFmtId="187" fontId="35" fillId="0" borderId="0" xfId="0" applyNumberFormat="1" applyFont="1" applyFill="1" applyBorder="1" applyAlignment="1">
      <alignment horizontal="left" vertical="top"/>
    </xf>
    <xf numFmtId="164" fontId="18" fillId="0" borderId="18" xfId="11271" applyNumberFormat="1" applyFont="1" applyBorder="1"/>
    <xf numFmtId="0" fontId="35" fillId="37" borderId="18" xfId="0" applyFont="1" applyFill="1" applyBorder="1"/>
    <xf numFmtId="0" fontId="35" fillId="0" borderId="0" xfId="35688" applyFont="1" applyFill="1" applyAlignment="1">
      <alignment horizontal="left"/>
    </xf>
    <xf numFmtId="169" fontId="35" fillId="0" borderId="0" xfId="512" applyFont="1" applyFill="1" applyAlignment="1">
      <alignment horizontal="left"/>
    </xf>
    <xf numFmtId="169" fontId="35" fillId="0" borderId="0" xfId="512" quotePrefix="1" applyFont="1" applyFill="1" applyAlignment="1">
      <alignment horizontal="left"/>
    </xf>
    <xf numFmtId="0" fontId="10" fillId="0" borderId="0" xfId="0" applyFont="1" applyFill="1" applyAlignment="1">
      <alignment horizontal="left" indent="1"/>
    </xf>
    <xf numFmtId="0" fontId="35" fillId="0" borderId="0" xfId="0" applyFont="1" applyFill="1" applyAlignment="1">
      <alignment horizontal="left"/>
    </xf>
    <xf numFmtId="164" fontId="95" fillId="0" borderId="17" xfId="382" applyNumberFormat="1" applyFont="1" applyFill="1" applyBorder="1" applyAlignment="1" applyProtection="1">
      <alignment horizontal="right"/>
      <protection locked="0"/>
    </xf>
    <xf numFmtId="2" fontId="35" fillId="37" borderId="0" xfId="0" applyNumberFormat="1" applyFont="1" applyFill="1" applyAlignment="1">
      <alignment horizontal="left" vertical="top"/>
    </xf>
    <xf numFmtId="2" fontId="35" fillId="37" borderId="0" xfId="0" applyNumberFormat="1" applyFont="1" applyFill="1" applyAlignment="1">
      <alignment horizontal="center" vertical="top"/>
    </xf>
    <xf numFmtId="2" fontId="35" fillId="37" borderId="0" xfId="0" quotePrefix="1" applyNumberFormat="1" applyFont="1" applyFill="1" applyAlignment="1">
      <alignment horizontal="left" vertical="top"/>
    </xf>
    <xf numFmtId="2" fontId="35" fillId="37" borderId="0" xfId="0" quotePrefix="1" applyNumberFormat="1" applyFont="1" applyFill="1" applyAlignment="1">
      <alignment horizontal="center" vertical="top"/>
    </xf>
    <xf numFmtId="2" fontId="35" fillId="37" borderId="0" xfId="0" applyNumberFormat="1" applyFont="1" applyFill="1" applyAlignment="1">
      <alignment horizontal="left"/>
    </xf>
    <xf numFmtId="0" fontId="35" fillId="0" borderId="0" xfId="504" applyFont="1" applyFill="1" applyBorder="1" applyAlignment="1">
      <alignment horizontal="left"/>
    </xf>
    <xf numFmtId="0" fontId="35" fillId="0" borderId="0" xfId="0" applyFont="1" applyFill="1" applyBorder="1" applyAlignment="1">
      <alignment horizontal="left" wrapText="1"/>
    </xf>
    <xf numFmtId="0" fontId="49" fillId="0" borderId="0" xfId="0" applyFont="1" applyFill="1" applyAlignment="1">
      <alignment horizontal="center"/>
    </xf>
    <xf numFmtId="0" fontId="35" fillId="0" borderId="0" xfId="484" applyFont="1" applyFill="1" applyAlignment="1">
      <alignment horizontal="center" vertical="top"/>
    </xf>
    <xf numFmtId="0" fontId="49" fillId="0" borderId="45" xfId="569" applyFont="1" applyBorder="1" applyAlignment="1">
      <alignment horizontal="center"/>
    </xf>
    <xf numFmtId="0" fontId="49" fillId="0" borderId="18" xfId="569" applyFont="1" applyBorder="1" applyAlignment="1">
      <alignment horizontal="center"/>
    </xf>
    <xf numFmtId="0" fontId="35" fillId="0" borderId="0" xfId="484" quotePrefix="1" applyFont="1" applyFill="1" applyAlignment="1">
      <alignment horizontal="left" vertical="top" indent="1"/>
    </xf>
    <xf numFmtId="0" fontId="35" fillId="0" borderId="0" xfId="484" quotePrefix="1" applyFont="1" applyFill="1" applyAlignment="1">
      <alignment horizontal="left" vertical="top" indent="2"/>
    </xf>
    <xf numFmtId="0" fontId="35" fillId="0" borderId="0" xfId="484" applyFont="1" applyFill="1" applyAlignment="1">
      <alignment horizontal="left" vertical="top" indent="1"/>
    </xf>
    <xf numFmtId="164" fontId="35" fillId="0" borderId="0" xfId="382" quotePrefix="1" applyNumberFormat="1" applyFont="1" applyFill="1" applyAlignment="1"/>
    <xf numFmtId="164" fontId="35" fillId="0" borderId="0" xfId="382" applyNumberFormat="1" applyFont="1" applyAlignment="1">
      <alignment horizontal="center"/>
    </xf>
    <xf numFmtId="164" fontId="35" fillId="0" borderId="18" xfId="382" applyNumberFormat="1" applyFont="1" applyBorder="1" applyAlignment="1">
      <alignment horizontal="center" wrapText="1"/>
    </xf>
    <xf numFmtId="0" fontId="35" fillId="37" borderId="0" xfId="504" applyFont="1" applyFill="1" applyBorder="1"/>
    <xf numFmtId="0" fontId="35" fillId="37" borderId="0" xfId="504" applyFont="1" applyFill="1" applyAlignment="1">
      <alignment horizontal="left"/>
    </xf>
    <xf numFmtId="0" fontId="35" fillId="37" borderId="0" xfId="0" applyFont="1" applyFill="1" applyAlignment="1">
      <alignment horizontal="left" indent="1"/>
    </xf>
    <xf numFmtId="187" fontId="35" fillId="37" borderId="0" xfId="510" applyNumberFormat="1" applyFont="1" applyFill="1" applyBorder="1" applyAlignment="1">
      <alignment horizontal="left" vertical="center"/>
    </xf>
    <xf numFmtId="0" fontId="35" fillId="37" borderId="0" xfId="504" applyFont="1" applyFill="1"/>
    <xf numFmtId="0" fontId="35" fillId="37" borderId="18" xfId="504" applyFont="1" applyFill="1" applyBorder="1"/>
    <xf numFmtId="43" fontId="35" fillId="0" borderId="0" xfId="382" applyFont="1" applyFill="1" applyBorder="1" applyAlignment="1">
      <alignment horizontal="left" indent="1"/>
    </xf>
    <xf numFmtId="164" fontId="35" fillId="37" borderId="0" xfId="382" applyNumberFormat="1" applyFont="1" applyFill="1" applyBorder="1" applyAlignment="1"/>
    <xf numFmtId="164" fontId="11" fillId="37" borderId="0" xfId="11271" applyNumberFormat="1" applyFont="1" applyFill="1"/>
    <xf numFmtId="49" fontId="11" fillId="37" borderId="0" xfId="11271" applyNumberFormat="1" applyFont="1" applyFill="1"/>
    <xf numFmtId="0" fontId="11" fillId="37" borderId="0" xfId="11271" applyFont="1" applyFill="1"/>
    <xf numFmtId="164" fontId="11" fillId="37" borderId="0" xfId="382" applyNumberFormat="1" applyFont="1" applyFill="1"/>
    <xf numFmtId="49" fontId="11" fillId="37" borderId="18" xfId="11271" applyNumberFormat="1" applyFont="1" applyFill="1" applyBorder="1"/>
    <xf numFmtId="164" fontId="11" fillId="37" borderId="18" xfId="11271" applyNumberFormat="1" applyFont="1" applyFill="1" applyBorder="1"/>
    <xf numFmtId="43" fontId="11" fillId="37" borderId="18" xfId="382" applyFont="1" applyFill="1" applyBorder="1"/>
    <xf numFmtId="198" fontId="49" fillId="37" borderId="18" xfId="382" applyNumberFormat="1" applyFont="1" applyFill="1" applyBorder="1"/>
    <xf numFmtId="164" fontId="11" fillId="37" borderId="18" xfId="382" applyNumberFormat="1" applyFont="1" applyFill="1" applyBorder="1"/>
    <xf numFmtId="2" fontId="18" fillId="37" borderId="0" xfId="11271" applyNumberFormat="1" applyFont="1" applyFill="1" applyAlignment="1">
      <alignment horizontal="left"/>
    </xf>
    <xf numFmtId="0" fontId="35" fillId="37" borderId="0" xfId="484" applyFont="1" applyFill="1" applyAlignment="1">
      <alignment horizontal="left" vertical="top" indent="2"/>
    </xf>
    <xf numFmtId="0" fontId="35" fillId="37" borderId="18" xfId="484" applyFont="1" applyFill="1" applyBorder="1" applyAlignment="1">
      <alignment horizontal="left" vertical="top" indent="2"/>
    </xf>
    <xf numFmtId="187" fontId="0" fillId="37" borderId="0" xfId="0" applyNumberFormat="1" applyFill="1" applyAlignment="1">
      <alignment horizontal="left"/>
    </xf>
    <xf numFmtId="164" fontId="49" fillId="37" borderId="0" xfId="382" applyNumberFormat="1" applyFont="1" applyFill="1" applyBorder="1" applyAlignment="1">
      <alignment horizontal="center"/>
    </xf>
    <xf numFmtId="164" fontId="49" fillId="37" borderId="18" xfId="382" applyNumberFormat="1" applyFont="1" applyFill="1" applyBorder="1" applyAlignment="1">
      <alignment horizontal="center"/>
    </xf>
    <xf numFmtId="2" fontId="35" fillId="37" borderId="0" xfId="512" applyNumberFormat="1" applyFont="1" applyFill="1" applyAlignment="1">
      <alignment horizontal="left"/>
    </xf>
    <xf numFmtId="169" fontId="35" fillId="37" borderId="0" xfId="512" applyFont="1" applyFill="1" applyAlignment="1">
      <alignment horizontal="left"/>
    </xf>
    <xf numFmtId="169" fontId="35" fillId="37" borderId="0" xfId="512" applyFont="1" applyFill="1" applyAlignment="1">
      <alignment horizontal="left" indent="1"/>
    </xf>
    <xf numFmtId="164" fontId="113" fillId="37" borderId="18" xfId="382" applyNumberFormat="1" applyFont="1" applyFill="1" applyBorder="1" applyAlignment="1">
      <alignment horizontal="center"/>
    </xf>
    <xf numFmtId="0" fontId="35" fillId="37" borderId="0" xfId="35688" applyFont="1" applyFill="1" applyAlignment="1">
      <alignment horizontal="left" indent="1"/>
    </xf>
    <xf numFmtId="164" fontId="49" fillId="37" borderId="0" xfId="382" applyNumberFormat="1" applyFont="1" applyFill="1" applyBorder="1" applyAlignment="1">
      <alignment horizontal="left"/>
    </xf>
    <xf numFmtId="164" fontId="49" fillId="37" borderId="18" xfId="382" applyNumberFormat="1" applyFont="1" applyFill="1" applyBorder="1" applyAlignment="1">
      <alignment horizontal="left"/>
    </xf>
    <xf numFmtId="0" fontId="49" fillId="37" borderId="0" xfId="11275" applyFont="1" applyFill="1" applyBorder="1" applyAlignment="1">
      <alignment horizontal="left"/>
    </xf>
    <xf numFmtId="164" fontId="49" fillId="37" borderId="35" xfId="382" applyNumberFormat="1" applyFont="1" applyFill="1" applyBorder="1" applyAlignment="1">
      <alignment horizontal="left"/>
    </xf>
    <xf numFmtId="0" fontId="49" fillId="37" borderId="18" xfId="11275" applyFont="1" applyFill="1" applyBorder="1" applyAlignment="1">
      <alignment horizontal="left"/>
    </xf>
    <xf numFmtId="164" fontId="49" fillId="37" borderId="37" xfId="382" applyNumberFormat="1" applyFont="1" applyFill="1" applyBorder="1" applyAlignment="1">
      <alignment horizontal="left"/>
    </xf>
    <xf numFmtId="43" fontId="10" fillId="0" borderId="18" xfId="382" applyFont="1" applyFill="1" applyBorder="1" applyAlignment="1">
      <alignment horizontal="center" wrapText="1"/>
    </xf>
    <xf numFmtId="0" fontId="49" fillId="0" borderId="18" xfId="511" applyFont="1" applyFill="1" applyBorder="1" applyAlignment="1">
      <alignment horizontal="center" wrapText="1"/>
    </xf>
    <xf numFmtId="164" fontId="18" fillId="37" borderId="0" xfId="382" applyNumberFormat="1" applyFont="1" applyFill="1"/>
    <xf numFmtId="2" fontId="49" fillId="37" borderId="0" xfId="511" applyNumberFormat="1" applyFont="1" applyFill="1" applyAlignment="1">
      <alignment horizontal="left"/>
    </xf>
    <xf numFmtId="164" fontId="49" fillId="37" borderId="0" xfId="382" applyNumberFormat="1" applyFont="1" applyFill="1"/>
    <xf numFmtId="3" fontId="35" fillId="0" borderId="0" xfId="474" applyNumberFormat="1" applyFont="1" applyFill="1" applyAlignment="1">
      <alignment horizontal="left"/>
    </xf>
    <xf numFmtId="43" fontId="14" fillId="0" borderId="0" xfId="423" applyFont="1" applyFill="1" applyAlignment="1">
      <alignment horizontal="center"/>
    </xf>
    <xf numFmtId="41" fontId="35" fillId="37" borderId="0" xfId="484" applyNumberFormat="1" applyFont="1" applyFill="1" applyBorder="1" applyAlignment="1">
      <alignment vertical="top"/>
    </xf>
    <xf numFmtId="0" fontId="12" fillId="37" borderId="0" xfId="11271" applyFont="1" applyFill="1" applyAlignment="1">
      <alignment horizontal="left"/>
    </xf>
    <xf numFmtId="164" fontId="12" fillId="37" borderId="0" xfId="11271" applyNumberFormat="1" applyFont="1" applyFill="1"/>
    <xf numFmtId="0" fontId="35" fillId="37" borderId="11" xfId="0" applyFont="1" applyFill="1" applyBorder="1"/>
    <xf numFmtId="199" fontId="35" fillId="37" borderId="11" xfId="382" applyNumberFormat="1" applyFont="1" applyFill="1" applyBorder="1"/>
    <xf numFmtId="199" fontId="35" fillId="37" borderId="11" xfId="382" applyNumberFormat="1" applyFont="1" applyFill="1" applyBorder="1" applyAlignment="1">
      <alignment horizontal="right"/>
    </xf>
    <xf numFmtId="199" fontId="35" fillId="37" borderId="30" xfId="382" applyNumberFormat="1" applyFont="1" applyFill="1" applyBorder="1"/>
    <xf numFmtId="199" fontId="35" fillId="37" borderId="27" xfId="382" applyNumberFormat="1" applyFont="1" applyFill="1" applyBorder="1"/>
    <xf numFmtId="199" fontId="35" fillId="37" borderId="27" xfId="382" applyNumberFormat="1" applyFont="1" applyFill="1" applyBorder="1" applyAlignment="1">
      <alignment horizontal="right"/>
    </xf>
    <xf numFmtId="2" fontId="35" fillId="37" borderId="0" xfId="474" applyNumberFormat="1" applyFont="1" applyFill="1" applyAlignment="1">
      <alignment horizontal="left" vertical="top"/>
    </xf>
    <xf numFmtId="0" fontId="35" fillId="37" borderId="27" xfId="0" applyFont="1" applyFill="1" applyBorder="1"/>
    <xf numFmtId="0" fontId="35" fillId="37" borderId="0" xfId="474" applyFont="1" applyFill="1" applyAlignment="1">
      <alignment horizontal="left" vertical="top"/>
    </xf>
    <xf numFmtId="199" fontId="12" fillId="37" borderId="11" xfId="382" applyNumberFormat="1" applyFont="1" applyFill="1" applyBorder="1"/>
    <xf numFmtId="187" fontId="35" fillId="37" borderId="0" xfId="0" applyNumberFormat="1" applyFont="1" applyFill="1" applyBorder="1" applyAlignment="1">
      <alignment horizontal="left" vertical="top"/>
    </xf>
    <xf numFmtId="164" fontId="35" fillId="37" borderId="0" xfId="13644" applyNumberFormat="1" applyFont="1" applyFill="1"/>
    <xf numFmtId="164" fontId="105" fillId="37" borderId="18" xfId="13644" applyNumberFormat="1" applyFont="1" applyFill="1" applyBorder="1"/>
    <xf numFmtId="0" fontId="35" fillId="37" borderId="0" xfId="0" applyFont="1" applyFill="1" applyBorder="1" applyAlignment="1">
      <alignment horizontal="left" vertical="top"/>
    </xf>
    <xf numFmtId="2" fontId="35" fillId="37" borderId="0" xfId="0" applyNumberFormat="1" applyFont="1" applyFill="1" applyAlignment="1">
      <alignment horizontal="center"/>
    </xf>
    <xf numFmtId="164" fontId="35" fillId="37" borderId="0" xfId="382" applyNumberFormat="1" applyFont="1" applyFill="1" applyBorder="1" applyProtection="1">
      <protection locked="0"/>
    </xf>
    <xf numFmtId="2" fontId="11" fillId="37" borderId="0" xfId="11271" applyNumberFormat="1" applyFont="1" applyFill="1" applyAlignment="1">
      <alignment horizontal="left"/>
    </xf>
    <xf numFmtId="43" fontId="95" fillId="37" borderId="0" xfId="382" applyFont="1" applyFill="1" applyProtection="1">
      <protection locked="0"/>
    </xf>
    <xf numFmtId="0" fontId="35" fillId="37" borderId="0" xfId="0" applyFont="1" applyFill="1" applyAlignment="1">
      <alignment horizontal="left"/>
    </xf>
    <xf numFmtId="0" fontId="35" fillId="0" borderId="0" xfId="0" applyFont="1" applyFill="1" applyAlignment="1">
      <alignment horizontal="center"/>
    </xf>
    <xf numFmtId="0" fontId="35" fillId="0" borderId="0" xfId="0" applyFont="1" applyFill="1" applyAlignment="1">
      <alignment horizontal="left"/>
    </xf>
    <xf numFmtId="164" fontId="39" fillId="0" borderId="11" xfId="382" applyNumberFormat="1" applyFont="1" applyFill="1" applyBorder="1" applyAlignment="1"/>
    <xf numFmtId="164" fontId="39" fillId="0" borderId="65" xfId="382" applyNumberFormat="1" applyFont="1" applyFill="1" applyBorder="1" applyAlignment="1"/>
    <xf numFmtId="0" fontId="39" fillId="0" borderId="6" xfId="0" applyNumberFormat="1" applyFont="1" applyFill="1" applyBorder="1" applyAlignment="1">
      <alignment horizontal="center"/>
    </xf>
    <xf numFmtId="0" fontId="39" fillId="0" borderId="6" xfId="0" applyFont="1" applyFill="1" applyBorder="1"/>
    <xf numFmtId="0" fontId="39" fillId="0" borderId="6" xfId="0" applyFont="1" applyFill="1" applyBorder="1" applyAlignment="1">
      <alignment horizontal="center"/>
    </xf>
    <xf numFmtId="171" fontId="37" fillId="0" borderId="27" xfId="674" applyNumberFormat="1" applyFont="1" applyFill="1" applyBorder="1" applyAlignment="1"/>
    <xf numFmtId="0" fontId="39" fillId="0" borderId="37" xfId="0" applyNumberFormat="1" applyFont="1" applyFill="1" applyBorder="1" applyAlignment="1"/>
    <xf numFmtId="170" fontId="39" fillId="0" borderId="26" xfId="382" applyNumberFormat="1" applyFont="1" applyFill="1" applyBorder="1" applyAlignment="1"/>
    <xf numFmtId="10" fontId="39" fillId="0" borderId="30" xfId="674" applyNumberFormat="1" applyFont="1" applyFill="1" applyBorder="1"/>
    <xf numFmtId="39" fontId="37" fillId="0" borderId="60" xfId="0" applyNumberFormat="1" applyFont="1" applyFill="1" applyBorder="1" applyAlignment="1">
      <alignment horizontal="right"/>
    </xf>
    <xf numFmtId="1" fontId="39" fillId="0" borderId="22" xfId="0" applyNumberFormat="1" applyFont="1" applyFill="1" applyBorder="1" applyAlignment="1">
      <alignment horizontal="center"/>
    </xf>
    <xf numFmtId="194" fontId="95" fillId="0" borderId="0" xfId="37695" applyNumberFormat="1" applyFont="1" applyFill="1" applyAlignment="1">
      <alignment horizontal="right"/>
    </xf>
    <xf numFmtId="10" fontId="95" fillId="0" borderId="0" xfId="382" applyNumberFormat="1" applyFont="1" applyFill="1" applyAlignment="1"/>
    <xf numFmtId="17" fontId="35" fillId="0" borderId="0" xfId="517" applyNumberFormat="1" applyFont="1" applyFill="1" applyBorder="1"/>
    <xf numFmtId="164" fontId="35" fillId="0" borderId="0" xfId="382" applyNumberFormat="1" applyFont="1" applyFill="1" applyBorder="1" applyAlignment="1">
      <alignment horizontal="right"/>
    </xf>
    <xf numFmtId="43" fontId="9" fillId="0" borderId="0" xfId="382" applyFont="1" applyFill="1"/>
    <xf numFmtId="43" fontId="9" fillId="0" borderId="0" xfId="382" applyFont="1" applyFill="1" applyAlignment="1">
      <alignment horizontal="center"/>
    </xf>
    <xf numFmtId="0" fontId="35" fillId="0" borderId="0" xfId="35689" applyFont="1"/>
    <xf numFmtId="0" fontId="76" fillId="0" borderId="0" xfId="0" applyFont="1" applyFill="1" applyAlignment="1">
      <alignment horizontal="right"/>
    </xf>
    <xf numFmtId="37" fontId="76" fillId="0" borderId="0" xfId="0" applyNumberFormat="1" applyFont="1" applyFill="1" applyAlignment="1">
      <alignment horizontal="right"/>
    </xf>
    <xf numFmtId="0" fontId="35" fillId="0" borderId="54" xfId="0" applyFont="1" applyFill="1" applyBorder="1"/>
    <xf numFmtId="199" fontId="35" fillId="0" borderId="27" xfId="382" applyNumberFormat="1" applyFont="1" applyFill="1" applyBorder="1" applyAlignment="1">
      <alignment horizontal="right"/>
    </xf>
    <xf numFmtId="199" fontId="12" fillId="0" borderId="11" xfId="382" applyNumberFormat="1" applyFont="1" applyFill="1" applyBorder="1" applyAlignment="1">
      <alignment horizontal="right"/>
    </xf>
    <xf numFmtId="164" fontId="95" fillId="53" borderId="0" xfId="382" applyNumberFormat="1" applyFont="1" applyFill="1" applyAlignment="1"/>
    <xf numFmtId="169" fontId="95" fillId="53" borderId="0" xfId="37694" applyFont="1" applyFill="1" applyAlignment="1"/>
    <xf numFmtId="43" fontId="95" fillId="53" borderId="0" xfId="382" applyNumberFormat="1" applyFont="1" applyFill="1" applyAlignment="1"/>
    <xf numFmtId="164" fontId="115" fillId="53" borderId="0" xfId="382" applyNumberFormat="1" applyFont="1" applyFill="1"/>
    <xf numFmtId="3" fontId="95" fillId="53" borderId="0" xfId="37696" applyNumberFormat="1" applyFont="1" applyFill="1" applyAlignment="1"/>
    <xf numFmtId="168" fontId="95" fillId="53" borderId="0" xfId="37696" applyNumberFormat="1" applyFont="1" applyFill="1" applyAlignment="1">
      <alignment horizontal="center"/>
    </xf>
    <xf numFmtId="171" fontId="95" fillId="53" borderId="0" xfId="674" applyNumberFormat="1" applyFont="1" applyFill="1" applyAlignment="1"/>
    <xf numFmtId="194" fontId="95" fillId="53" borderId="0" xfId="37696" applyNumberFormat="1" applyFont="1" applyFill="1" applyAlignment="1"/>
    <xf numFmtId="168" fontId="95" fillId="53" borderId="0" xfId="37696" applyNumberFormat="1" applyFont="1" applyFill="1" applyAlignment="1">
      <alignment horizontal="right"/>
    </xf>
    <xf numFmtId="10" fontId="95" fillId="53" borderId="0" xfId="674" applyNumberFormat="1" applyFont="1" applyFill="1" applyAlignment="1"/>
    <xf numFmtId="3" fontId="116" fillId="53" borderId="0" xfId="37696" applyNumberFormat="1" applyFont="1" applyFill="1" applyAlignment="1"/>
    <xf numFmtId="164" fontId="116" fillId="53" borderId="0" xfId="382" applyNumberFormat="1" applyFont="1" applyFill="1" applyAlignment="1"/>
    <xf numFmtId="168" fontId="116" fillId="53" borderId="0" xfId="37696" applyNumberFormat="1" applyFont="1" applyFill="1" applyAlignment="1">
      <alignment horizontal="center"/>
    </xf>
    <xf numFmtId="164" fontId="95" fillId="53" borderId="18" xfId="382" applyNumberFormat="1" applyFont="1" applyFill="1" applyBorder="1" applyAlignment="1"/>
    <xf numFmtId="0" fontId="95" fillId="53" borderId="0" xfId="37696" applyNumberFormat="1" applyFont="1" applyFill="1"/>
    <xf numFmtId="164" fontId="95" fillId="53" borderId="40" xfId="382" applyNumberFormat="1" applyFont="1" applyFill="1" applyBorder="1" applyAlignment="1"/>
    <xf numFmtId="0" fontId="82" fillId="53" borderId="0" xfId="37696" applyNumberFormat="1" applyFont="1" applyFill="1" applyAlignment="1" applyProtection="1">
      <alignment horizontal="center"/>
      <protection locked="0"/>
    </xf>
    <xf numFmtId="171" fontId="95" fillId="53" borderId="0" xfId="37696" applyNumberFormat="1" applyFont="1" applyFill="1" applyAlignment="1"/>
    <xf numFmtId="171" fontId="95" fillId="53" borderId="0" xfId="674" applyNumberFormat="1" applyFont="1" applyFill="1" applyAlignment="1">
      <alignment vertical="top"/>
    </xf>
    <xf numFmtId="164" fontId="95" fillId="53" borderId="0" xfId="382" applyNumberFormat="1" applyFont="1" applyFill="1" applyAlignment="1">
      <alignment vertical="top"/>
    </xf>
    <xf numFmtId="171" fontId="95" fillId="53" borderId="0" xfId="37696" applyNumberFormat="1" applyFont="1" applyFill="1" applyAlignment="1">
      <alignment vertical="top"/>
    </xf>
    <xf numFmtId="169" fontId="82" fillId="53" borderId="0" xfId="37694" applyFont="1" applyFill="1" applyAlignment="1"/>
    <xf numFmtId="169" fontId="95" fillId="53" borderId="0" xfId="37696" applyFont="1" applyFill="1" applyAlignment="1"/>
    <xf numFmtId="164" fontId="95" fillId="53" borderId="17" xfId="382" applyNumberFormat="1" applyFont="1" applyFill="1" applyBorder="1" applyAlignment="1"/>
    <xf numFmtId="0" fontId="95" fillId="53" borderId="0" xfId="37694" applyNumberFormat="1" applyFont="1" applyFill="1" applyAlignment="1">
      <alignment vertical="top"/>
    </xf>
    <xf numFmtId="169" fontId="95" fillId="53" borderId="0" xfId="37694" applyFont="1" applyFill="1" applyAlignment="1">
      <alignment vertical="top"/>
    </xf>
    <xf numFmtId="0" fontId="8" fillId="0" borderId="0" xfId="11271" applyFont="1" applyFill="1"/>
    <xf numFmtId="0" fontId="35" fillId="0" borderId="54" xfId="0" applyFont="1" applyFill="1" applyBorder="1" applyAlignment="1">
      <alignment vertical="top"/>
    </xf>
    <xf numFmtId="164" fontId="35" fillId="0" borderId="54" xfId="382" applyNumberFormat="1" applyFont="1" applyFill="1" applyBorder="1" applyAlignment="1">
      <alignment vertical="top"/>
    </xf>
    <xf numFmtId="0" fontId="35" fillId="0" borderId="0" xfId="504" applyFont="1" applyFill="1" applyAlignment="1">
      <alignment vertical="top"/>
    </xf>
    <xf numFmtId="0" fontId="35" fillId="0" borderId="0" xfId="0" applyFont="1" applyFill="1" applyAlignment="1">
      <alignment horizontal="center"/>
    </xf>
    <xf numFmtId="0" fontId="8" fillId="0" borderId="0" xfId="35157" applyFont="1" applyFill="1" applyBorder="1"/>
    <xf numFmtId="0" fontId="8" fillId="37" borderId="0" xfId="35157" applyFont="1" applyFill="1" applyBorder="1"/>
    <xf numFmtId="0" fontId="35" fillId="0" borderId="0" xfId="0" applyFont="1" applyFill="1" applyBorder="1" applyAlignment="1">
      <alignment horizontal="left" vertical="top" wrapText="1"/>
    </xf>
    <xf numFmtId="0" fontId="35" fillId="0" borderId="0" xfId="564" quotePrefix="1" applyFont="1" applyFill="1" applyBorder="1" applyAlignment="1">
      <alignment horizontal="center" vertical="top"/>
    </xf>
    <xf numFmtId="43" fontId="106" fillId="0" borderId="0" xfId="382" applyFont="1" applyFill="1" applyAlignment="1">
      <alignment horizontal="center"/>
    </xf>
    <xf numFmtId="0" fontId="49" fillId="0" borderId="0" xfId="569" applyFont="1" applyAlignment="1">
      <alignment horizontal="center"/>
    </xf>
    <xf numFmtId="0" fontId="35" fillId="0" borderId="0" xfId="0" applyFont="1" applyFill="1" applyAlignment="1">
      <alignment horizontal="left"/>
    </xf>
    <xf numFmtId="0" fontId="36" fillId="0" borderId="0" xfId="0" applyFont="1" applyAlignment="1">
      <alignment horizontal="center" vertical="top"/>
    </xf>
    <xf numFmtId="197" fontId="36" fillId="0" borderId="0" xfId="434" applyNumberFormat="1" applyFont="1" applyFill="1" applyAlignment="1">
      <alignment horizontal="center" vertical="top"/>
    </xf>
    <xf numFmtId="43" fontId="106" fillId="0" borderId="0" xfId="382" applyFont="1" applyFill="1" applyAlignment="1">
      <alignment horizontal="center" vertical="top"/>
    </xf>
    <xf numFmtId="0" fontId="36" fillId="0" borderId="0" xfId="0" applyFont="1" applyFill="1" applyAlignment="1">
      <alignment horizontal="center" vertical="top"/>
    </xf>
    <xf numFmtId="0" fontId="47" fillId="0" borderId="0" xfId="0" applyFont="1" applyFill="1" applyAlignment="1">
      <alignment vertical="top"/>
    </xf>
    <xf numFmtId="0" fontId="36" fillId="0" borderId="0" xfId="0" applyFont="1" applyFill="1" applyAlignment="1">
      <alignment vertical="top"/>
    </xf>
    <xf numFmtId="164" fontId="35" fillId="0" borderId="35" xfId="382" applyNumberFormat="1" applyFont="1" applyFill="1" applyBorder="1" applyAlignment="1">
      <alignment vertical="top"/>
    </xf>
    <xf numFmtId="164" fontId="105" fillId="0" borderId="0" xfId="382" applyNumberFormat="1" applyFont="1" applyFill="1" applyAlignment="1">
      <alignment vertical="top"/>
    </xf>
    <xf numFmtId="164" fontId="105" fillId="0" borderId="35" xfId="382" applyNumberFormat="1" applyFont="1" applyFill="1" applyBorder="1" applyAlignment="1">
      <alignment vertical="top"/>
    </xf>
    <xf numFmtId="37" fontId="35" fillId="0" borderId="0" xfId="0" applyNumberFormat="1" applyFont="1" applyFill="1" applyAlignment="1">
      <alignment vertical="top"/>
    </xf>
    <xf numFmtId="37" fontId="35" fillId="0" borderId="35" xfId="0" applyNumberFormat="1" applyFont="1" applyFill="1" applyBorder="1" applyAlignment="1">
      <alignment vertical="top"/>
    </xf>
    <xf numFmtId="37" fontId="35" fillId="0" borderId="0" xfId="0" applyNumberFormat="1" applyFont="1" applyFill="1" applyBorder="1" applyAlignment="1">
      <alignment vertical="top"/>
    </xf>
    <xf numFmtId="0" fontId="35" fillId="0" borderId="35" xfId="0" applyFont="1" applyBorder="1" applyAlignment="1">
      <alignment vertical="top"/>
    </xf>
    <xf numFmtId="0" fontId="47" fillId="0" borderId="35" xfId="0" applyFont="1" applyFill="1" applyBorder="1" applyAlignment="1">
      <alignment vertical="top"/>
    </xf>
    <xf numFmtId="164" fontId="35" fillId="37" borderId="0" xfId="0" applyNumberFormat="1" applyFont="1" applyFill="1" applyAlignment="1">
      <alignment vertical="top"/>
    </xf>
    <xf numFmtId="0" fontId="35" fillId="0" borderId="0" xfId="0" applyFont="1" applyFill="1" applyAlignment="1">
      <alignment vertical="top" wrapText="1"/>
    </xf>
    <xf numFmtId="164" fontId="36" fillId="0" borderId="54" xfId="382" applyNumberFormat="1" applyFont="1" applyFill="1" applyBorder="1" applyAlignment="1">
      <alignment vertical="top"/>
    </xf>
    <xf numFmtId="164" fontId="36" fillId="0" borderId="0" xfId="382" applyNumberFormat="1" applyFont="1" applyFill="1" applyBorder="1" applyAlignment="1">
      <alignment vertical="top"/>
    </xf>
    <xf numFmtId="0" fontId="35" fillId="37" borderId="0" xfId="0" applyFont="1" applyFill="1" applyBorder="1" applyAlignment="1">
      <alignment vertical="top"/>
    </xf>
    <xf numFmtId="164" fontId="35" fillId="37" borderId="0" xfId="0" applyNumberFormat="1" applyFont="1" applyFill="1" applyBorder="1" applyAlignment="1">
      <alignment vertical="top"/>
    </xf>
    <xf numFmtId="0" fontId="35" fillId="37" borderId="0" xfId="0" applyFont="1" applyFill="1" applyBorder="1" applyAlignment="1">
      <alignment vertical="top" wrapText="1"/>
    </xf>
    <xf numFmtId="164" fontId="35" fillId="37" borderId="18" xfId="0" applyNumberFormat="1" applyFont="1" applyFill="1" applyBorder="1" applyAlignment="1">
      <alignment vertical="top"/>
    </xf>
    <xf numFmtId="0" fontId="36" fillId="0" borderId="19" xfId="0" applyFont="1" applyFill="1" applyBorder="1" applyAlignment="1">
      <alignment vertical="top"/>
    </xf>
    <xf numFmtId="0" fontId="48" fillId="0" borderId="5" xfId="0" applyFont="1" applyFill="1" applyBorder="1" applyAlignment="1">
      <alignment vertical="top"/>
    </xf>
    <xf numFmtId="164" fontId="35" fillId="0" borderId="5" xfId="382" applyNumberFormat="1" applyFont="1" applyFill="1" applyBorder="1" applyAlignment="1">
      <alignment vertical="top"/>
    </xf>
    <xf numFmtId="164" fontId="35" fillId="0" borderId="44" xfId="382" applyNumberFormat="1" applyFont="1" applyFill="1" applyBorder="1" applyAlignment="1">
      <alignment vertical="top"/>
    </xf>
    <xf numFmtId="164" fontId="105" fillId="0" borderId="0" xfId="382" applyNumberFormat="1" applyFont="1" applyFill="1" applyBorder="1" applyAlignment="1">
      <alignment vertical="top"/>
    </xf>
    <xf numFmtId="0" fontId="36" fillId="0" borderId="0" xfId="0" applyFont="1" applyFill="1" applyBorder="1" applyAlignment="1">
      <alignment vertical="top"/>
    </xf>
    <xf numFmtId="0" fontId="48" fillId="0" borderId="0" xfId="0" applyFont="1" applyFill="1" applyBorder="1" applyAlignment="1">
      <alignment vertical="top"/>
    </xf>
    <xf numFmtId="0" fontId="35" fillId="0" borderId="0" xfId="0" applyFont="1" applyBorder="1" applyAlignment="1">
      <alignment horizontal="left" vertical="top"/>
    </xf>
    <xf numFmtId="0" fontId="77" fillId="0" borderId="0" xfId="0" applyFont="1" applyFill="1" applyBorder="1" applyAlignment="1">
      <alignment vertical="top"/>
    </xf>
    <xf numFmtId="164" fontId="35" fillId="37" borderId="0" xfId="403" applyNumberFormat="1" applyFont="1" applyFill="1" applyAlignment="1">
      <alignment vertical="top"/>
    </xf>
    <xf numFmtId="0" fontId="35" fillId="0" borderId="0" xfId="504" applyFont="1" applyFill="1" applyAlignment="1">
      <alignment vertical="top" wrapText="1"/>
    </xf>
    <xf numFmtId="0" fontId="35" fillId="37" borderId="0" xfId="504" applyFont="1" applyFill="1" applyAlignment="1">
      <alignment vertical="top"/>
    </xf>
    <xf numFmtId="164" fontId="35" fillId="37" borderId="0" xfId="382" applyNumberFormat="1" applyFont="1" applyFill="1" applyBorder="1" applyAlignment="1">
      <alignment vertical="top"/>
    </xf>
    <xf numFmtId="164" fontId="35" fillId="37" borderId="35" xfId="382" applyNumberFormat="1" applyFont="1" applyFill="1" applyBorder="1" applyAlignment="1">
      <alignment vertical="top"/>
    </xf>
    <xf numFmtId="0" fontId="35" fillId="37" borderId="0" xfId="504" applyFont="1" applyFill="1" applyAlignment="1">
      <alignment vertical="top" wrapText="1"/>
    </xf>
    <xf numFmtId="164" fontId="35" fillId="37" borderId="35" xfId="403" applyNumberFormat="1" applyFont="1" applyFill="1" applyBorder="1" applyAlignment="1">
      <alignment vertical="top"/>
    </xf>
    <xf numFmtId="0" fontId="35" fillId="37" borderId="0" xfId="0" applyFont="1" applyFill="1" applyAlignment="1">
      <alignment vertical="top"/>
    </xf>
    <xf numFmtId="0" fontId="35" fillId="37" borderId="0" xfId="0" applyFont="1" applyFill="1" applyAlignment="1">
      <alignment vertical="top" wrapText="1"/>
    </xf>
    <xf numFmtId="0" fontId="36" fillId="37" borderId="0" xfId="0" applyFont="1" applyFill="1" applyAlignment="1">
      <alignment vertical="top"/>
    </xf>
    <xf numFmtId="164" fontId="36" fillId="37" borderId="54" xfId="382" applyNumberFormat="1" applyFont="1" applyFill="1" applyBorder="1" applyAlignment="1">
      <alignment vertical="top"/>
    </xf>
    <xf numFmtId="0" fontId="36" fillId="37" borderId="0" xfId="0" applyFont="1" applyFill="1" applyAlignment="1">
      <alignment vertical="top" wrapText="1"/>
    </xf>
    <xf numFmtId="164" fontId="35" fillId="37" borderId="54" xfId="382" applyNumberFormat="1" applyFont="1" applyFill="1" applyBorder="1" applyAlignment="1">
      <alignment vertical="top"/>
    </xf>
    <xf numFmtId="37" fontId="35" fillId="0" borderId="0" xfId="0" applyNumberFormat="1" applyFont="1" applyFill="1" applyBorder="1" applyAlignment="1">
      <alignment vertical="top" wrapText="1"/>
    </xf>
    <xf numFmtId="37" fontId="35" fillId="0" borderId="0" xfId="0" applyNumberFormat="1" applyFont="1" applyFill="1" applyBorder="1" applyAlignment="1">
      <alignment horizontal="left" vertical="top" wrapText="1"/>
    </xf>
    <xf numFmtId="0" fontId="7" fillId="0" borderId="0" xfId="496" applyFont="1"/>
    <xf numFmtId="0" fontId="7" fillId="0" borderId="0" xfId="496" applyFont="1" applyAlignment="1">
      <alignment horizontal="center"/>
    </xf>
    <xf numFmtId="0" fontId="7" fillId="0" borderId="0" xfId="496" applyFont="1" applyFill="1" applyAlignment="1">
      <alignment horizontal="left"/>
    </xf>
    <xf numFmtId="164" fontId="7" fillId="0" borderId="0" xfId="382" quotePrefix="1" applyNumberFormat="1" applyFont="1" applyFill="1"/>
    <xf numFmtId="164" fontId="7" fillId="0" borderId="0" xfId="382" applyNumberFormat="1" applyFont="1" applyAlignment="1">
      <alignment horizontal="center"/>
    </xf>
    <xf numFmtId="0" fontId="7" fillId="0" borderId="0" xfId="35689" applyFont="1"/>
    <xf numFmtId="164" fontId="7" fillId="0" borderId="0" xfId="382" applyNumberFormat="1" applyFont="1"/>
    <xf numFmtId="0" fontId="107" fillId="0" borderId="0" xfId="496" applyFont="1"/>
    <xf numFmtId="164" fontId="7" fillId="0" borderId="0" xfId="382" applyNumberFormat="1" applyFont="1" applyFill="1"/>
    <xf numFmtId="164" fontId="7" fillId="0" borderId="0" xfId="382" applyNumberFormat="1" applyFont="1" applyFill="1" applyAlignment="1">
      <alignment horizontal="center"/>
    </xf>
    <xf numFmtId="0" fontId="7" fillId="0" borderId="0" xfId="35689" applyFont="1" applyFill="1"/>
    <xf numFmtId="0" fontId="7" fillId="0" borderId="0" xfId="496" applyFont="1" applyFill="1"/>
    <xf numFmtId="0" fontId="108" fillId="0" borderId="0" xfId="496" applyFont="1"/>
    <xf numFmtId="164" fontId="35" fillId="37" borderId="0" xfId="0" applyNumberFormat="1" applyFont="1" applyFill="1"/>
    <xf numFmtId="164" fontId="7" fillId="37" borderId="0" xfId="382" applyNumberFormat="1" applyFont="1" applyFill="1" applyAlignment="1">
      <alignment horizontal="center"/>
    </xf>
    <xf numFmtId="164" fontId="7" fillId="37" borderId="18" xfId="382" quotePrefix="1" applyNumberFormat="1" applyFont="1" applyFill="1" applyBorder="1"/>
    <xf numFmtId="164" fontId="7" fillId="0" borderId="17" xfId="382" applyNumberFormat="1" applyFont="1" applyBorder="1"/>
    <xf numFmtId="0" fontId="7" fillId="0" borderId="0" xfId="496" applyFont="1" applyFill="1" applyAlignment="1">
      <alignment vertical="top"/>
    </xf>
    <xf numFmtId="0" fontId="7" fillId="0" borderId="0" xfId="496" applyFont="1" applyAlignment="1">
      <alignment horizontal="left" vertical="top"/>
    </xf>
    <xf numFmtId="164" fontId="7" fillId="0" borderId="0" xfId="382" applyNumberFormat="1" applyFont="1" applyAlignment="1">
      <alignment horizontal="left" vertical="top"/>
    </xf>
    <xf numFmtId="10" fontId="35" fillId="0" borderId="0" xfId="0" applyNumberFormat="1" applyFont="1" applyFill="1"/>
    <xf numFmtId="0" fontId="35" fillId="0" borderId="0" xfId="533" applyFont="1" applyFill="1"/>
    <xf numFmtId="0" fontId="37" fillId="0" borderId="64" xfId="0" applyFont="1" applyFill="1" applyBorder="1" applyAlignment="1">
      <alignment horizontal="center" wrapText="1"/>
    </xf>
    <xf numFmtId="0" fontId="35" fillId="0" borderId="0" xfId="0" applyFont="1" applyFill="1" applyAlignment="1">
      <alignment horizontal="center"/>
    </xf>
    <xf numFmtId="43" fontId="106" fillId="0" borderId="54" xfId="382" applyFont="1" applyFill="1" applyBorder="1" applyAlignment="1">
      <alignment horizontal="center" vertical="top"/>
    </xf>
    <xf numFmtId="0" fontId="35" fillId="0" borderId="0" xfId="0" applyFont="1" applyFill="1" applyAlignment="1">
      <alignment horizontal="left"/>
    </xf>
    <xf numFmtId="164" fontId="95" fillId="0" borderId="0" xfId="382" quotePrefix="1" applyNumberFormat="1" applyFont="1" applyFill="1" applyAlignment="1"/>
    <xf numFmtId="0" fontId="127" fillId="0" borderId="0" xfId="0" applyFont="1" applyFill="1" applyAlignment="1">
      <alignment horizontal="left"/>
    </xf>
    <xf numFmtId="164" fontId="6" fillId="0" borderId="0" xfId="382" applyNumberFormat="1" applyFont="1" applyFill="1"/>
    <xf numFmtId="164" fontId="35" fillId="0" borderId="0" xfId="403" applyNumberFormat="1" applyFont="1" applyFill="1"/>
    <xf numFmtId="164" fontId="19" fillId="0" borderId="0" xfId="382" applyNumberFormat="1" applyFont="1" applyFill="1"/>
    <xf numFmtId="164" fontId="105" fillId="0" borderId="54" xfId="382" applyNumberFormat="1" applyFont="1" applyFill="1" applyBorder="1" applyAlignment="1">
      <alignment vertical="top"/>
    </xf>
    <xf numFmtId="0" fontId="121" fillId="0" borderId="0" xfId="0" applyFont="1" applyFill="1" applyBorder="1" applyAlignment="1">
      <alignment vertical="top"/>
    </xf>
    <xf numFmtId="0" fontId="49" fillId="0" borderId="0" xfId="11275" applyFont="1" applyFill="1" applyAlignment="1">
      <alignment horizontal="center"/>
    </xf>
    <xf numFmtId="164" fontId="5" fillId="37" borderId="0" xfId="382" applyNumberFormat="1" applyFont="1" applyFill="1" applyBorder="1"/>
    <xf numFmtId="164" fontId="5" fillId="37" borderId="18" xfId="382" applyNumberFormat="1" applyFont="1" applyFill="1" applyBorder="1"/>
    <xf numFmtId="164" fontId="12" fillId="37" borderId="18" xfId="11271" applyNumberFormat="1" applyFont="1" applyFill="1" applyBorder="1"/>
    <xf numFmtId="164" fontId="39" fillId="0" borderId="26" xfId="382" quotePrefix="1" applyNumberFormat="1" applyFont="1" applyFill="1" applyBorder="1" applyAlignment="1"/>
    <xf numFmtId="164" fontId="126" fillId="0" borderId="0" xfId="382" applyNumberFormat="1" applyFont="1" applyFill="1" applyAlignment="1"/>
    <xf numFmtId="169" fontId="116" fillId="0" borderId="0" xfId="37696" applyFont="1" applyFill="1" applyAlignment="1"/>
    <xf numFmtId="164" fontId="35" fillId="0" borderId="0" xfId="382" applyNumberFormat="1" applyFont="1" applyFill="1" applyBorder="1" applyAlignment="1">
      <alignment horizontal="center"/>
    </xf>
    <xf numFmtId="164" fontId="35" fillId="37" borderId="18" xfId="404" applyNumberFormat="1" applyFont="1" applyFill="1" applyBorder="1"/>
    <xf numFmtId="17" fontId="35" fillId="0" borderId="18" xfId="382" applyNumberFormat="1" applyFont="1" applyFill="1" applyBorder="1" applyAlignment="1">
      <alignment horizontal="center"/>
    </xf>
    <xf numFmtId="0" fontId="36" fillId="0" borderId="0" xfId="0" applyFont="1" applyBorder="1" applyAlignment="1"/>
    <xf numFmtId="43" fontId="4" fillId="0" borderId="18" xfId="382" applyFont="1" applyFill="1" applyBorder="1"/>
    <xf numFmtId="164" fontId="35" fillId="37" borderId="18" xfId="382" applyNumberFormat="1" applyFont="1" applyFill="1" applyBorder="1" applyProtection="1">
      <protection locked="0"/>
    </xf>
    <xf numFmtId="164" fontId="4" fillId="0" borderId="18" xfId="382" applyNumberFormat="1" applyFont="1" applyFill="1" applyBorder="1"/>
    <xf numFmtId="164" fontId="4" fillId="0" borderId="18" xfId="382" applyNumberFormat="1" applyFont="1" applyBorder="1"/>
    <xf numFmtId="43" fontId="35" fillId="0" borderId="18" xfId="382" applyFont="1" applyBorder="1" applyAlignment="1">
      <alignment horizontal="center"/>
    </xf>
    <xf numFmtId="43" fontId="35" fillId="0" borderId="18" xfId="382" applyFont="1" applyBorder="1" applyAlignment="1">
      <alignment horizontal="center" wrapText="1"/>
    </xf>
    <xf numFmtId="164" fontId="49" fillId="0" borderId="18" xfId="382" quotePrefix="1" applyNumberFormat="1" applyFont="1" applyBorder="1" applyAlignment="1">
      <alignment horizontal="center" wrapText="1"/>
    </xf>
    <xf numFmtId="43" fontId="4" fillId="0" borderId="18" xfId="382" applyFont="1" applyFill="1" applyBorder="1" applyAlignment="1">
      <alignment horizontal="center"/>
    </xf>
    <xf numFmtId="43" fontId="35" fillId="0" borderId="18" xfId="382" quotePrefix="1" applyFont="1" applyFill="1" applyBorder="1" applyAlignment="1">
      <alignment horizontal="left"/>
    </xf>
    <xf numFmtId="164" fontId="35" fillId="0" borderId="18" xfId="382" applyNumberFormat="1" applyFont="1" applyFill="1" applyBorder="1" applyAlignment="1">
      <alignment horizontal="center" wrapText="1"/>
    </xf>
    <xf numFmtId="164" fontId="35" fillId="0" borderId="18" xfId="382" applyNumberFormat="1" applyFont="1" applyFill="1" applyBorder="1" applyAlignment="1">
      <alignment horizontal="center"/>
    </xf>
    <xf numFmtId="0" fontId="35" fillId="0" borderId="0" xfId="0" applyFont="1" applyBorder="1" applyAlignment="1"/>
    <xf numFmtId="43" fontId="4" fillId="0" borderId="18" xfId="382" applyFont="1" applyBorder="1" applyAlignment="1">
      <alignment horizontal="center"/>
    </xf>
    <xf numFmtId="0" fontId="35" fillId="0" borderId="18" xfId="484" applyFont="1" applyFill="1" applyBorder="1" applyAlignment="1">
      <alignment vertical="top"/>
    </xf>
    <xf numFmtId="0" fontId="95" fillId="0" borderId="0" xfId="37695" applyFont="1" applyFill="1" applyAlignment="1">
      <alignment horizontal="center"/>
    </xf>
    <xf numFmtId="171" fontId="37" fillId="0" borderId="63" xfId="674" applyNumberFormat="1" applyFont="1" applyFill="1" applyBorder="1" applyAlignment="1"/>
    <xf numFmtId="164" fontId="39" fillId="0" borderId="60" xfId="382" quotePrefix="1" applyNumberFormat="1" applyFont="1" applyFill="1" applyBorder="1" applyAlignment="1"/>
    <xf numFmtId="170" fontId="39" fillId="0" borderId="60" xfId="382" applyNumberFormat="1" applyFont="1" applyFill="1" applyBorder="1" applyAlignment="1"/>
    <xf numFmtId="10" fontId="39" fillId="0" borderId="61" xfId="674" applyNumberFormat="1" applyFont="1" applyFill="1" applyBorder="1"/>
    <xf numFmtId="164" fontId="35" fillId="0" borderId="0" xfId="11645" applyNumberFormat="1" applyFont="1" applyFill="1" applyBorder="1"/>
    <xf numFmtId="164" fontId="35" fillId="0" borderId="54" xfId="382" applyNumberFormat="1" applyFont="1" applyFill="1" applyBorder="1"/>
    <xf numFmtId="164" fontId="4" fillId="0" borderId="18" xfId="11645" applyNumberFormat="1" applyFont="1" applyFill="1" applyBorder="1"/>
    <xf numFmtId="164" fontId="35" fillId="0" borderId="45" xfId="382" applyNumberFormat="1" applyFont="1" applyFill="1" applyBorder="1"/>
    <xf numFmtId="164" fontId="4" fillId="37" borderId="0" xfId="382" applyNumberFormat="1" applyFont="1" applyFill="1" applyBorder="1"/>
    <xf numFmtId="2" fontId="4" fillId="0" borderId="0" xfId="11271" applyNumberFormat="1" applyFont="1" applyFill="1" applyAlignment="1">
      <alignment horizontal="left"/>
    </xf>
    <xf numFmtId="2" fontId="4" fillId="37" borderId="0" xfId="11271" applyNumberFormat="1" applyFont="1" applyFill="1" applyAlignment="1">
      <alignment horizontal="left"/>
    </xf>
    <xf numFmtId="0" fontId="35" fillId="0" borderId="0" xfId="0" applyFont="1" applyAlignment="1">
      <alignment horizontal="center" vertical="top"/>
    </xf>
    <xf numFmtId="0" fontId="35" fillId="0" borderId="0" xfId="0" applyFont="1" applyFill="1" applyAlignment="1">
      <alignment horizontal="left"/>
    </xf>
    <xf numFmtId="0" fontId="112" fillId="0" borderId="0" xfId="0" quotePrefix="1" applyFont="1" applyFill="1" applyAlignment="1">
      <alignment vertical="center"/>
    </xf>
    <xf numFmtId="164" fontId="35" fillId="0" borderId="0" xfId="674" applyNumberFormat="1" applyFont="1" applyFill="1" applyAlignment="1">
      <alignment vertical="center"/>
    </xf>
    <xf numFmtId="164" fontId="35" fillId="0" borderId="3" xfId="0" applyNumberFormat="1" applyFont="1" applyFill="1" applyBorder="1"/>
    <xf numFmtId="43" fontId="35" fillId="0" borderId="18" xfId="382" applyFont="1" applyFill="1" applyBorder="1" applyAlignment="1">
      <alignment horizontal="center" vertical="center" wrapText="1"/>
    </xf>
    <xf numFmtId="0" fontId="3" fillId="37" borderId="0" xfId="35157" applyFont="1" applyFill="1" applyBorder="1"/>
    <xf numFmtId="0" fontId="112" fillId="0" borderId="0" xfId="504" applyFont="1" applyFill="1" applyAlignment="1">
      <alignment vertical="top"/>
    </xf>
    <xf numFmtId="0" fontId="112" fillId="0" borderId="0" xfId="0" applyFont="1" applyFill="1" applyAlignment="1">
      <alignment vertical="top"/>
    </xf>
    <xf numFmtId="0" fontId="35" fillId="0" borderId="0" xfId="0" applyFont="1" applyFill="1" applyAlignment="1">
      <alignment horizontal="center"/>
    </xf>
    <xf numFmtId="164" fontId="35" fillId="37" borderId="0" xfId="0" applyNumberFormat="1" applyFont="1" applyFill="1" applyAlignment="1"/>
    <xf numFmtId="0" fontId="35" fillId="0" borderId="0" xfId="0" applyFont="1" applyFill="1" applyAlignment="1">
      <alignment wrapText="1"/>
    </xf>
    <xf numFmtId="164" fontId="131" fillId="0" borderId="54" xfId="382" applyNumberFormat="1" applyFont="1" applyFill="1" applyBorder="1" applyAlignment="1">
      <alignment vertical="top"/>
    </xf>
    <xf numFmtId="164" fontId="35" fillId="0" borderId="54" xfId="382" applyNumberFormat="1" applyFont="1" applyFill="1" applyBorder="1" applyAlignment="1"/>
    <xf numFmtId="164" fontId="2" fillId="0" borderId="0" xfId="382" applyNumberFormat="1" applyFont="1"/>
    <xf numFmtId="0" fontId="35" fillId="0" borderId="0" xfId="474" applyFont="1" applyAlignment="1">
      <alignment horizontal="center" vertical="top"/>
    </xf>
    <xf numFmtId="0" fontId="49" fillId="0" borderId="0" xfId="11275" quotePrefix="1" applyFont="1" applyAlignment="1">
      <alignment horizontal="center"/>
    </xf>
    <xf numFmtId="0" fontId="112" fillId="0" borderId="0" xfId="504" applyFont="1" applyFill="1" applyBorder="1"/>
    <xf numFmtId="164" fontId="35" fillId="0" borderId="0" xfId="382" applyNumberFormat="1" applyFont="1" applyFill="1" applyBorder="1" applyAlignment="1">
      <alignment horizontal="left" indent="1"/>
    </xf>
    <xf numFmtId="164" fontId="35" fillId="0" borderId="0" xfId="382" applyNumberFormat="1" applyFont="1" applyFill="1" applyBorder="1" applyAlignment="1">
      <alignment horizontal="left" wrapText="1" indent="1"/>
    </xf>
    <xf numFmtId="43" fontId="106" fillId="0" borderId="35" xfId="382" applyFont="1" applyFill="1" applyBorder="1" applyAlignment="1">
      <alignment horizontal="center" wrapText="1"/>
    </xf>
    <xf numFmtId="43" fontId="106" fillId="0" borderId="54" xfId="382" applyFont="1" applyFill="1" applyBorder="1" applyAlignment="1">
      <alignment horizontal="center" wrapText="1"/>
    </xf>
    <xf numFmtId="43" fontId="106" fillId="0" borderId="0" xfId="382" applyFont="1" applyFill="1" applyBorder="1" applyAlignment="1">
      <alignment horizontal="center" wrapText="1"/>
    </xf>
    <xf numFmtId="43" fontId="106" fillId="0" borderId="0" xfId="382" applyFont="1" applyFill="1" applyBorder="1" applyAlignment="1">
      <alignment horizontal="center"/>
    </xf>
    <xf numFmtId="0" fontId="112" fillId="0" borderId="0" xfId="504" applyFont="1" applyFill="1"/>
    <xf numFmtId="0" fontId="112" fillId="0" borderId="0" xfId="504" applyFont="1" applyFill="1" applyBorder="1" applyAlignment="1">
      <alignment horizontal="left"/>
    </xf>
    <xf numFmtId="164" fontId="4" fillId="37" borderId="35" xfId="382" applyNumberFormat="1" applyFont="1" applyFill="1" applyBorder="1"/>
    <xf numFmtId="164" fontId="35" fillId="37" borderId="35" xfId="382" applyNumberFormat="1" applyFont="1" applyFill="1" applyBorder="1"/>
    <xf numFmtId="164" fontId="5" fillId="37" borderId="35" xfId="382" applyNumberFormat="1" applyFont="1" applyFill="1" applyBorder="1"/>
    <xf numFmtId="164" fontId="5" fillId="37" borderId="37" xfId="382" applyNumberFormat="1" applyFont="1" applyFill="1" applyBorder="1"/>
    <xf numFmtId="14" fontId="36" fillId="0" borderId="18" xfId="0" applyNumberFormat="1" applyFont="1" applyBorder="1" applyAlignment="1">
      <alignment horizontal="center" wrapText="1"/>
    </xf>
    <xf numFmtId="14" fontId="36" fillId="0" borderId="37" xfId="0" applyNumberFormat="1" applyFont="1" applyBorder="1" applyAlignment="1">
      <alignment horizontal="center" wrapText="1"/>
    </xf>
    <xf numFmtId="43" fontId="36" fillId="0" borderId="18" xfId="382" applyFont="1" applyFill="1" applyBorder="1" applyAlignment="1">
      <alignment horizontal="center"/>
    </xf>
    <xf numFmtId="14" fontId="36" fillId="0" borderId="18" xfId="0" applyNumberFormat="1" applyFont="1" applyFill="1" applyBorder="1" applyAlignment="1">
      <alignment horizontal="center" wrapText="1"/>
    </xf>
    <xf numFmtId="0" fontId="36" fillId="0" borderId="45" xfId="0" applyFont="1" applyFill="1" applyBorder="1" applyAlignment="1">
      <alignment horizontal="center"/>
    </xf>
    <xf numFmtId="164" fontId="36" fillId="0" borderId="0" xfId="382" applyNumberFormat="1" applyFont="1" applyFill="1" applyBorder="1" applyAlignment="1">
      <alignment horizontal="center" vertical="top" wrapText="1"/>
    </xf>
    <xf numFmtId="164" fontId="36" fillId="0" borderId="35" xfId="382" applyNumberFormat="1" applyFont="1" applyFill="1" applyBorder="1" applyAlignment="1">
      <alignment horizontal="center" vertical="top" wrapText="1"/>
    </xf>
    <xf numFmtId="164" fontId="35" fillId="0" borderId="35" xfId="382" applyNumberFormat="1" applyFont="1" applyFill="1" applyBorder="1" applyAlignment="1"/>
    <xf numFmtId="164" fontId="36" fillId="0" borderId="0" xfId="382" applyNumberFormat="1" applyFont="1" applyFill="1" applyBorder="1" applyAlignment="1">
      <alignment horizontal="center" wrapText="1"/>
    </xf>
    <xf numFmtId="164" fontId="36" fillId="0" borderId="35" xfId="382" applyNumberFormat="1" applyFont="1" applyFill="1" applyBorder="1" applyAlignment="1">
      <alignment horizontal="center" wrapText="1"/>
    </xf>
    <xf numFmtId="164" fontId="36" fillId="0" borderId="35" xfId="382" applyNumberFormat="1" applyFont="1" applyFill="1" applyBorder="1" applyAlignment="1">
      <alignment vertical="top"/>
    </xf>
    <xf numFmtId="164" fontId="35" fillId="37" borderId="45" xfId="382" applyNumberFormat="1" applyFont="1" applyFill="1" applyBorder="1" applyAlignment="1">
      <alignment vertical="top"/>
    </xf>
    <xf numFmtId="164" fontId="35" fillId="37" borderId="37" xfId="382" applyNumberFormat="1" applyFont="1" applyFill="1" applyBorder="1" applyAlignment="1">
      <alignment vertical="top"/>
    </xf>
    <xf numFmtId="164" fontId="35" fillId="0" borderId="43" xfId="382" applyNumberFormat="1" applyFont="1" applyFill="1" applyBorder="1" applyAlignment="1">
      <alignment vertical="top"/>
    </xf>
    <xf numFmtId="164" fontId="35" fillId="0" borderId="16" xfId="382" applyNumberFormat="1" applyFont="1" applyFill="1" applyBorder="1" applyAlignment="1">
      <alignment vertical="top"/>
    </xf>
    <xf numFmtId="164" fontId="35" fillId="0" borderId="20" xfId="382" applyNumberFormat="1" applyFont="1" applyFill="1" applyBorder="1" applyAlignment="1">
      <alignment vertical="top"/>
    </xf>
    <xf numFmtId="164" fontId="35" fillId="0" borderId="0" xfId="382" applyNumberFormat="1" applyFont="1" applyFill="1" applyBorder="1" applyAlignment="1">
      <alignment horizontal="center" vertical="top"/>
    </xf>
    <xf numFmtId="164" fontId="131" fillId="0" borderId="0" xfId="382" applyNumberFormat="1" applyFont="1" applyFill="1" applyAlignment="1">
      <alignment vertical="top"/>
    </xf>
    <xf numFmtId="164" fontId="35" fillId="0" borderId="0" xfId="382" applyNumberFormat="1" applyFont="1" applyFill="1" applyBorder="1" applyAlignment="1">
      <alignment horizontal="center" vertical="top" wrapText="1"/>
    </xf>
    <xf numFmtId="164" fontId="35" fillId="0" borderId="35" xfId="382" applyNumberFormat="1" applyFont="1" applyFill="1" applyBorder="1" applyAlignment="1">
      <alignment horizontal="center" vertical="top" wrapText="1"/>
    </xf>
    <xf numFmtId="164" fontId="128" fillId="0" borderId="35" xfId="382" applyNumberFormat="1" applyFont="1" applyFill="1" applyBorder="1" applyAlignment="1">
      <alignment vertical="top"/>
    </xf>
    <xf numFmtId="164" fontId="36" fillId="37" borderId="0" xfId="382" applyNumberFormat="1" applyFont="1" applyFill="1" applyBorder="1" applyAlignment="1">
      <alignment vertical="top"/>
    </xf>
    <xf numFmtId="164" fontId="36" fillId="37" borderId="35" xfId="382" applyNumberFormat="1" applyFont="1" applyFill="1" applyBorder="1" applyAlignment="1">
      <alignment vertical="top"/>
    </xf>
    <xf numFmtId="164" fontId="35" fillId="0" borderId="0" xfId="382" quotePrefix="1" applyNumberFormat="1" applyFont="1" applyFill="1" applyBorder="1" applyAlignment="1">
      <alignment horizontal="center" wrapText="1"/>
    </xf>
    <xf numFmtId="0" fontId="35" fillId="0" borderId="0" xfId="0" applyFont="1" applyAlignment="1">
      <alignment horizontal="left" indent="2"/>
    </xf>
    <xf numFmtId="164" fontId="49" fillId="0" borderId="37" xfId="382" applyNumberFormat="1" applyFont="1" applyFill="1" applyBorder="1" applyAlignment="1">
      <alignment horizontal="left"/>
    </xf>
    <xf numFmtId="0" fontId="49" fillId="0" borderId="0" xfId="11275" applyFont="1" applyFill="1" applyAlignment="1"/>
    <xf numFmtId="0" fontId="49" fillId="0" borderId="0" xfId="11275" applyFont="1" applyFill="1" applyBorder="1" applyAlignment="1"/>
    <xf numFmtId="0" fontId="2" fillId="0" borderId="0" xfId="11271" applyFont="1" applyFill="1" applyAlignment="1"/>
    <xf numFmtId="164" fontId="36" fillId="37" borderId="0" xfId="382" applyNumberFormat="1" applyFont="1" applyFill="1" applyBorder="1" applyAlignment="1">
      <alignment horizontal="center" vertical="top" wrapText="1"/>
    </xf>
    <xf numFmtId="164" fontId="36" fillId="37" borderId="35" xfId="382" applyNumberFormat="1" applyFont="1" applyFill="1" applyBorder="1" applyAlignment="1">
      <alignment horizontal="center" vertical="top" wrapText="1"/>
    </xf>
    <xf numFmtId="43" fontId="105" fillId="0" borderId="0" xfId="382" applyFont="1" applyAlignment="1">
      <alignment horizontal="center"/>
    </xf>
    <xf numFmtId="10" fontId="35" fillId="0" borderId="0" xfId="674" applyNumberFormat="1" applyFont="1" applyAlignment="1">
      <alignment horizontal="left"/>
    </xf>
    <xf numFmtId="164" fontId="0" fillId="0" borderId="0" xfId="382" applyNumberFormat="1" applyFont="1"/>
    <xf numFmtId="0" fontId="48" fillId="0" borderId="0" xfId="0" applyFont="1" applyFill="1" applyBorder="1" applyAlignment="1">
      <alignment vertical="center"/>
    </xf>
    <xf numFmtId="43" fontId="105" fillId="0" borderId="0" xfId="382" applyFont="1"/>
    <xf numFmtId="0" fontId="0" fillId="0" borderId="0" xfId="0" applyAlignment="1">
      <alignment horizontal="left" indent="1"/>
    </xf>
    <xf numFmtId="0" fontId="0" fillId="0" borderId="0" xfId="0" quotePrefix="1"/>
    <xf numFmtId="164" fontId="0" fillId="0" borderId="18" xfId="382" applyNumberFormat="1" applyFont="1" applyFill="1" applyBorder="1"/>
    <xf numFmtId="164" fontId="0" fillId="51" borderId="0" xfId="382" applyNumberFormat="1" applyFont="1" applyFill="1"/>
    <xf numFmtId="0" fontId="0" fillId="0" borderId="0" xfId="0" quotePrefix="1" applyAlignment="1">
      <alignment vertical="top"/>
    </xf>
    <xf numFmtId="0" fontId="0" fillId="0" borderId="18" xfId="0" applyBorder="1"/>
    <xf numFmtId="0" fontId="35" fillId="0" borderId="0" xfId="11275" applyFont="1" applyFill="1" applyBorder="1" applyAlignment="1">
      <alignment vertical="top"/>
    </xf>
    <xf numFmtId="0" fontId="35" fillId="0" borderId="0" xfId="11275" quotePrefix="1" applyFont="1" applyFill="1" applyBorder="1" applyAlignment="1">
      <alignment vertical="top"/>
    </xf>
    <xf numFmtId="0" fontId="119" fillId="0" borderId="0" xfId="11275" applyFont="1"/>
    <xf numFmtId="164" fontId="0" fillId="0" borderId="0" xfId="382" applyNumberFormat="1" applyFont="1" applyAlignment="1">
      <alignment horizontal="center"/>
    </xf>
    <xf numFmtId="164" fontId="0" fillId="0" borderId="18" xfId="382" applyNumberFormat="1" applyFont="1" applyBorder="1"/>
    <xf numFmtId="0" fontId="0" fillId="0" borderId="0" xfId="0" quotePrefix="1" applyAlignment="1">
      <alignment horizontal="center"/>
    </xf>
    <xf numFmtId="164" fontId="49" fillId="0" borderId="0" xfId="382" applyNumberFormat="1" applyFont="1"/>
    <xf numFmtId="0" fontId="35" fillId="0" borderId="0" xfId="0" applyFont="1" applyFill="1" applyAlignment="1">
      <alignment horizontal="center"/>
    </xf>
    <xf numFmtId="0" fontId="35" fillId="0" borderId="0" xfId="0" quotePrefix="1" applyFont="1" applyFill="1" applyBorder="1" applyAlignment="1">
      <alignment horizontal="center" vertical="top"/>
    </xf>
    <xf numFmtId="0" fontId="35" fillId="0" borderId="0" xfId="0" applyFont="1" applyFill="1" applyAlignment="1">
      <alignment horizontal="left"/>
    </xf>
    <xf numFmtId="10" fontId="0" fillId="0" borderId="0" xfId="0" applyNumberFormat="1"/>
    <xf numFmtId="10" fontId="0" fillId="0" borderId="0" xfId="674" applyNumberFormat="1" applyFont="1"/>
    <xf numFmtId="0" fontId="0" fillId="0" borderId="16" xfId="0" applyBorder="1" applyAlignment="1">
      <alignment horizontal="center"/>
    </xf>
    <xf numFmtId="0" fontId="0" fillId="0" borderId="16" xfId="0" applyBorder="1"/>
    <xf numFmtId="10" fontId="0" fillId="0" borderId="16" xfId="0" applyNumberFormat="1" applyBorder="1"/>
    <xf numFmtId="164" fontId="35" fillId="0" borderId="0" xfId="382" applyNumberFormat="1" applyFont="1" applyAlignment="1">
      <alignment horizontal="left"/>
    </xf>
    <xf numFmtId="0" fontId="35" fillId="0" borderId="0" xfId="35688" applyFont="1" applyAlignment="1">
      <alignment horizontal="center"/>
    </xf>
    <xf numFmtId="43" fontId="35" fillId="0" borderId="0" xfId="11622" applyFont="1" applyFill="1" applyAlignment="1">
      <alignment horizontal="center"/>
    </xf>
    <xf numFmtId="1" fontId="35" fillId="0" borderId="0" xfId="35688" applyNumberFormat="1" applyFont="1" applyFill="1" applyAlignment="1">
      <alignment horizontal="left"/>
    </xf>
    <xf numFmtId="2" fontId="35" fillId="0" borderId="0" xfId="35688" applyNumberFormat="1" applyFont="1" applyFill="1" applyAlignment="1">
      <alignment horizontal="left"/>
    </xf>
    <xf numFmtId="164" fontId="35" fillId="0" borderId="0" xfId="382" applyNumberFormat="1" applyFont="1" applyFill="1" applyAlignment="1">
      <alignment horizontal="center" vertical="top"/>
    </xf>
    <xf numFmtId="164" fontId="35" fillId="0" borderId="0" xfId="0" applyNumberFormat="1" applyFont="1" applyFill="1" applyBorder="1"/>
    <xf numFmtId="0" fontId="35" fillId="0" borderId="0" xfId="484" quotePrefix="1" applyFont="1" applyAlignment="1">
      <alignment horizontal="center" vertical="top"/>
    </xf>
    <xf numFmtId="0" fontId="35" fillId="0" borderId="0" xfId="35688" applyFont="1"/>
    <xf numFmtId="0" fontId="35" fillId="0" borderId="0" xfId="35688" applyFont="1" applyFill="1"/>
    <xf numFmtId="43" fontId="35" fillId="0" borderId="0" xfId="11622" applyFont="1"/>
    <xf numFmtId="164" fontId="35" fillId="51" borderId="0" xfId="382" applyNumberFormat="1" applyFont="1" applyFill="1" applyAlignment="1">
      <alignment horizontal="center" vertical="top"/>
    </xf>
    <xf numFmtId="10" fontId="35" fillId="0" borderId="0" xfId="674" applyNumberFormat="1" applyFont="1" applyFill="1" applyAlignment="1"/>
    <xf numFmtId="10" fontId="112" fillId="0" borderId="0" xfId="0" applyNumberFormat="1" applyFont="1" applyFill="1"/>
    <xf numFmtId="10" fontId="35" fillId="0" borderId="0" xfId="674" applyNumberFormat="1" applyFont="1" applyAlignment="1"/>
    <xf numFmtId="10" fontId="35" fillId="0" borderId="0" xfId="674" applyNumberFormat="1" applyFont="1" applyFill="1" applyAlignment="1">
      <alignment horizontal="center" wrapText="1"/>
    </xf>
    <xf numFmtId="10" fontId="35" fillId="0" borderId="0" xfId="674" applyNumberFormat="1" applyFont="1" applyFill="1" applyAlignment="1">
      <alignment horizontal="right"/>
    </xf>
    <xf numFmtId="164" fontId="35" fillId="0" borderId="0" xfId="0" applyNumberFormat="1" applyFont="1" applyAlignment="1"/>
    <xf numFmtId="164" fontId="35" fillId="0" borderId="0" xfId="0" applyNumberFormat="1" applyFont="1" applyFill="1" applyAlignment="1"/>
    <xf numFmtId="164" fontId="35" fillId="0" borderId="35" xfId="382" applyNumberFormat="1" applyFont="1" applyFill="1" applyBorder="1"/>
    <xf numFmtId="0" fontId="35" fillId="0" borderId="0" xfId="0" applyFont="1" applyFill="1" applyAlignment="1">
      <alignment vertical="center" wrapText="1"/>
    </xf>
    <xf numFmtId="0" fontId="36" fillId="0" borderId="0" xfId="0" applyFont="1" applyFill="1" applyBorder="1" applyAlignment="1">
      <alignment vertical="center"/>
    </xf>
    <xf numFmtId="0" fontId="35" fillId="0" borderId="0" xfId="0" applyFont="1" applyFill="1" applyBorder="1" applyAlignment="1">
      <alignment vertical="center"/>
    </xf>
    <xf numFmtId="0" fontId="35" fillId="0" borderId="0" xfId="0" quotePrefix="1" applyFont="1" applyBorder="1"/>
    <xf numFmtId="164" fontId="0" fillId="51" borderId="18" xfId="382" applyNumberFormat="1" applyFont="1" applyFill="1" applyBorder="1"/>
    <xf numFmtId="164" fontId="0" fillId="0" borderId="16" xfId="382" applyNumberFormat="1" applyFont="1" applyBorder="1"/>
    <xf numFmtId="0" fontId="35" fillId="0" borderId="0" xfId="0" applyFont="1" applyAlignment="1">
      <alignment horizontal="center"/>
    </xf>
    <xf numFmtId="0" fontId="35" fillId="0" borderId="0" xfId="474" applyFont="1" applyAlignment="1">
      <alignment horizontal="center"/>
    </xf>
    <xf numFmtId="0" fontId="35" fillId="0" borderId="0" xfId="474" applyFont="1" applyAlignment="1"/>
    <xf numFmtId="164" fontId="35" fillId="0" borderId="0" xfId="382" quotePrefix="1" applyNumberFormat="1" applyFont="1" applyFill="1" applyBorder="1"/>
    <xf numFmtId="0" fontId="35" fillId="0" borderId="0" xfId="504" quotePrefix="1" applyFont="1" applyFill="1" applyAlignment="1">
      <alignment horizontal="left"/>
    </xf>
    <xf numFmtId="164" fontId="39" fillId="0" borderId="30" xfId="382" quotePrefix="1" applyNumberFormat="1" applyFont="1" applyFill="1" applyBorder="1" applyAlignment="1">
      <alignment horizontal="right" vertical="center"/>
    </xf>
    <xf numFmtId="164" fontId="39" fillId="0" borderId="61" xfId="382" quotePrefix="1" applyNumberFormat="1" applyFont="1" applyFill="1" applyBorder="1" applyAlignment="1">
      <alignment horizontal="right" vertical="center"/>
    </xf>
    <xf numFmtId="164" fontId="39" fillId="0" borderId="26" xfId="382" quotePrefix="1" applyNumberFormat="1" applyFont="1" applyFill="1" applyBorder="1" applyAlignment="1">
      <alignment horizontal="right" vertical="center"/>
    </xf>
    <xf numFmtId="164" fontId="39" fillId="0" borderId="60" xfId="382" quotePrefix="1" applyNumberFormat="1" applyFont="1" applyFill="1" applyBorder="1" applyAlignment="1">
      <alignment horizontal="right" vertical="center"/>
    </xf>
    <xf numFmtId="0" fontId="36" fillId="0" borderId="19" xfId="0" applyFont="1" applyFill="1" applyBorder="1" applyAlignment="1"/>
    <xf numFmtId="0" fontId="48" fillId="0" borderId="5" xfId="0" applyFont="1" applyFill="1" applyBorder="1" applyAlignment="1"/>
    <xf numFmtId="164" fontId="35" fillId="0" borderId="5" xfId="382" applyNumberFormat="1" applyFont="1" applyFill="1" applyBorder="1" applyAlignment="1"/>
    <xf numFmtId="0" fontId="35" fillId="0" borderId="0" xfId="474" applyFont="1" applyFill="1" applyAlignment="1"/>
    <xf numFmtId="0" fontId="132" fillId="0" borderId="0" xfId="474" applyFont="1" applyFill="1"/>
    <xf numFmtId="39" fontId="35" fillId="0" borderId="0" xfId="474" applyNumberFormat="1" applyFont="1" applyFill="1" applyBorder="1"/>
    <xf numFmtId="0" fontId="35" fillId="0" borderId="0" xfId="474" applyFont="1" applyFill="1" applyBorder="1"/>
    <xf numFmtId="0" fontId="35" fillId="0" borderId="11" xfId="474" applyFont="1" applyBorder="1" applyAlignment="1">
      <alignment horizontal="center" wrapText="1"/>
    </xf>
    <xf numFmtId="0" fontId="132" fillId="0" borderId="0" xfId="474" applyFont="1" applyAlignment="1">
      <alignment horizontal="left"/>
    </xf>
    <xf numFmtId="39" fontId="35" fillId="0" borderId="0" xfId="474" quotePrefix="1" applyNumberFormat="1" applyFont="1" applyAlignment="1">
      <alignment horizontal="center"/>
    </xf>
    <xf numFmtId="39" fontId="35" fillId="0" borderId="0" xfId="474" applyNumberFormat="1" applyFont="1"/>
    <xf numFmtId="39" fontId="35" fillId="0" borderId="0" xfId="474" applyNumberFormat="1" applyFont="1" applyBorder="1"/>
    <xf numFmtId="164" fontId="35" fillId="0" borderId="0" xfId="382" quotePrefix="1" applyNumberFormat="1" applyFont="1" applyAlignment="1">
      <alignment horizontal="center"/>
    </xf>
    <xf numFmtId="0" fontId="35" fillId="0" borderId="0" xfId="0" quotePrefix="1" applyFont="1"/>
    <xf numFmtId="0" fontId="35" fillId="0" borderId="0" xfId="474" applyFont="1" applyAlignment="1">
      <alignment horizontal="center" wrapText="1"/>
    </xf>
    <xf numFmtId="0" fontId="35" fillId="0" borderId="0" xfId="504" quotePrefix="1" applyFont="1" applyAlignment="1">
      <alignment horizontal="left"/>
    </xf>
    <xf numFmtId="164" fontId="39" fillId="0" borderId="0" xfId="382" quotePrefix="1" applyNumberFormat="1" applyFont="1" applyFill="1" applyBorder="1"/>
    <xf numFmtId="0" fontId="39" fillId="54" borderId="0" xfId="0" applyFont="1" applyFill="1"/>
    <xf numFmtId="164" fontId="39" fillId="0" borderId="30" xfId="382" quotePrefix="1" applyNumberFormat="1" applyFont="1" applyFill="1" applyBorder="1" applyAlignment="1"/>
    <xf numFmtId="164" fontId="39" fillId="0" borderId="61" xfId="382" quotePrefix="1" applyNumberFormat="1" applyFont="1" applyFill="1" applyBorder="1" applyAlignment="1"/>
    <xf numFmtId="164" fontId="39" fillId="0" borderId="62" xfId="382" quotePrefix="1" applyNumberFormat="1" applyFont="1" applyFill="1" applyBorder="1" applyAlignment="1"/>
    <xf numFmtId="17" fontId="35" fillId="37" borderId="0" xfId="0" applyNumberFormat="1" applyFont="1" applyFill="1" applyBorder="1" applyAlignment="1">
      <alignment horizontal="center"/>
    </xf>
    <xf numFmtId="10" fontId="35" fillId="37" borderId="0" xfId="678" applyNumberFormat="1" applyFont="1" applyFill="1" applyBorder="1"/>
    <xf numFmtId="164" fontId="105" fillId="0" borderId="0" xfId="0" applyNumberFormat="1" applyFont="1" applyFill="1"/>
    <xf numFmtId="164" fontId="35" fillId="37" borderId="0" xfId="382" applyNumberFormat="1" applyFont="1" applyFill="1" applyAlignment="1">
      <alignment horizontal="left"/>
    </xf>
    <xf numFmtId="164" fontId="35" fillId="0" borderId="0" xfId="382" applyNumberFormat="1" applyFont="1" applyFill="1" applyAlignment="1">
      <alignment horizontal="left"/>
    </xf>
    <xf numFmtId="0" fontId="0" fillId="0" borderId="0" xfId="0" applyBorder="1"/>
    <xf numFmtId="164" fontId="0" fillId="0" borderId="0" xfId="382" applyNumberFormat="1" applyFont="1" applyBorder="1"/>
    <xf numFmtId="0" fontId="11" fillId="37" borderId="0" xfId="11271" applyFont="1" applyFill="1" applyAlignment="1">
      <alignment horizontal="left" indent="1"/>
    </xf>
    <xf numFmtId="0" fontId="8" fillId="37" borderId="0" xfId="11271" applyFont="1" applyFill="1"/>
    <xf numFmtId="0" fontId="8" fillId="37" borderId="18" xfId="11271" applyFont="1" applyFill="1" applyBorder="1"/>
    <xf numFmtId="164" fontId="1" fillId="37" borderId="0" xfId="382" applyNumberFormat="1" applyFont="1" applyFill="1"/>
    <xf numFmtId="37" fontId="49" fillId="0" borderId="0" xfId="0" applyNumberFormat="1" applyFont="1" applyBorder="1" applyAlignment="1">
      <alignment horizontal="left"/>
    </xf>
    <xf numFmtId="37" fontId="49" fillId="0" borderId="0" xfId="0" applyNumberFormat="1" applyFont="1" applyAlignment="1">
      <alignment horizontal="left"/>
    </xf>
    <xf numFmtId="164" fontId="37" fillId="0" borderId="0" xfId="382" applyNumberFormat="1" applyFont="1" applyFill="1" applyAlignment="1">
      <alignment vertical="top"/>
    </xf>
    <xf numFmtId="164" fontId="39" fillId="0" borderId="0" xfId="382" applyNumberFormat="1" applyFont="1" applyFill="1" applyAlignment="1">
      <alignment vertical="top"/>
    </xf>
    <xf numFmtId="164" fontId="39" fillId="0" borderId="0" xfId="382" applyNumberFormat="1" applyFont="1" applyAlignment="1"/>
    <xf numFmtId="164" fontId="115" fillId="0" borderId="0" xfId="382" applyNumberFormat="1" applyFont="1" applyFill="1" applyAlignment="1">
      <alignment horizontal="justify" vertical="center"/>
    </xf>
    <xf numFmtId="164" fontId="39" fillId="0" borderId="0" xfId="382" applyNumberFormat="1" applyFont="1" applyAlignment="1">
      <alignment vertical="top"/>
    </xf>
    <xf numFmtId="164" fontId="39" fillId="0" borderId="28" xfId="382" quotePrefix="1" applyNumberFormat="1" applyFont="1" applyFill="1" applyBorder="1" applyAlignment="1">
      <alignment horizontal="right"/>
    </xf>
    <xf numFmtId="3" fontId="39" fillId="0" borderId="35" xfId="0" quotePrefix="1" applyNumberFormat="1" applyFont="1" applyBorder="1" applyAlignment="1"/>
    <xf numFmtId="0" fontId="1" fillId="0" borderId="0" xfId="496" applyFont="1"/>
    <xf numFmtId="10" fontId="35" fillId="0" borderId="0" xfId="674" applyNumberFormat="1" applyFont="1"/>
    <xf numFmtId="0" fontId="0" fillId="0" borderId="0" xfId="0" applyFill="1"/>
    <xf numFmtId="164" fontId="0" fillId="0" borderId="0" xfId="37699" applyNumberFormat="1" applyFont="1" applyFill="1"/>
    <xf numFmtId="0" fontId="35" fillId="0" borderId="0" xfId="0" applyFont="1" applyFill="1" applyAlignment="1">
      <alignment horizontal="center"/>
    </xf>
    <xf numFmtId="0" fontId="35" fillId="0" borderId="0" xfId="0" applyFont="1" applyFill="1" applyAlignment="1">
      <alignment horizontal="left"/>
    </xf>
    <xf numFmtId="43" fontId="35" fillId="0" borderId="0" xfId="382" applyFont="1" applyFill="1" applyAlignment="1">
      <alignment horizontal="center"/>
    </xf>
    <xf numFmtId="0" fontId="36" fillId="0" borderId="18" xfId="0" applyFont="1" applyBorder="1" applyAlignment="1">
      <alignment horizontal="center" vertical="top" wrapText="1"/>
    </xf>
    <xf numFmtId="0" fontId="36" fillId="0" borderId="0" xfId="0" applyFont="1" applyAlignment="1">
      <alignment horizontal="center" vertical="top" wrapText="1"/>
    </xf>
    <xf numFmtId="0" fontId="0" fillId="0" borderId="0" xfId="0" applyAlignment="1">
      <alignment vertical="top" wrapText="1"/>
    </xf>
    <xf numFmtId="0" fontId="0" fillId="0" borderId="0" xfId="0" applyFill="1" applyAlignment="1">
      <alignment vertical="top"/>
    </xf>
    <xf numFmtId="43" fontId="105" fillId="0" borderId="0" xfId="403" applyFont="1" applyFill="1" applyAlignment="1">
      <alignment horizontal="left" vertical="top"/>
    </xf>
    <xf numFmtId="0" fontId="129" fillId="0" borderId="0" xfId="0" applyFont="1" applyFill="1" applyAlignment="1">
      <alignment vertical="top"/>
    </xf>
    <xf numFmtId="43" fontId="105" fillId="0" borderId="0" xfId="382" applyFont="1" applyFill="1" applyAlignment="1">
      <alignment horizontal="center" vertical="top"/>
    </xf>
    <xf numFmtId="43" fontId="105" fillId="0" borderId="0" xfId="382" applyFont="1" applyAlignment="1">
      <alignment horizontal="center" vertical="top"/>
    </xf>
    <xf numFmtId="43" fontId="35" fillId="0" borderId="0" xfId="382" applyFont="1" applyAlignment="1">
      <alignment horizontal="center"/>
    </xf>
    <xf numFmtId="43" fontId="105" fillId="0" borderId="0" xfId="382" applyFont="1" applyAlignment="1"/>
    <xf numFmtId="164" fontId="35" fillId="51" borderId="0" xfId="382" applyNumberFormat="1" applyFont="1" applyFill="1" applyAlignment="1"/>
    <xf numFmtId="164" fontId="35" fillId="51" borderId="0" xfId="382" applyNumberFormat="1" applyFont="1" applyFill="1"/>
    <xf numFmtId="164" fontId="35" fillId="51" borderId="18" xfId="382" applyNumberFormat="1" applyFont="1" applyFill="1" applyBorder="1"/>
    <xf numFmtId="164" fontId="35" fillId="51" borderId="18" xfId="382" applyNumberFormat="1" applyFont="1" applyFill="1" applyBorder="1" applyAlignment="1"/>
    <xf numFmtId="0" fontId="76" fillId="0" borderId="0" xfId="0" applyFont="1" applyBorder="1" applyAlignment="1">
      <alignment horizontal="center"/>
    </xf>
    <xf numFmtId="10" fontId="0" fillId="0" borderId="0" xfId="674" applyNumberFormat="1" applyFont="1" applyFill="1" applyBorder="1"/>
    <xf numFmtId="0" fontId="0" fillId="0" borderId="0" xfId="0" applyAlignment="1">
      <alignment horizontal="center" wrapText="1"/>
    </xf>
    <xf numFmtId="0" fontId="0" fillId="0" borderId="0" xfId="0" applyAlignment="1">
      <alignment horizontal="left" wrapText="1" indent="1"/>
    </xf>
    <xf numFmtId="43" fontId="105" fillId="0" borderId="0" xfId="382" applyFont="1" applyAlignment="1">
      <alignment horizontal="left" wrapText="1" indent="1"/>
    </xf>
    <xf numFmtId="0" fontId="0" fillId="0" borderId="0" xfId="0" quotePrefix="1" applyAlignment="1">
      <alignment horizontal="left" wrapText="1" indent="1"/>
    </xf>
    <xf numFmtId="0" fontId="0" fillId="0" borderId="0" xfId="0" applyAlignment="1">
      <alignment horizontal="left" vertical="top" wrapText="1" indent="1"/>
    </xf>
    <xf numFmtId="0" fontId="0" fillId="0" borderId="0" xfId="0" applyFill="1" applyAlignment="1">
      <alignment horizontal="center" vertical="top"/>
    </xf>
    <xf numFmtId="164" fontId="0" fillId="0" borderId="0" xfId="37699" applyNumberFormat="1" applyFont="1" applyFill="1" applyAlignment="1">
      <alignment vertical="top"/>
    </xf>
    <xf numFmtId="164" fontId="0" fillId="0" borderId="18" xfId="37699" applyNumberFormat="1" applyFont="1" applyFill="1" applyBorder="1" applyAlignment="1">
      <alignment vertical="top"/>
    </xf>
    <xf numFmtId="164" fontId="0" fillId="0" borderId="0" xfId="382" applyNumberFormat="1" applyFont="1" applyFill="1" applyAlignment="1">
      <alignment vertical="top"/>
    </xf>
    <xf numFmtId="0" fontId="0" fillId="0" borderId="0" xfId="0" applyAlignment="1">
      <alignment horizontal="center" vertical="top"/>
    </xf>
    <xf numFmtId="164" fontId="0" fillId="0" borderId="0" xfId="0" applyNumberFormat="1"/>
    <xf numFmtId="0" fontId="35" fillId="0" borderId="0" xfId="474" applyFont="1" applyAlignment="1">
      <alignment horizontal="center" vertical="top"/>
    </xf>
    <xf numFmtId="0" fontId="0" fillId="0" borderId="0" xfId="0" applyFill="1" applyAlignment="1">
      <alignment vertical="top" wrapText="1"/>
    </xf>
    <xf numFmtId="10" fontId="0" fillId="51" borderId="18" xfId="674" applyNumberFormat="1" applyFont="1" applyFill="1" applyBorder="1"/>
    <xf numFmtId="3" fontId="35" fillId="0" borderId="0" xfId="11265" quotePrefix="1" applyNumberFormat="1" applyFont="1" applyFill="1" applyAlignment="1">
      <alignment horizontal="center" vertical="top"/>
    </xf>
    <xf numFmtId="0" fontId="35" fillId="0" borderId="0" xfId="474" applyFont="1" applyAlignment="1">
      <alignment vertical="top"/>
    </xf>
    <xf numFmtId="0" fontId="121" fillId="0" borderId="0" xfId="0" applyFont="1" applyAlignment="1">
      <alignment horizontal="center" vertical="top"/>
    </xf>
    <xf numFmtId="0" fontId="134" fillId="0" borderId="0" xfId="0" applyFont="1" applyAlignment="1">
      <alignment horizontal="center" vertical="top" wrapText="1"/>
    </xf>
    <xf numFmtId="0" fontId="76" fillId="0" borderId="0" xfId="0" applyFont="1" applyAlignment="1">
      <alignment horizontal="center" vertical="top"/>
    </xf>
    <xf numFmtId="0" fontId="35" fillId="0" borderId="0" xfId="0" applyFont="1" applyFill="1" applyAlignment="1">
      <alignment horizontal="center"/>
    </xf>
    <xf numFmtId="0" fontId="35" fillId="0" borderId="0" xfId="0" applyFont="1" applyAlignment="1">
      <alignment horizontal="center"/>
    </xf>
    <xf numFmtId="0" fontId="35" fillId="0" borderId="0" xfId="474" applyFont="1" applyFill="1" applyAlignment="1">
      <alignment horizontal="center"/>
    </xf>
    <xf numFmtId="3" fontId="35" fillId="0" borderId="0" xfId="11265" quotePrefix="1" applyNumberFormat="1" applyFont="1" applyFill="1" applyAlignment="1">
      <alignment horizontal="center"/>
    </xf>
    <xf numFmtId="0" fontId="35" fillId="0" borderId="0" xfId="474" quotePrefix="1" applyFont="1" applyFill="1" applyAlignment="1">
      <alignment horizontal="center"/>
    </xf>
    <xf numFmtId="0" fontId="35" fillId="0" borderId="0" xfId="0" applyFont="1" applyFill="1" applyAlignment="1">
      <alignment horizontal="left"/>
    </xf>
    <xf numFmtId="164" fontId="0" fillId="0" borderId="0" xfId="37699" applyNumberFormat="1" applyFont="1" applyFill="1" applyBorder="1" applyAlignment="1">
      <alignment horizontal="centerContinuous" vertical="top"/>
    </xf>
    <xf numFmtId="164" fontId="0" fillId="0" borderId="18" xfId="37699" applyNumberFormat="1" applyFont="1" applyFill="1" applyBorder="1"/>
    <xf numFmtId="164" fontId="0" fillId="0" borderId="0" xfId="37699" applyNumberFormat="1" applyFont="1" applyFill="1" applyBorder="1" applyAlignment="1">
      <alignment horizontal="left" vertical="top"/>
    </xf>
    <xf numFmtId="0" fontId="134" fillId="0" borderId="0" xfId="0" applyFont="1" applyFill="1" applyAlignment="1">
      <alignment horizontal="center" vertical="top" wrapText="1"/>
    </xf>
    <xf numFmtId="0" fontId="0" fillId="0" borderId="0" xfId="0" applyFill="1" applyAlignment="1">
      <alignment horizontal="left" vertical="top"/>
    </xf>
    <xf numFmtId="0" fontId="0" fillId="0" borderId="0" xfId="0" quotePrefix="1" applyFill="1" applyAlignment="1">
      <alignment vertical="top"/>
    </xf>
    <xf numFmtId="0" fontId="0" fillId="0" borderId="0" xfId="0" quotePrefix="1" applyFill="1" applyAlignment="1">
      <alignment horizontal="left" vertical="top"/>
    </xf>
    <xf numFmtId="0" fontId="0" fillId="0" borderId="0" xfId="0" quotePrefix="1" applyFill="1" applyAlignment="1">
      <alignment horizontal="center"/>
    </xf>
    <xf numFmtId="43" fontId="35" fillId="0" borderId="0" xfId="382" applyFont="1" applyAlignment="1">
      <alignment horizontal="left" indent="1"/>
    </xf>
    <xf numFmtId="164" fontId="119" fillId="0" borderId="0" xfId="0" applyNumberFormat="1" applyFont="1"/>
    <xf numFmtId="0" fontId="76" fillId="0" borderId="0" xfId="0" applyFont="1" applyAlignment="1">
      <alignment horizontal="center"/>
    </xf>
    <xf numFmtId="10" fontId="0" fillId="0" borderId="0" xfId="31558" applyNumberFormat="1" applyFont="1" applyAlignment="1">
      <alignment horizontal="center"/>
    </xf>
    <xf numFmtId="10" fontId="35" fillId="0" borderId="0" xfId="674" applyNumberFormat="1" applyFont="1" applyFill="1" applyAlignment="1">
      <alignment horizontal="center"/>
    </xf>
    <xf numFmtId="0" fontId="82" fillId="0" borderId="0" xfId="37696" applyNumberFormat="1" applyFont="1" applyFill="1" applyAlignment="1" applyProtection="1">
      <alignment horizontal="center"/>
      <protection locked="0"/>
    </xf>
    <xf numFmtId="0" fontId="39" fillId="0" borderId="0" xfId="0" applyNumberFormat="1" applyFont="1" applyFill="1" applyAlignment="1">
      <alignment horizontal="left" vertical="top" wrapText="1"/>
    </xf>
    <xf numFmtId="0" fontId="37" fillId="0" borderId="0" xfId="0" applyNumberFormat="1" applyFont="1" applyBorder="1" applyAlignment="1">
      <alignment horizontal="center"/>
    </xf>
    <xf numFmtId="0" fontId="35" fillId="0" borderId="0" xfId="0" applyFont="1" applyFill="1" applyAlignment="1">
      <alignment horizontal="center"/>
    </xf>
    <xf numFmtId="0" fontId="35" fillId="0" borderId="0" xfId="0" applyFont="1" applyAlignment="1">
      <alignment horizontal="center" vertical="top"/>
    </xf>
    <xf numFmtId="43" fontId="105" fillId="0" borderId="0" xfId="382" applyFont="1" applyAlignment="1">
      <alignment horizontal="center"/>
    </xf>
    <xf numFmtId="0" fontId="35" fillId="0" borderId="0" xfId="0" applyFont="1" applyFill="1" applyAlignment="1">
      <alignment horizontal="center" vertical="top"/>
    </xf>
    <xf numFmtId="0" fontId="35" fillId="0" borderId="0" xfId="0" quotePrefix="1" applyFont="1" applyFill="1" applyAlignment="1">
      <alignment horizontal="center"/>
    </xf>
    <xf numFmtId="0" fontId="35" fillId="0" borderId="0" xfId="0" applyFont="1" applyAlignment="1">
      <alignment horizontal="center" vertical="center"/>
    </xf>
    <xf numFmtId="0" fontId="35" fillId="0" borderId="0" xfId="0" applyFont="1" applyFill="1" applyAlignment="1">
      <alignment horizontal="left"/>
    </xf>
    <xf numFmtId="43" fontId="35" fillId="0" borderId="18" xfId="382" applyFont="1" applyFill="1" applyBorder="1" applyAlignment="1">
      <alignment horizontal="center"/>
    </xf>
    <xf numFmtId="0" fontId="35" fillId="0" borderId="0" xfId="0" applyFont="1" applyFill="1" applyAlignment="1">
      <alignment horizontal="center" vertical="top" wrapText="1"/>
    </xf>
    <xf numFmtId="0" fontId="82" fillId="0" borderId="0" xfId="37696" applyNumberFormat="1" applyFont="1" applyFill="1" applyAlignment="1">
      <alignment horizontal="center"/>
    </xf>
    <xf numFmtId="3" fontId="95" fillId="0" borderId="0" xfId="37696" applyNumberFormat="1" applyFont="1" applyFill="1" applyAlignment="1">
      <alignment horizontal="left" vertical="top" wrapText="1"/>
    </xf>
    <xf numFmtId="0" fontId="82" fillId="0" borderId="0" xfId="37696" applyNumberFormat="1" applyFont="1" applyFill="1" applyAlignment="1" applyProtection="1">
      <alignment horizontal="center"/>
      <protection locked="0"/>
    </xf>
    <xf numFmtId="0" fontId="46" fillId="0" borderId="0" xfId="0" applyFont="1" applyAlignment="1">
      <alignment horizontal="center"/>
    </xf>
    <xf numFmtId="0" fontId="45" fillId="0" borderId="0" xfId="0" applyFont="1" applyAlignment="1">
      <alignment horizontal="center"/>
    </xf>
    <xf numFmtId="0" fontId="39" fillId="0" borderId="0" xfId="0" applyFont="1" applyFill="1" applyAlignment="1">
      <alignment horizontal="left" vertical="top" wrapText="1"/>
    </xf>
    <xf numFmtId="0" fontId="37" fillId="0" borderId="0" xfId="0" applyNumberFormat="1" applyFont="1" applyBorder="1" applyAlignment="1">
      <alignment horizontal="center"/>
    </xf>
    <xf numFmtId="0" fontId="39" fillId="0" borderId="0" xfId="0" applyFont="1" applyBorder="1" applyAlignment="1">
      <alignment horizontal="center" wrapText="1"/>
    </xf>
    <xf numFmtId="0" fontId="39" fillId="0" borderId="18" xfId="0" applyFont="1" applyBorder="1" applyAlignment="1">
      <alignment horizontal="center" wrapText="1"/>
    </xf>
    <xf numFmtId="3" fontId="39" fillId="0" borderId="35" xfId="0" applyNumberFormat="1" applyFont="1" applyBorder="1" applyAlignment="1">
      <alignment horizontal="center" vertical="top"/>
    </xf>
    <xf numFmtId="3" fontId="39" fillId="0" borderId="37" xfId="0" applyNumberFormat="1" applyFont="1" applyBorder="1" applyAlignment="1">
      <alignment horizontal="center" vertical="top"/>
    </xf>
    <xf numFmtId="0" fontId="39" fillId="0" borderId="0" xfId="0" applyFont="1" applyFill="1" applyBorder="1" applyAlignment="1">
      <alignment horizontal="left" vertical="top"/>
    </xf>
    <xf numFmtId="0" fontId="37" fillId="0" borderId="47" xfId="0" applyNumberFormat="1" applyFont="1" applyBorder="1" applyAlignment="1">
      <alignment horizontal="left" vertical="center" wrapText="1"/>
    </xf>
    <xf numFmtId="0" fontId="133" fillId="0" borderId="47" xfId="0" applyNumberFormat="1" applyFont="1" applyBorder="1" applyAlignment="1">
      <alignment horizontal="left" vertical="center" wrapText="1"/>
    </xf>
    <xf numFmtId="0" fontId="39" fillId="0" borderId="0" xfId="0" quotePrefix="1" applyNumberFormat="1" applyFont="1" applyFill="1" applyBorder="1" applyAlignment="1">
      <alignment horizontal="left" vertical="top" wrapText="1"/>
    </xf>
    <xf numFmtId="0" fontId="39" fillId="0" borderId="0" xfId="0" applyFont="1" applyFill="1" applyBorder="1" applyAlignment="1">
      <alignment horizontal="left" vertical="top" wrapText="1"/>
    </xf>
    <xf numFmtId="0" fontId="39" fillId="0" borderId="0" xfId="0" applyNumberFormat="1" applyFont="1" applyFill="1" applyAlignment="1">
      <alignment horizontal="left" vertical="top"/>
    </xf>
    <xf numFmtId="169" fontId="39" fillId="0" borderId="0" xfId="590" applyFont="1" applyFill="1" applyAlignment="1" applyProtection="1">
      <alignment horizontal="left" vertical="top" wrapText="1"/>
      <protection locked="0"/>
    </xf>
    <xf numFmtId="0" fontId="39" fillId="0" borderId="0" xfId="0" applyNumberFormat="1" applyFont="1" applyFill="1" applyAlignment="1">
      <alignment horizontal="left" vertical="top" wrapText="1"/>
    </xf>
    <xf numFmtId="0" fontId="39" fillId="0" borderId="0" xfId="0" applyFont="1" applyFill="1" applyAlignment="1">
      <alignment horizontal="left" vertical="top"/>
    </xf>
    <xf numFmtId="0" fontId="37" fillId="0" borderId="0" xfId="0" applyNumberFormat="1" applyFont="1" applyFill="1" applyAlignment="1">
      <alignment horizontal="center" vertical="top" wrapText="1"/>
    </xf>
    <xf numFmtId="0" fontId="39" fillId="33" borderId="0" xfId="0" applyFont="1" applyFill="1" applyAlignment="1">
      <alignment horizontal="left" wrapText="1"/>
    </xf>
    <xf numFmtId="0" fontId="35" fillId="0" borderId="0" xfId="0" applyFont="1" applyFill="1" applyAlignment="1">
      <alignment horizontal="center"/>
    </xf>
    <xf numFmtId="0" fontId="35" fillId="0" borderId="0" xfId="0" applyFont="1" applyFill="1" applyAlignment="1">
      <alignment horizontal="center" wrapText="1"/>
    </xf>
    <xf numFmtId="0" fontId="35" fillId="0" borderId="0" xfId="0" applyFont="1" applyFill="1" applyAlignment="1">
      <alignment horizontal="left" vertical="top" wrapText="1"/>
    </xf>
    <xf numFmtId="0" fontId="35" fillId="0" borderId="0" xfId="0" applyFont="1" applyAlignment="1">
      <alignment horizontal="left" wrapText="1"/>
    </xf>
    <xf numFmtId="43" fontId="35" fillId="0" borderId="18" xfId="382" applyFont="1" applyFill="1" applyBorder="1" applyAlignment="1">
      <alignment horizontal="left"/>
    </xf>
    <xf numFmtId="0" fontId="35" fillId="0" borderId="0" xfId="504" applyFont="1" applyFill="1" applyBorder="1" applyAlignment="1">
      <alignment horizontal="left" vertical="top" wrapText="1"/>
    </xf>
    <xf numFmtId="0" fontId="35" fillId="0" borderId="0" xfId="0" applyFont="1" applyFill="1" applyAlignment="1">
      <alignment horizontal="left" wrapText="1"/>
    </xf>
    <xf numFmtId="43" fontId="35" fillId="0" borderId="0" xfId="0" applyNumberFormat="1" applyFont="1" applyFill="1" applyAlignment="1">
      <alignment horizontal="left"/>
    </xf>
    <xf numFmtId="0" fontId="35" fillId="0" borderId="0" xfId="0" applyFont="1" applyAlignment="1">
      <alignment horizontal="center"/>
    </xf>
    <xf numFmtId="0" fontId="35" fillId="0" borderId="0" xfId="0" applyFont="1" applyFill="1" applyBorder="1" applyAlignment="1">
      <alignment horizontal="center" wrapText="1"/>
    </xf>
    <xf numFmtId="0" fontId="122" fillId="0" borderId="0" xfId="0" applyFont="1" applyFill="1" applyAlignment="1">
      <alignment horizontal="left" vertical="center" wrapText="1"/>
    </xf>
    <xf numFmtId="0" fontId="35" fillId="0" borderId="0" xfId="0" applyFont="1" applyFill="1" applyBorder="1" applyAlignment="1">
      <alignment horizontal="left" vertical="top" wrapText="1"/>
    </xf>
    <xf numFmtId="0" fontId="35" fillId="0" borderId="0" xfId="504" applyFont="1" applyFill="1" applyAlignment="1">
      <alignment horizontal="left" vertical="top" wrapText="1"/>
    </xf>
    <xf numFmtId="0" fontId="35" fillId="0" borderId="0" xfId="504" applyFont="1" applyFill="1" applyBorder="1" applyAlignment="1">
      <alignment horizontal="left"/>
    </xf>
    <xf numFmtId="0" fontId="35" fillId="0" borderId="0" xfId="504" applyFont="1" applyBorder="1" applyAlignment="1">
      <alignment horizontal="left" vertical="top" wrapText="1"/>
    </xf>
    <xf numFmtId="0" fontId="20" fillId="0" borderId="0" xfId="11271" applyFont="1" applyFill="1" applyAlignment="1">
      <alignment horizontal="left" wrapText="1"/>
    </xf>
    <xf numFmtId="0" fontId="35" fillId="0" borderId="0" xfId="0" applyFont="1" applyAlignment="1">
      <alignment horizontal="center" vertical="top"/>
    </xf>
    <xf numFmtId="0" fontId="49" fillId="0" borderId="0" xfId="11272" applyFont="1" applyAlignment="1">
      <alignment horizontal="center"/>
    </xf>
    <xf numFmtId="0" fontId="49" fillId="0" borderId="0" xfId="474" quotePrefix="1" applyFont="1" applyFill="1" applyAlignment="1">
      <alignment horizontal="center"/>
    </xf>
    <xf numFmtId="0" fontId="35" fillId="0" borderId="0" xfId="474" applyFont="1" applyAlignment="1">
      <alignment horizontal="left" vertical="top" wrapText="1"/>
    </xf>
    <xf numFmtId="0" fontId="35" fillId="0" borderId="0" xfId="474" applyFont="1" applyFill="1" applyAlignment="1">
      <alignment horizontal="center"/>
    </xf>
    <xf numFmtId="3" fontId="35" fillId="0" borderId="0" xfId="11265" quotePrefix="1" applyNumberFormat="1" applyFont="1" applyFill="1" applyAlignment="1">
      <alignment horizontal="center"/>
    </xf>
    <xf numFmtId="0" fontId="35" fillId="0" borderId="0" xfId="474" applyFont="1" applyFill="1" applyAlignment="1">
      <alignment horizontal="left" vertical="top" wrapText="1"/>
    </xf>
    <xf numFmtId="0" fontId="0" fillId="0" borderId="0" xfId="0" applyFill="1" applyAlignment="1">
      <alignment horizontal="left" vertical="top"/>
    </xf>
    <xf numFmtId="0" fontId="0" fillId="0" borderId="0" xfId="0" applyFill="1" applyAlignment="1">
      <alignment horizontal="left" vertical="top" wrapText="1"/>
    </xf>
    <xf numFmtId="0" fontId="35" fillId="0" borderId="0" xfId="569" applyFont="1" applyFill="1" applyBorder="1" applyAlignment="1">
      <alignment horizontal="center" vertical="top"/>
    </xf>
    <xf numFmtId="0" fontId="35" fillId="0" borderId="0" xfId="564" quotePrefix="1" applyFont="1" applyFill="1" applyBorder="1" applyAlignment="1">
      <alignment horizontal="center" vertical="top"/>
    </xf>
    <xf numFmtId="0" fontId="36" fillId="0" borderId="0" xfId="0" applyFont="1" applyAlignment="1">
      <alignment horizontal="center" vertical="top"/>
    </xf>
    <xf numFmtId="0" fontId="36" fillId="0" borderId="0" xfId="0" applyFont="1" applyFill="1" applyAlignment="1">
      <alignment horizontal="center" vertical="top"/>
    </xf>
    <xf numFmtId="164" fontId="106" fillId="0" borderId="0" xfId="382" applyNumberFormat="1" applyFont="1" applyFill="1" applyAlignment="1">
      <alignment horizontal="center" vertical="top"/>
    </xf>
    <xf numFmtId="0" fontId="36" fillId="0" borderId="24" xfId="0" applyFont="1" applyFill="1" applyBorder="1" applyAlignment="1">
      <alignment horizontal="left" vertical="top" wrapText="1"/>
    </xf>
    <xf numFmtId="0" fontId="36" fillId="0" borderId="0" xfId="0" applyFont="1" applyFill="1" applyAlignment="1">
      <alignment horizontal="left" vertical="top" wrapText="1"/>
    </xf>
    <xf numFmtId="43" fontId="106" fillId="0" borderId="0" xfId="382" applyFont="1" applyFill="1" applyBorder="1" applyAlignment="1">
      <alignment horizontal="center" vertical="top"/>
    </xf>
    <xf numFmtId="43" fontId="106" fillId="0" borderId="35" xfId="382" applyFont="1" applyFill="1" applyBorder="1" applyAlignment="1">
      <alignment horizontal="center" vertical="top"/>
    </xf>
    <xf numFmtId="43" fontId="106" fillId="0" borderId="54" xfId="382" applyFont="1" applyFill="1" applyBorder="1" applyAlignment="1">
      <alignment horizontal="center" vertical="top"/>
    </xf>
    <xf numFmtId="164" fontId="106" fillId="0" borderId="54" xfId="382" applyNumberFormat="1" applyFont="1" applyFill="1" applyBorder="1" applyAlignment="1">
      <alignment horizontal="center" vertical="top"/>
    </xf>
    <xf numFmtId="164" fontId="106" fillId="0" borderId="0" xfId="382" applyNumberFormat="1" applyFont="1" applyFill="1" applyBorder="1" applyAlignment="1">
      <alignment horizontal="center" vertical="top"/>
    </xf>
    <xf numFmtId="0" fontId="35" fillId="0" borderId="0" xfId="0" applyFont="1" applyBorder="1" applyAlignment="1">
      <alignment horizontal="left" vertical="top" wrapText="1"/>
    </xf>
    <xf numFmtId="0" fontId="36" fillId="0" borderId="0" xfId="0" applyFont="1" applyFill="1" applyBorder="1" applyAlignment="1">
      <alignment horizontal="left" vertical="top" wrapText="1"/>
    </xf>
    <xf numFmtId="43" fontId="106" fillId="0" borderId="0" xfId="382" applyFont="1" applyFill="1" applyAlignment="1">
      <alignment horizontal="center" vertical="top"/>
    </xf>
    <xf numFmtId="0" fontId="35" fillId="0" borderId="0" xfId="0" applyFont="1" applyFill="1" applyBorder="1" applyAlignment="1">
      <alignment horizontal="left" vertical="top"/>
    </xf>
    <xf numFmtId="164" fontId="106" fillId="0" borderId="44" xfId="382" applyNumberFormat="1" applyFont="1" applyFill="1" applyBorder="1" applyAlignment="1">
      <alignment horizontal="center" vertical="top"/>
    </xf>
    <xf numFmtId="164" fontId="106" fillId="0" borderId="35" xfId="382" applyNumberFormat="1" applyFont="1" applyFill="1" applyBorder="1" applyAlignment="1">
      <alignment horizontal="center" vertical="top"/>
    </xf>
    <xf numFmtId="0" fontId="49" fillId="0" borderId="0" xfId="0" applyFont="1" applyFill="1" applyAlignment="1">
      <alignment horizontal="center"/>
    </xf>
    <xf numFmtId="0" fontId="0" fillId="0" borderId="0" xfId="0" applyAlignment="1">
      <alignment horizontal="left" vertical="top" wrapText="1"/>
    </xf>
    <xf numFmtId="0" fontId="35" fillId="0" borderId="0" xfId="0" applyFont="1" applyFill="1" applyAlignment="1">
      <alignment horizontal="left" vertical="center" wrapText="1"/>
    </xf>
    <xf numFmtId="43" fontId="113" fillId="0" borderId="0" xfId="382" applyFont="1" applyFill="1" applyAlignment="1">
      <alignment horizontal="center" wrapText="1"/>
    </xf>
    <xf numFmtId="43" fontId="4" fillId="0" borderId="0" xfId="382" applyFont="1" applyFill="1" applyBorder="1" applyAlignment="1">
      <alignment horizontal="center" wrapText="1"/>
    </xf>
    <xf numFmtId="43" fontId="4" fillId="0" borderId="18" xfId="382" applyFont="1" applyFill="1" applyBorder="1" applyAlignment="1">
      <alignment horizontal="center" wrapText="1"/>
    </xf>
    <xf numFmtId="0" fontId="11" fillId="0" borderId="0" xfId="11271" applyFont="1" applyFill="1" applyAlignment="1">
      <alignment horizontal="left" wrapText="1"/>
    </xf>
    <xf numFmtId="185" fontId="36" fillId="0" borderId="0" xfId="474" applyNumberFormat="1" applyFont="1" applyAlignment="1" applyProtection="1">
      <alignment horizontal="center"/>
      <protection locked="0"/>
    </xf>
    <xf numFmtId="0" fontId="35" fillId="0" borderId="0" xfId="474" applyFont="1" applyAlignment="1" applyProtection="1">
      <alignment horizontal="center"/>
      <protection locked="0"/>
    </xf>
    <xf numFmtId="0" fontId="35" fillId="0" borderId="0" xfId="474" applyFont="1" applyFill="1" applyAlignment="1" applyProtection="1">
      <alignment horizontal="center"/>
      <protection locked="0"/>
    </xf>
    <xf numFmtId="0" fontId="35" fillId="0" borderId="0" xfId="484" applyFont="1" applyFill="1" applyAlignment="1">
      <alignment horizontal="left" vertical="top" wrapText="1"/>
    </xf>
    <xf numFmtId="0" fontId="35" fillId="0" borderId="0" xfId="0" quotePrefix="1" applyFont="1" applyFill="1" applyBorder="1" applyAlignment="1">
      <alignment horizontal="center" vertical="top"/>
    </xf>
    <xf numFmtId="0" fontId="35" fillId="0" borderId="0" xfId="11272" applyFont="1" applyAlignment="1">
      <alignment horizontal="center" vertical="top"/>
    </xf>
    <xf numFmtId="0" fontId="49" fillId="0" borderId="0" xfId="0" quotePrefix="1" applyFont="1" applyFill="1" applyAlignment="1">
      <alignment horizontal="center"/>
    </xf>
    <xf numFmtId="0" fontId="18" fillId="0" borderId="0" xfId="513" applyFont="1" applyFill="1" applyAlignment="1">
      <alignment horizontal="left" vertical="top" wrapText="1"/>
    </xf>
    <xf numFmtId="0" fontId="2" fillId="0" borderId="0" xfId="513" applyFont="1" applyFill="1" applyAlignment="1">
      <alignment horizontal="left" vertical="top" wrapText="1"/>
    </xf>
    <xf numFmtId="0" fontId="49" fillId="0" borderId="0" xfId="513" applyFont="1" applyAlignment="1">
      <alignment horizontal="center"/>
    </xf>
    <xf numFmtId="0" fontId="57" fillId="0" borderId="0" xfId="513" applyFont="1" applyBorder="1" applyAlignment="1">
      <alignment horizontal="center"/>
    </xf>
    <xf numFmtId="0" fontId="49" fillId="0" borderId="0" xfId="513" applyFont="1" applyFill="1" applyAlignment="1">
      <alignment horizontal="center"/>
    </xf>
    <xf numFmtId="0" fontId="49" fillId="0" borderId="0" xfId="11271" applyFont="1" applyAlignment="1">
      <alignment horizontal="center"/>
    </xf>
    <xf numFmtId="0" fontId="35" fillId="0" borderId="0" xfId="0" quotePrefix="1" applyFont="1" applyFill="1" applyBorder="1" applyAlignment="1">
      <alignment horizontal="left" vertical="top" wrapText="1"/>
    </xf>
    <xf numFmtId="0" fontId="35" fillId="0" borderId="0" xfId="11275" quotePrefix="1" applyFont="1" applyFill="1" applyBorder="1" applyAlignment="1">
      <alignment horizontal="center" vertical="top"/>
    </xf>
    <xf numFmtId="0" fontId="35" fillId="0" borderId="0" xfId="0" applyFont="1" applyAlignment="1">
      <alignment horizontal="left" vertical="top" wrapText="1"/>
    </xf>
    <xf numFmtId="0" fontId="35" fillId="0" borderId="0" xfId="11275" applyFont="1" applyFill="1" applyBorder="1" applyAlignment="1">
      <alignment horizontal="center" vertical="top"/>
    </xf>
    <xf numFmtId="164" fontId="35" fillId="0" borderId="6" xfId="11275" applyNumberFormat="1" applyFont="1" applyFill="1" applyBorder="1" applyAlignment="1">
      <alignment horizontal="center" vertical="top"/>
    </xf>
    <xf numFmtId="0" fontId="49" fillId="0" borderId="0" xfId="569" applyFont="1" applyFill="1" applyAlignment="1">
      <alignment horizontal="left" wrapText="1"/>
    </xf>
    <xf numFmtId="164" fontId="35" fillId="0" borderId="18" xfId="11275" applyNumberFormat="1" applyFont="1" applyFill="1" applyBorder="1" applyAlignment="1">
      <alignment horizontal="center" vertical="top"/>
    </xf>
    <xf numFmtId="0" fontId="35" fillId="0" borderId="0" xfId="569" quotePrefix="1" applyFont="1" applyFill="1" applyBorder="1" applyAlignment="1">
      <alignment horizontal="center" vertical="top"/>
    </xf>
    <xf numFmtId="0" fontId="49" fillId="0" borderId="0" xfId="11275" quotePrefix="1" applyFont="1" applyFill="1" applyAlignment="1">
      <alignment horizontal="left"/>
    </xf>
    <xf numFmtId="0" fontId="49" fillId="0" borderId="0" xfId="11275" applyFont="1" applyFill="1" applyAlignment="1">
      <alignment horizontal="left" vertical="top" wrapText="1"/>
    </xf>
    <xf numFmtId="0" fontId="49" fillId="0" borderId="54" xfId="569" applyFont="1" applyBorder="1" applyAlignment="1">
      <alignment horizontal="center"/>
    </xf>
    <xf numFmtId="0" fontId="49" fillId="0" borderId="0" xfId="569" applyFont="1" applyAlignment="1">
      <alignment horizontal="center"/>
    </xf>
    <xf numFmtId="0" fontId="0" fillId="0" borderId="0" xfId="0" applyAlignment="1">
      <alignment horizontal="left"/>
    </xf>
    <xf numFmtId="0" fontId="35" fillId="0" borderId="0" xfId="0" applyFont="1" applyFill="1" applyAlignment="1">
      <alignment wrapText="1"/>
    </xf>
    <xf numFmtId="0" fontId="35" fillId="0" borderId="0" xfId="0" applyFont="1" applyAlignment="1">
      <alignment wrapText="1"/>
    </xf>
    <xf numFmtId="43" fontId="105" fillId="0" borderId="0" xfId="382" applyFont="1" applyAlignment="1">
      <alignment horizontal="center"/>
    </xf>
    <xf numFmtId="0" fontId="35" fillId="0" borderId="0" xfId="0" applyFont="1" applyFill="1" applyAlignment="1">
      <alignment horizontal="center" vertical="top"/>
    </xf>
    <xf numFmtId="0" fontId="35" fillId="0" borderId="0" xfId="0" quotePrefix="1" applyFont="1" applyFill="1" applyAlignment="1">
      <alignment horizontal="center"/>
    </xf>
    <xf numFmtId="0" fontId="35" fillId="0" borderId="0" xfId="0" applyFont="1" applyAlignment="1">
      <alignment horizontal="center" vertical="center"/>
    </xf>
    <xf numFmtId="0" fontId="35" fillId="0" borderId="0" xfId="0" quotePrefix="1" applyFont="1" applyFill="1" applyAlignment="1">
      <alignment horizontal="center" wrapText="1"/>
    </xf>
    <xf numFmtId="43" fontId="35" fillId="0" borderId="18" xfId="382" applyFont="1" applyBorder="1" applyAlignment="1">
      <alignment horizontal="center"/>
    </xf>
    <xf numFmtId="0" fontId="12" fillId="0" borderId="18" xfId="0" applyFont="1" applyFill="1" applyBorder="1" applyAlignment="1">
      <alignment horizontal="center"/>
    </xf>
    <xf numFmtId="0" fontId="35" fillId="0" borderId="0" xfId="474" applyFont="1" applyAlignment="1">
      <alignment horizontal="center"/>
    </xf>
    <xf numFmtId="0" fontId="4" fillId="0" borderId="0" xfId="11271" applyFont="1" applyBorder="1" applyAlignment="1">
      <alignment horizontal="center" wrapText="1"/>
    </xf>
    <xf numFmtId="0" fontId="4" fillId="0" borderId="18" xfId="11271" applyFont="1" applyBorder="1" applyAlignment="1">
      <alignment horizontal="center" wrapText="1"/>
    </xf>
    <xf numFmtId="0" fontId="35" fillId="0" borderId="0" xfId="474" quotePrefix="1" applyFont="1" applyAlignment="1">
      <alignment horizontal="center"/>
    </xf>
    <xf numFmtId="0" fontId="35" fillId="0" borderId="4" xfId="474" applyFont="1" applyBorder="1" applyAlignment="1">
      <alignment horizontal="center"/>
    </xf>
    <xf numFmtId="0" fontId="35" fillId="0" borderId="6" xfId="474" applyFont="1" applyBorder="1" applyAlignment="1">
      <alignment horizontal="center"/>
    </xf>
    <xf numFmtId="0" fontId="35" fillId="0" borderId="21" xfId="474" applyFont="1" applyBorder="1" applyAlignment="1">
      <alignment horizontal="center"/>
    </xf>
    <xf numFmtId="0" fontId="35" fillId="0" borderId="0" xfId="474" quotePrefix="1" applyFont="1" applyAlignment="1">
      <alignment horizontal="center" vertical="top"/>
    </xf>
    <xf numFmtId="0" fontId="35" fillId="0" borderId="0" xfId="474" applyFont="1" applyAlignment="1">
      <alignment horizontal="center" vertical="top"/>
    </xf>
    <xf numFmtId="0" fontId="35" fillId="0" borderId="0" xfId="474" quotePrefix="1" applyFont="1" applyFill="1" applyAlignment="1">
      <alignment horizontal="center"/>
    </xf>
    <xf numFmtId="0" fontId="35" fillId="0" borderId="0" xfId="474" quotePrefix="1" applyFont="1" applyAlignment="1">
      <alignment horizontal="center" vertical="center"/>
    </xf>
    <xf numFmtId="0" fontId="35" fillId="0" borderId="0" xfId="474" applyFont="1" applyAlignment="1">
      <alignment horizontal="center" vertical="center"/>
    </xf>
    <xf numFmtId="0" fontId="18" fillId="0" borderId="0" xfId="0" applyFont="1" applyFill="1" applyAlignment="1">
      <alignment horizontal="left" vertical="top" wrapText="1"/>
    </xf>
    <xf numFmtId="0" fontId="35" fillId="0" borderId="0" xfId="0" applyFont="1" applyFill="1" applyAlignment="1">
      <alignment horizontal="left"/>
    </xf>
    <xf numFmtId="43" fontId="113" fillId="0" borderId="0" xfId="382" applyFont="1" applyFill="1" applyAlignment="1">
      <alignment horizontal="center"/>
    </xf>
    <xf numFmtId="43" fontId="35" fillId="0" borderId="18" xfId="382" applyFont="1" applyFill="1" applyBorder="1" applyAlignment="1">
      <alignment horizontal="center"/>
    </xf>
    <xf numFmtId="169" fontId="82" fillId="0" borderId="0" xfId="37694" applyFont="1" applyAlignment="1">
      <alignment horizontal="left" vertical="top" wrapText="1"/>
    </xf>
    <xf numFmtId="169" fontId="95" fillId="51" borderId="0" xfId="37694" applyFont="1" applyFill="1" applyAlignment="1">
      <alignment horizontal="center" vertical="center"/>
    </xf>
    <xf numFmtId="0" fontId="135" fillId="0" borderId="0" xfId="0" applyFont="1"/>
    <xf numFmtId="164" fontId="82" fillId="0" borderId="0" xfId="382" applyNumberFormat="1" applyFont="1" applyFill="1" applyAlignment="1"/>
    <xf numFmtId="0" fontId="136" fillId="0" borderId="0" xfId="37698" applyNumberFormat="1" applyFont="1" applyFill="1" applyAlignment="1" applyProtection="1">
      <alignment vertical="top" wrapText="1"/>
      <protection locked="0"/>
    </xf>
    <xf numFmtId="164" fontId="136" fillId="0" borderId="0" xfId="382" applyNumberFormat="1" applyFont="1" applyFill="1" applyAlignment="1" applyProtection="1">
      <alignment vertical="top" wrapText="1"/>
      <protection locked="0"/>
    </xf>
    <xf numFmtId="164" fontId="36" fillId="0" borderId="0" xfId="382" applyNumberFormat="1" applyFont="1" applyFill="1" applyAlignment="1">
      <alignment vertical="top"/>
    </xf>
    <xf numFmtId="164" fontId="45" fillId="0" borderId="0" xfId="382" applyNumberFormat="1" applyFont="1" applyFill="1" applyAlignment="1">
      <alignment vertical="top"/>
    </xf>
    <xf numFmtId="0" fontId="135" fillId="0" borderId="0" xfId="11279" applyFont="1"/>
    <xf numFmtId="0" fontId="111" fillId="0" borderId="0" xfId="0" applyFont="1" applyFill="1" applyBorder="1" applyAlignment="1">
      <alignment horizontal="center"/>
    </xf>
    <xf numFmtId="0" fontId="137" fillId="0" borderId="22" xfId="0" applyFont="1" applyBorder="1" applyAlignment="1">
      <alignment horizontal="left"/>
    </xf>
    <xf numFmtId="0" fontId="137" fillId="0" borderId="0" xfId="0" applyFont="1" applyBorder="1"/>
    <xf numFmtId="0" fontId="137" fillId="0" borderId="0" xfId="0" applyFont="1" applyFill="1" applyBorder="1"/>
    <xf numFmtId="0" fontId="37" fillId="33" borderId="0" xfId="0" applyNumberFormat="1" applyFont="1" applyFill="1" applyAlignment="1">
      <alignment horizontal="left"/>
    </xf>
    <xf numFmtId="0" fontId="39" fillId="0" borderId="35" xfId="0" quotePrefix="1" applyFont="1" applyFill="1" applyBorder="1" applyAlignment="1">
      <alignment horizontal="left" vertical="center"/>
    </xf>
    <xf numFmtId="0" fontId="39" fillId="0" borderId="0" xfId="0" quotePrefix="1" applyFont="1" applyFill="1" applyBorder="1" applyAlignment="1">
      <alignment horizontal="center"/>
    </xf>
    <xf numFmtId="0" fontId="39" fillId="0" borderId="18" xfId="0" quotePrefix="1" applyNumberFormat="1" applyFont="1" applyFill="1" applyBorder="1" applyAlignment="1">
      <alignment horizontal="center"/>
    </xf>
    <xf numFmtId="0" fontId="36" fillId="0" borderId="0" xfId="0" applyFont="1" applyFill="1"/>
    <xf numFmtId="164" fontId="36" fillId="0" borderId="0" xfId="382" quotePrefix="1" applyNumberFormat="1" applyFont="1" applyFill="1" applyAlignment="1">
      <alignment horizontal="center"/>
    </xf>
    <xf numFmtId="164" fontId="105" fillId="0" borderId="0" xfId="382" applyNumberFormat="1" applyFont="1"/>
    <xf numFmtId="43" fontId="35" fillId="0" borderId="0" xfId="382" quotePrefix="1" applyFont="1" applyFill="1" applyAlignment="1">
      <alignment horizontal="left"/>
    </xf>
    <xf numFmtId="0" fontId="138" fillId="0" borderId="0" xfId="0" applyFont="1" applyFill="1" applyAlignment="1">
      <alignment horizontal="left"/>
    </xf>
    <xf numFmtId="0" fontId="35" fillId="0" borderId="0" xfId="0" quotePrefix="1" applyFont="1" applyFill="1"/>
    <xf numFmtId="10" fontId="35" fillId="0" borderId="0" xfId="678" applyNumberFormat="1" applyFont="1" applyFill="1" applyBorder="1" applyAlignment="1">
      <alignment horizontal="left" vertical="top"/>
    </xf>
    <xf numFmtId="166" fontId="35" fillId="0" borderId="0" xfId="678" applyNumberFormat="1" applyFont="1" applyFill="1" applyBorder="1" applyAlignment="1">
      <alignment horizontal="left" vertical="top"/>
    </xf>
    <xf numFmtId="0" fontId="35" fillId="0" borderId="0" xfId="504" applyFont="1" applyFill="1" applyAlignment="1">
      <alignment horizontal="center"/>
    </xf>
    <xf numFmtId="0" fontId="35" fillId="0" borderId="0" xfId="504" applyFont="1" applyFill="1" applyAlignment="1"/>
    <xf numFmtId="0" fontId="35" fillId="0" borderId="0" xfId="511" applyFont="1" applyFill="1"/>
    <xf numFmtId="0" fontId="135" fillId="0" borderId="0" xfId="0" applyFont="1" applyFill="1" applyAlignment="1"/>
    <xf numFmtId="0" fontId="135" fillId="0" borderId="0" xfId="0" applyFont="1" applyFill="1" applyAlignment="1">
      <alignment horizontal="center" vertical="center" wrapText="1"/>
    </xf>
    <xf numFmtId="43" fontId="35" fillId="0" borderId="0" xfId="382" applyFont="1" applyFill="1" applyAlignment="1">
      <alignment wrapText="1"/>
    </xf>
    <xf numFmtId="43" fontId="35" fillId="0" borderId="0" xfId="382" applyFont="1" applyFill="1" applyAlignment="1">
      <alignment horizontal="left"/>
    </xf>
    <xf numFmtId="0" fontId="36" fillId="0" borderId="0" xfId="474" applyFont="1" applyFill="1"/>
    <xf numFmtId="0" fontId="35" fillId="0" borderId="0" xfId="474" applyFont="1" applyFill="1" applyBorder="1" applyAlignment="1">
      <alignment horizontal="center"/>
    </xf>
    <xf numFmtId="164" fontId="119" fillId="0" borderId="0" xfId="382" applyNumberFormat="1" applyFont="1" applyFill="1" applyBorder="1"/>
    <xf numFmtId="0" fontId="119" fillId="0" borderId="0" xfId="474" applyFont="1" applyFill="1"/>
    <xf numFmtId="0" fontId="119" fillId="0" borderId="0" xfId="474" applyFont="1" applyFill="1" applyBorder="1" applyAlignment="1">
      <alignment horizontal="center"/>
    </xf>
    <xf numFmtId="164" fontId="119" fillId="0" borderId="0" xfId="474" applyNumberFormat="1" applyFont="1" applyFill="1" applyBorder="1"/>
    <xf numFmtId="164" fontId="35" fillId="0" borderId="0" xfId="474" applyNumberFormat="1" applyFont="1" applyFill="1"/>
    <xf numFmtId="164" fontId="0" fillId="0" borderId="11" xfId="37699" applyNumberFormat="1" applyFont="1" applyFill="1" applyBorder="1" applyAlignment="1">
      <alignment horizontal="centerContinuous" vertical="top"/>
    </xf>
    <xf numFmtId="164" fontId="0" fillId="0" borderId="11" xfId="37699" applyNumberFormat="1" applyFont="1" applyFill="1" applyBorder="1" applyAlignment="1">
      <alignment horizontal="center" vertical="top" wrapText="1"/>
    </xf>
    <xf numFmtId="0" fontId="108" fillId="0" borderId="0" xfId="0" applyFont="1" applyFill="1" applyAlignment="1">
      <alignment vertical="top"/>
    </xf>
    <xf numFmtId="164" fontId="35" fillId="0" borderId="0" xfId="0" applyNumberFormat="1" applyFont="1" applyFill="1" applyAlignment="1">
      <alignment vertical="top"/>
    </xf>
    <xf numFmtId="14" fontId="35" fillId="0" borderId="0" xfId="0" quotePrefix="1" applyNumberFormat="1" applyFont="1" applyFill="1"/>
    <xf numFmtId="0" fontId="112" fillId="0" borderId="0" xfId="35157" applyFont="1" applyFill="1" applyBorder="1"/>
    <xf numFmtId="0" fontId="135" fillId="0" borderId="0" xfId="0" applyFont="1" applyAlignment="1"/>
    <xf numFmtId="0" fontId="135" fillId="0" borderId="0" xfId="0" applyFont="1" applyAlignment="1">
      <alignment horizontal="center" wrapText="1"/>
    </xf>
    <xf numFmtId="0" fontId="76" fillId="0" borderId="0" xfId="0" applyFont="1" applyFill="1" applyBorder="1" applyAlignment="1">
      <alignment horizontal="center"/>
    </xf>
    <xf numFmtId="43" fontId="105" fillId="0" borderId="0" xfId="382" applyFont="1" applyFill="1" applyAlignment="1"/>
    <xf numFmtId="43" fontId="35" fillId="0" borderId="0" xfId="382" applyFont="1" applyFill="1" applyAlignment="1"/>
    <xf numFmtId="0" fontId="35" fillId="0" borderId="0" xfId="0" applyFont="1" applyFill="1" applyAlignment="1">
      <alignment vertical="center"/>
    </xf>
    <xf numFmtId="0" fontId="35" fillId="0" borderId="0" xfId="0" quotePrefix="1" applyFont="1" applyFill="1" applyAlignment="1">
      <alignment vertical="center"/>
    </xf>
    <xf numFmtId="0" fontId="35" fillId="0" borderId="0" xfId="0" applyFont="1" applyFill="1" applyAlignment="1">
      <alignment horizontal="left" indent="2"/>
    </xf>
    <xf numFmtId="0" fontId="35" fillId="0" borderId="0" xfId="11271" applyFont="1" applyFill="1"/>
    <xf numFmtId="176" fontId="35" fillId="0" borderId="0" xfId="474" applyNumberFormat="1" applyFont="1" applyFill="1" applyAlignment="1">
      <alignment horizontal="left"/>
    </xf>
    <xf numFmtId="0" fontId="36" fillId="0" borderId="0" xfId="474" applyFont="1" applyFill="1" applyAlignment="1"/>
    <xf numFmtId="0" fontId="36" fillId="0" borderId="0" xfId="474" applyFont="1" applyFill="1" applyBorder="1"/>
    <xf numFmtId="0" fontId="35" fillId="0" borderId="0" xfId="474" applyFont="1" applyFill="1" applyAlignment="1">
      <alignment horizontal="left"/>
    </xf>
    <xf numFmtId="0" fontId="35" fillId="0" borderId="0" xfId="511" applyFont="1"/>
  </cellXfs>
  <cellStyles count="37700">
    <cellStyle name=" 1" xfId="1"/>
    <cellStyle name=" 1 2" xfId="2"/>
    <cellStyle name=" 1 2 2" xfId="3"/>
    <cellStyle name=" 1 3" xfId="4"/>
    <cellStyle name="20% - Accent1 10" xfId="5"/>
    <cellStyle name="20% - Accent1 10 2" xfId="11327"/>
    <cellStyle name="20% - Accent1 11" xfId="6"/>
    <cellStyle name="20% - Accent1 11 2" xfId="11328"/>
    <cellStyle name="20% - Accent1 12" xfId="7"/>
    <cellStyle name="20% - Accent1 12 2" xfId="11329"/>
    <cellStyle name="20% - Accent1 13" xfId="8"/>
    <cellStyle name="20% - Accent1 13 2" xfId="11330"/>
    <cellStyle name="20% - Accent1 14" xfId="11283"/>
    <cellStyle name="20% - Accent1 2" xfId="9"/>
    <cellStyle name="20% - Accent1 2 2" xfId="10"/>
    <cellStyle name="20% - Accent1 2 2 2" xfId="11332"/>
    <cellStyle name="20% - Accent1 2 3" xfId="11"/>
    <cellStyle name="20% - Accent1 2 3 2" xfId="11333"/>
    <cellStyle name="20% - Accent1 2 4" xfId="11331"/>
    <cellStyle name="20% - Accent1 2_10-15-10-Stmt AU - Period I - Working 1 0" xfId="12"/>
    <cellStyle name="20% - Accent1 3" xfId="13"/>
    <cellStyle name="20% - Accent1 3 2" xfId="14"/>
    <cellStyle name="20% - Accent1 3 2 2" xfId="11335"/>
    <cellStyle name="20% - Accent1 3 3" xfId="15"/>
    <cellStyle name="20% - Accent1 3 3 2" xfId="11336"/>
    <cellStyle name="20% - Accent1 3 4" xfId="11334"/>
    <cellStyle name="20% - Accent1 3_10-15-10-Stmt AU - Period I - Working 1 0" xfId="16"/>
    <cellStyle name="20% - Accent1 4" xfId="17"/>
    <cellStyle name="20% - Accent1 4 2" xfId="18"/>
    <cellStyle name="20% - Accent1 4 2 2" xfId="11338"/>
    <cellStyle name="20% - Accent1 4 3" xfId="19"/>
    <cellStyle name="20% - Accent1 4 3 2" xfId="11339"/>
    <cellStyle name="20% - Accent1 4 4" xfId="11337"/>
    <cellStyle name="20% - Accent1 4_10-15-10-Stmt AU - Period I - Working 1 0" xfId="20"/>
    <cellStyle name="20% - Accent1 5" xfId="21"/>
    <cellStyle name="20% - Accent1 5 2" xfId="22"/>
    <cellStyle name="20% - Accent1 5 2 2" xfId="11341"/>
    <cellStyle name="20% - Accent1 5 3" xfId="23"/>
    <cellStyle name="20% - Accent1 5 3 2" xfId="11342"/>
    <cellStyle name="20% - Accent1 5 4" xfId="11340"/>
    <cellStyle name="20% - Accent1 5_10-15-10-Stmt AU - Period I - Working 1 0" xfId="24"/>
    <cellStyle name="20% - Accent1 6" xfId="25"/>
    <cellStyle name="20% - Accent1 6 2" xfId="26"/>
    <cellStyle name="20% - Accent1 6 2 2" xfId="11344"/>
    <cellStyle name="20% - Accent1 6 3" xfId="27"/>
    <cellStyle name="20% - Accent1 6 3 2" xfId="11345"/>
    <cellStyle name="20% - Accent1 6 4" xfId="11343"/>
    <cellStyle name="20% - Accent1 6_10-15-10-Stmt AU - Period I - Working 1 0" xfId="28"/>
    <cellStyle name="20% - Accent1 7" xfId="29"/>
    <cellStyle name="20% - Accent1 7 2" xfId="30"/>
    <cellStyle name="20% - Accent1 7 2 2" xfId="11347"/>
    <cellStyle name="20% - Accent1 7 3" xfId="31"/>
    <cellStyle name="20% - Accent1 7 3 2" xfId="11348"/>
    <cellStyle name="20% - Accent1 7 4" xfId="11346"/>
    <cellStyle name="20% - Accent1 7_10-15-10-Stmt AU - Period I - Working 1 0" xfId="32"/>
    <cellStyle name="20% - Accent1 8" xfId="33"/>
    <cellStyle name="20% - Accent1 8 2" xfId="11349"/>
    <cellStyle name="20% - Accent1 9" xfId="34"/>
    <cellStyle name="20% - Accent1 9 2" xfId="11350"/>
    <cellStyle name="20% - Accent2 10" xfId="35"/>
    <cellStyle name="20% - Accent2 10 2" xfId="11351"/>
    <cellStyle name="20% - Accent2 11" xfId="36"/>
    <cellStyle name="20% - Accent2 11 2" xfId="11352"/>
    <cellStyle name="20% - Accent2 12" xfId="37"/>
    <cellStyle name="20% - Accent2 12 2" xfId="11353"/>
    <cellStyle name="20% - Accent2 13" xfId="38"/>
    <cellStyle name="20% - Accent2 13 2" xfId="11354"/>
    <cellStyle name="20% - Accent2 14" xfId="11284"/>
    <cellStyle name="20% - Accent2 2" xfId="39"/>
    <cellStyle name="20% - Accent2 2 2" xfId="40"/>
    <cellStyle name="20% - Accent2 2 2 2" xfId="11356"/>
    <cellStyle name="20% - Accent2 2 3" xfId="41"/>
    <cellStyle name="20% - Accent2 2 3 2" xfId="11357"/>
    <cellStyle name="20% - Accent2 2 4" xfId="11355"/>
    <cellStyle name="20% - Accent2 2_10-15-10-Stmt AU - Period I - Working 1 0" xfId="42"/>
    <cellStyle name="20% - Accent2 3" xfId="43"/>
    <cellStyle name="20% - Accent2 3 2" xfId="44"/>
    <cellStyle name="20% - Accent2 3 2 2" xfId="11359"/>
    <cellStyle name="20% - Accent2 3 3" xfId="45"/>
    <cellStyle name="20% - Accent2 3 3 2" xfId="11360"/>
    <cellStyle name="20% - Accent2 3 4" xfId="11358"/>
    <cellStyle name="20% - Accent2 3_10-15-10-Stmt AU - Period I - Working 1 0" xfId="46"/>
    <cellStyle name="20% - Accent2 4" xfId="47"/>
    <cellStyle name="20% - Accent2 4 2" xfId="48"/>
    <cellStyle name="20% - Accent2 4 2 2" xfId="11362"/>
    <cellStyle name="20% - Accent2 4 3" xfId="49"/>
    <cellStyle name="20% - Accent2 4 3 2" xfId="11363"/>
    <cellStyle name="20% - Accent2 4 4" xfId="11361"/>
    <cellStyle name="20% - Accent2 4_10-15-10-Stmt AU - Period I - Working 1 0" xfId="50"/>
    <cellStyle name="20% - Accent2 5" xfId="51"/>
    <cellStyle name="20% - Accent2 5 2" xfId="52"/>
    <cellStyle name="20% - Accent2 5 2 2" xfId="11365"/>
    <cellStyle name="20% - Accent2 5 3" xfId="53"/>
    <cellStyle name="20% - Accent2 5 3 2" xfId="11366"/>
    <cellStyle name="20% - Accent2 5 4" xfId="11364"/>
    <cellStyle name="20% - Accent2 5_10-15-10-Stmt AU - Period I - Working 1 0" xfId="54"/>
    <cellStyle name="20% - Accent2 6" xfId="55"/>
    <cellStyle name="20% - Accent2 6 2" xfId="56"/>
    <cellStyle name="20% - Accent2 6 2 2" xfId="11368"/>
    <cellStyle name="20% - Accent2 6 3" xfId="57"/>
    <cellStyle name="20% - Accent2 6 3 2" xfId="11369"/>
    <cellStyle name="20% - Accent2 6 4" xfId="11367"/>
    <cellStyle name="20% - Accent2 6_10-15-10-Stmt AU - Period I - Working 1 0" xfId="58"/>
    <cellStyle name="20% - Accent2 7" xfId="59"/>
    <cellStyle name="20% - Accent2 7 2" xfId="60"/>
    <cellStyle name="20% - Accent2 7 2 2" xfId="11371"/>
    <cellStyle name="20% - Accent2 7 3" xfId="61"/>
    <cellStyle name="20% - Accent2 7 3 2" xfId="11372"/>
    <cellStyle name="20% - Accent2 7 4" xfId="11370"/>
    <cellStyle name="20% - Accent2 7_10-15-10-Stmt AU - Period I - Working 1 0" xfId="62"/>
    <cellStyle name="20% - Accent2 8" xfId="63"/>
    <cellStyle name="20% - Accent2 8 2" xfId="11373"/>
    <cellStyle name="20% - Accent2 9" xfId="64"/>
    <cellStyle name="20% - Accent2 9 2" xfId="11374"/>
    <cellStyle name="20% - Accent3 10" xfId="65"/>
    <cellStyle name="20% - Accent3 10 2" xfId="11375"/>
    <cellStyle name="20% - Accent3 11" xfId="66"/>
    <cellStyle name="20% - Accent3 11 2" xfId="11376"/>
    <cellStyle name="20% - Accent3 12" xfId="67"/>
    <cellStyle name="20% - Accent3 12 2" xfId="11377"/>
    <cellStyle name="20% - Accent3 13" xfId="68"/>
    <cellStyle name="20% - Accent3 13 2" xfId="11378"/>
    <cellStyle name="20% - Accent3 14" xfId="11285"/>
    <cellStyle name="20% - Accent3 2" xfId="69"/>
    <cellStyle name="20% - Accent3 2 2" xfId="70"/>
    <cellStyle name="20% - Accent3 2 2 2" xfId="11380"/>
    <cellStyle name="20% - Accent3 2 3" xfId="71"/>
    <cellStyle name="20% - Accent3 2 3 2" xfId="11381"/>
    <cellStyle name="20% - Accent3 2 4" xfId="11379"/>
    <cellStyle name="20% - Accent3 2_10-15-10-Stmt AU - Period I - Working 1 0" xfId="72"/>
    <cellStyle name="20% - Accent3 3" xfId="73"/>
    <cellStyle name="20% - Accent3 3 2" xfId="74"/>
    <cellStyle name="20% - Accent3 3 2 2" xfId="11383"/>
    <cellStyle name="20% - Accent3 3 3" xfId="75"/>
    <cellStyle name="20% - Accent3 3 3 2" xfId="11384"/>
    <cellStyle name="20% - Accent3 3 4" xfId="11382"/>
    <cellStyle name="20% - Accent3 3_10-15-10-Stmt AU - Period I - Working 1 0" xfId="76"/>
    <cellStyle name="20% - Accent3 4" xfId="77"/>
    <cellStyle name="20% - Accent3 4 2" xfId="78"/>
    <cellStyle name="20% - Accent3 4 2 2" xfId="11386"/>
    <cellStyle name="20% - Accent3 4 3" xfId="79"/>
    <cellStyle name="20% - Accent3 4 3 2" xfId="11387"/>
    <cellStyle name="20% - Accent3 4 4" xfId="11385"/>
    <cellStyle name="20% - Accent3 4_10-15-10-Stmt AU - Period I - Working 1 0" xfId="80"/>
    <cellStyle name="20% - Accent3 5" xfId="81"/>
    <cellStyle name="20% - Accent3 5 2" xfId="82"/>
    <cellStyle name="20% - Accent3 5 2 2" xfId="11389"/>
    <cellStyle name="20% - Accent3 5 3" xfId="83"/>
    <cellStyle name="20% - Accent3 5 3 2" xfId="11390"/>
    <cellStyle name="20% - Accent3 5 4" xfId="11388"/>
    <cellStyle name="20% - Accent3 5_10-15-10-Stmt AU - Period I - Working 1 0" xfId="84"/>
    <cellStyle name="20% - Accent3 6" xfId="85"/>
    <cellStyle name="20% - Accent3 6 2" xfId="86"/>
    <cellStyle name="20% - Accent3 6 2 2" xfId="11392"/>
    <cellStyle name="20% - Accent3 6 3" xfId="87"/>
    <cellStyle name="20% - Accent3 6 3 2" xfId="11393"/>
    <cellStyle name="20% - Accent3 6 4" xfId="11391"/>
    <cellStyle name="20% - Accent3 6_10-15-10-Stmt AU - Period I - Working 1 0" xfId="88"/>
    <cellStyle name="20% - Accent3 7" xfId="89"/>
    <cellStyle name="20% - Accent3 7 2" xfId="90"/>
    <cellStyle name="20% - Accent3 7 2 2" xfId="11395"/>
    <cellStyle name="20% - Accent3 7 3" xfId="91"/>
    <cellStyle name="20% - Accent3 7 3 2" xfId="11396"/>
    <cellStyle name="20% - Accent3 7 4" xfId="11394"/>
    <cellStyle name="20% - Accent3 7_10-15-10-Stmt AU - Period I - Working 1 0" xfId="92"/>
    <cellStyle name="20% - Accent3 8" xfId="93"/>
    <cellStyle name="20% - Accent3 8 2" xfId="11397"/>
    <cellStyle name="20% - Accent3 9" xfId="94"/>
    <cellStyle name="20% - Accent3 9 2" xfId="11398"/>
    <cellStyle name="20% - Accent4 10" xfId="95"/>
    <cellStyle name="20% - Accent4 10 2" xfId="11399"/>
    <cellStyle name="20% - Accent4 11" xfId="96"/>
    <cellStyle name="20% - Accent4 11 2" xfId="11400"/>
    <cellStyle name="20% - Accent4 12" xfId="97"/>
    <cellStyle name="20% - Accent4 12 2" xfId="11401"/>
    <cellStyle name="20% - Accent4 13" xfId="98"/>
    <cellStyle name="20% - Accent4 13 2" xfId="11402"/>
    <cellStyle name="20% - Accent4 14" xfId="11286"/>
    <cellStyle name="20% - Accent4 2" xfId="99"/>
    <cellStyle name="20% - Accent4 2 2" xfId="100"/>
    <cellStyle name="20% - Accent4 2 2 2" xfId="11404"/>
    <cellStyle name="20% - Accent4 2 3" xfId="101"/>
    <cellStyle name="20% - Accent4 2 3 2" xfId="11405"/>
    <cellStyle name="20% - Accent4 2 4" xfId="11403"/>
    <cellStyle name="20% - Accent4 2_10-15-10-Stmt AU - Period I - Working 1 0" xfId="102"/>
    <cellStyle name="20% - Accent4 3" xfId="103"/>
    <cellStyle name="20% - Accent4 3 2" xfId="104"/>
    <cellStyle name="20% - Accent4 3 2 2" xfId="11407"/>
    <cellStyle name="20% - Accent4 3 3" xfId="105"/>
    <cellStyle name="20% - Accent4 3 3 2" xfId="11408"/>
    <cellStyle name="20% - Accent4 3 4" xfId="11406"/>
    <cellStyle name="20% - Accent4 3_10-15-10-Stmt AU - Period I - Working 1 0" xfId="106"/>
    <cellStyle name="20% - Accent4 4" xfId="107"/>
    <cellStyle name="20% - Accent4 4 2" xfId="108"/>
    <cellStyle name="20% - Accent4 4 2 2" xfId="11410"/>
    <cellStyle name="20% - Accent4 4 3" xfId="109"/>
    <cellStyle name="20% - Accent4 4 3 2" xfId="11411"/>
    <cellStyle name="20% - Accent4 4 4" xfId="11409"/>
    <cellStyle name="20% - Accent4 4_10-15-10-Stmt AU - Period I - Working 1 0" xfId="110"/>
    <cellStyle name="20% - Accent4 5" xfId="111"/>
    <cellStyle name="20% - Accent4 5 2" xfId="112"/>
    <cellStyle name="20% - Accent4 5 2 2" xfId="11413"/>
    <cellStyle name="20% - Accent4 5 3" xfId="113"/>
    <cellStyle name="20% - Accent4 5 3 2" xfId="11414"/>
    <cellStyle name="20% - Accent4 5 4" xfId="11412"/>
    <cellStyle name="20% - Accent4 5_10-15-10-Stmt AU - Period I - Working 1 0" xfId="114"/>
    <cellStyle name="20% - Accent4 6" xfId="115"/>
    <cellStyle name="20% - Accent4 6 2" xfId="116"/>
    <cellStyle name="20% - Accent4 6 2 2" xfId="11416"/>
    <cellStyle name="20% - Accent4 6 3" xfId="117"/>
    <cellStyle name="20% - Accent4 6 3 2" xfId="11417"/>
    <cellStyle name="20% - Accent4 6 4" xfId="11415"/>
    <cellStyle name="20% - Accent4 6_10-15-10-Stmt AU - Period I - Working 1 0" xfId="118"/>
    <cellStyle name="20% - Accent4 7" xfId="119"/>
    <cellStyle name="20% - Accent4 7 2" xfId="120"/>
    <cellStyle name="20% - Accent4 7 2 2" xfId="11419"/>
    <cellStyle name="20% - Accent4 7 3" xfId="121"/>
    <cellStyle name="20% - Accent4 7 3 2" xfId="11420"/>
    <cellStyle name="20% - Accent4 7 4" xfId="11418"/>
    <cellStyle name="20% - Accent4 7_10-15-10-Stmt AU - Period I - Working 1 0" xfId="122"/>
    <cellStyle name="20% - Accent4 8" xfId="123"/>
    <cellStyle name="20% - Accent4 8 2" xfId="11421"/>
    <cellStyle name="20% - Accent4 9" xfId="124"/>
    <cellStyle name="20% - Accent4 9 2" xfId="11422"/>
    <cellStyle name="20% - Accent5 10" xfId="125"/>
    <cellStyle name="20% - Accent5 10 2" xfId="11423"/>
    <cellStyle name="20% - Accent5 11" xfId="126"/>
    <cellStyle name="20% - Accent5 11 2" xfId="11424"/>
    <cellStyle name="20% - Accent5 12" xfId="127"/>
    <cellStyle name="20% - Accent5 12 2" xfId="11425"/>
    <cellStyle name="20% - Accent5 13" xfId="128"/>
    <cellStyle name="20% - Accent5 13 2" xfId="11426"/>
    <cellStyle name="20% - Accent5 14" xfId="11287"/>
    <cellStyle name="20% - Accent5 2" xfId="129"/>
    <cellStyle name="20% - Accent5 2 2" xfId="130"/>
    <cellStyle name="20% - Accent5 2 2 2" xfId="11428"/>
    <cellStyle name="20% - Accent5 2 3" xfId="131"/>
    <cellStyle name="20% - Accent5 2 3 2" xfId="11429"/>
    <cellStyle name="20% - Accent5 2 4" xfId="11427"/>
    <cellStyle name="20% - Accent5 2_10-15-10-Stmt AU - Period I - Working 1 0" xfId="132"/>
    <cellStyle name="20% - Accent5 3" xfId="133"/>
    <cellStyle name="20% - Accent5 3 2" xfId="134"/>
    <cellStyle name="20% - Accent5 3 2 2" xfId="11431"/>
    <cellStyle name="20% - Accent5 3 3" xfId="135"/>
    <cellStyle name="20% - Accent5 3 3 2" xfId="11432"/>
    <cellStyle name="20% - Accent5 3 4" xfId="11430"/>
    <cellStyle name="20% - Accent5 3_10-15-10-Stmt AU - Period I - Working 1 0" xfId="136"/>
    <cellStyle name="20% - Accent5 4" xfId="137"/>
    <cellStyle name="20% - Accent5 4 2" xfId="138"/>
    <cellStyle name="20% - Accent5 4 2 2" xfId="11434"/>
    <cellStyle name="20% - Accent5 4 3" xfId="139"/>
    <cellStyle name="20% - Accent5 4 3 2" xfId="11435"/>
    <cellStyle name="20% - Accent5 4 4" xfId="11433"/>
    <cellStyle name="20% - Accent5 4_10-15-10-Stmt AU - Period I - Working 1 0" xfId="140"/>
    <cellStyle name="20% - Accent5 5" xfId="141"/>
    <cellStyle name="20% - Accent5 5 2" xfId="142"/>
    <cellStyle name="20% - Accent5 5 2 2" xfId="11437"/>
    <cellStyle name="20% - Accent5 5 3" xfId="143"/>
    <cellStyle name="20% - Accent5 5 3 2" xfId="11438"/>
    <cellStyle name="20% - Accent5 5 4" xfId="11436"/>
    <cellStyle name="20% - Accent5 5_10-15-10-Stmt AU - Period I - Working 1 0" xfId="144"/>
    <cellStyle name="20% - Accent5 6" xfId="145"/>
    <cellStyle name="20% - Accent5 6 2" xfId="146"/>
    <cellStyle name="20% - Accent5 6 2 2" xfId="11440"/>
    <cellStyle name="20% - Accent5 6 3" xfId="147"/>
    <cellStyle name="20% - Accent5 6 3 2" xfId="11441"/>
    <cellStyle name="20% - Accent5 6 4" xfId="11439"/>
    <cellStyle name="20% - Accent5 6_10-15-10-Stmt AU - Period I - Working 1 0" xfId="148"/>
    <cellStyle name="20% - Accent5 7" xfId="149"/>
    <cellStyle name="20% - Accent5 7 2" xfId="150"/>
    <cellStyle name="20% - Accent5 7 2 2" xfId="11443"/>
    <cellStyle name="20% - Accent5 7 3" xfId="151"/>
    <cellStyle name="20% - Accent5 7 3 2" xfId="11444"/>
    <cellStyle name="20% - Accent5 7 4" xfId="11442"/>
    <cellStyle name="20% - Accent5 7_10-15-10-Stmt AU - Period I - Working 1 0" xfId="152"/>
    <cellStyle name="20% - Accent5 8" xfId="153"/>
    <cellStyle name="20% - Accent5 8 2" xfId="11445"/>
    <cellStyle name="20% - Accent5 9" xfId="154"/>
    <cellStyle name="20% - Accent5 9 2" xfId="11446"/>
    <cellStyle name="20% - Accent6 10" xfId="155"/>
    <cellStyle name="20% - Accent6 10 2" xfId="11447"/>
    <cellStyle name="20% - Accent6 11" xfId="156"/>
    <cellStyle name="20% - Accent6 11 2" xfId="11448"/>
    <cellStyle name="20% - Accent6 12" xfId="157"/>
    <cellStyle name="20% - Accent6 12 2" xfId="11449"/>
    <cellStyle name="20% - Accent6 13" xfId="158"/>
    <cellStyle name="20% - Accent6 13 2" xfId="11450"/>
    <cellStyle name="20% - Accent6 14" xfId="11288"/>
    <cellStyle name="20% - Accent6 2" xfId="159"/>
    <cellStyle name="20% - Accent6 2 2" xfId="160"/>
    <cellStyle name="20% - Accent6 2 2 2" xfId="11452"/>
    <cellStyle name="20% - Accent6 2 3" xfId="161"/>
    <cellStyle name="20% - Accent6 2 3 2" xfId="11453"/>
    <cellStyle name="20% - Accent6 2 4" xfId="11451"/>
    <cellStyle name="20% - Accent6 2_10-15-10-Stmt AU - Period I - Working 1 0" xfId="162"/>
    <cellStyle name="20% - Accent6 3" xfId="163"/>
    <cellStyle name="20% - Accent6 3 2" xfId="164"/>
    <cellStyle name="20% - Accent6 3 2 2" xfId="11455"/>
    <cellStyle name="20% - Accent6 3 3" xfId="165"/>
    <cellStyle name="20% - Accent6 3 3 2" xfId="11456"/>
    <cellStyle name="20% - Accent6 3 4" xfId="11454"/>
    <cellStyle name="20% - Accent6 3_10-15-10-Stmt AU - Period I - Working 1 0" xfId="166"/>
    <cellStyle name="20% - Accent6 4" xfId="167"/>
    <cellStyle name="20% - Accent6 4 2" xfId="168"/>
    <cellStyle name="20% - Accent6 4 2 2" xfId="11458"/>
    <cellStyle name="20% - Accent6 4 3" xfId="169"/>
    <cellStyle name="20% - Accent6 4 3 2" xfId="11459"/>
    <cellStyle name="20% - Accent6 4 4" xfId="11457"/>
    <cellStyle name="20% - Accent6 4_10-15-10-Stmt AU - Period I - Working 1 0" xfId="170"/>
    <cellStyle name="20% - Accent6 5" xfId="171"/>
    <cellStyle name="20% - Accent6 5 2" xfId="172"/>
    <cellStyle name="20% - Accent6 5 2 2" xfId="11461"/>
    <cellStyle name="20% - Accent6 5 3" xfId="173"/>
    <cellStyle name="20% - Accent6 5 3 2" xfId="11462"/>
    <cellStyle name="20% - Accent6 5 4" xfId="11460"/>
    <cellStyle name="20% - Accent6 5_10-15-10-Stmt AU - Period I - Working 1 0" xfId="174"/>
    <cellStyle name="20% - Accent6 6" xfId="175"/>
    <cellStyle name="20% - Accent6 6 2" xfId="176"/>
    <cellStyle name="20% - Accent6 6 2 2" xfId="11464"/>
    <cellStyle name="20% - Accent6 6 3" xfId="177"/>
    <cellStyle name="20% - Accent6 6 3 2" xfId="11465"/>
    <cellStyle name="20% - Accent6 6 4" xfId="11463"/>
    <cellStyle name="20% - Accent6 6_10-15-10-Stmt AU - Period I - Working 1 0" xfId="178"/>
    <cellStyle name="20% - Accent6 7" xfId="179"/>
    <cellStyle name="20% - Accent6 7 2" xfId="180"/>
    <cellStyle name="20% - Accent6 7 2 2" xfId="11467"/>
    <cellStyle name="20% - Accent6 7 3" xfId="181"/>
    <cellStyle name="20% - Accent6 7 3 2" xfId="11468"/>
    <cellStyle name="20% - Accent6 7 4" xfId="11466"/>
    <cellStyle name="20% - Accent6 7_10-15-10-Stmt AU - Period I - Working 1 0" xfId="182"/>
    <cellStyle name="20% - Accent6 8" xfId="183"/>
    <cellStyle name="20% - Accent6 8 2" xfId="11469"/>
    <cellStyle name="20% - Accent6 9" xfId="184"/>
    <cellStyle name="20% - Accent6 9 2" xfId="11470"/>
    <cellStyle name="40% - Accent1 10" xfId="185"/>
    <cellStyle name="40% - Accent1 10 2" xfId="11471"/>
    <cellStyle name="40% - Accent1 11" xfId="186"/>
    <cellStyle name="40% - Accent1 11 2" xfId="11472"/>
    <cellStyle name="40% - Accent1 12" xfId="187"/>
    <cellStyle name="40% - Accent1 12 2" xfId="11473"/>
    <cellStyle name="40% - Accent1 13" xfId="188"/>
    <cellStyle name="40% - Accent1 13 2" xfId="11474"/>
    <cellStyle name="40% - Accent1 14" xfId="11289"/>
    <cellStyle name="40% - Accent1 2" xfId="189"/>
    <cellStyle name="40% - Accent1 2 2" xfId="190"/>
    <cellStyle name="40% - Accent1 2 2 2" xfId="11476"/>
    <cellStyle name="40% - Accent1 2 3" xfId="191"/>
    <cellStyle name="40% - Accent1 2 3 2" xfId="11477"/>
    <cellStyle name="40% - Accent1 2 4" xfId="11475"/>
    <cellStyle name="40% - Accent1 2_10-15-10-Stmt AU - Period I - Working 1 0" xfId="192"/>
    <cellStyle name="40% - Accent1 3" xfId="193"/>
    <cellStyle name="40% - Accent1 3 2" xfId="194"/>
    <cellStyle name="40% - Accent1 3 2 2" xfId="11479"/>
    <cellStyle name="40% - Accent1 3 3" xfId="195"/>
    <cellStyle name="40% - Accent1 3 3 2" xfId="11480"/>
    <cellStyle name="40% - Accent1 3 4" xfId="11478"/>
    <cellStyle name="40% - Accent1 3_10-15-10-Stmt AU - Period I - Working 1 0" xfId="196"/>
    <cellStyle name="40% - Accent1 4" xfId="197"/>
    <cellStyle name="40% - Accent1 4 2" xfId="198"/>
    <cellStyle name="40% - Accent1 4 2 2" xfId="11482"/>
    <cellStyle name="40% - Accent1 4 3" xfId="199"/>
    <cellStyle name="40% - Accent1 4 3 2" xfId="11483"/>
    <cellStyle name="40% - Accent1 4 4" xfId="11481"/>
    <cellStyle name="40% - Accent1 4_10-15-10-Stmt AU - Period I - Working 1 0" xfId="200"/>
    <cellStyle name="40% - Accent1 5" xfId="201"/>
    <cellStyle name="40% - Accent1 5 2" xfId="202"/>
    <cellStyle name="40% - Accent1 5 2 2" xfId="11485"/>
    <cellStyle name="40% - Accent1 5 3" xfId="203"/>
    <cellStyle name="40% - Accent1 5 3 2" xfId="11486"/>
    <cellStyle name="40% - Accent1 5 4" xfId="11484"/>
    <cellStyle name="40% - Accent1 5_10-15-10-Stmt AU - Period I - Working 1 0" xfId="204"/>
    <cellStyle name="40% - Accent1 6" xfId="205"/>
    <cellStyle name="40% - Accent1 6 2" xfId="206"/>
    <cellStyle name="40% - Accent1 6 2 2" xfId="11488"/>
    <cellStyle name="40% - Accent1 6 3" xfId="207"/>
    <cellStyle name="40% - Accent1 6 3 2" xfId="11489"/>
    <cellStyle name="40% - Accent1 6 4" xfId="11487"/>
    <cellStyle name="40% - Accent1 6_10-15-10-Stmt AU - Period I - Working 1 0" xfId="208"/>
    <cellStyle name="40% - Accent1 7" xfId="209"/>
    <cellStyle name="40% - Accent1 7 2" xfId="210"/>
    <cellStyle name="40% - Accent1 7 2 2" xfId="11491"/>
    <cellStyle name="40% - Accent1 7 3" xfId="211"/>
    <cellStyle name="40% - Accent1 7 3 2" xfId="11492"/>
    <cellStyle name="40% - Accent1 7 4" xfId="11490"/>
    <cellStyle name="40% - Accent1 7_10-15-10-Stmt AU - Period I - Working 1 0" xfId="212"/>
    <cellStyle name="40% - Accent1 8" xfId="213"/>
    <cellStyle name="40% - Accent1 8 2" xfId="11493"/>
    <cellStyle name="40% - Accent1 9" xfId="214"/>
    <cellStyle name="40% - Accent1 9 2" xfId="11494"/>
    <cellStyle name="40% - Accent2 10" xfId="215"/>
    <cellStyle name="40% - Accent2 10 2" xfId="11495"/>
    <cellStyle name="40% - Accent2 11" xfId="216"/>
    <cellStyle name="40% - Accent2 11 2" xfId="11496"/>
    <cellStyle name="40% - Accent2 12" xfId="217"/>
    <cellStyle name="40% - Accent2 12 2" xfId="11497"/>
    <cellStyle name="40% - Accent2 13" xfId="218"/>
    <cellStyle name="40% - Accent2 13 2" xfId="11498"/>
    <cellStyle name="40% - Accent2 14" xfId="11290"/>
    <cellStyle name="40% - Accent2 2" xfId="219"/>
    <cellStyle name="40% - Accent2 2 2" xfId="220"/>
    <cellStyle name="40% - Accent2 2 2 2" xfId="11500"/>
    <cellStyle name="40% - Accent2 2 3" xfId="221"/>
    <cellStyle name="40% - Accent2 2 3 2" xfId="11501"/>
    <cellStyle name="40% - Accent2 2 4" xfId="11499"/>
    <cellStyle name="40% - Accent2 2_10-15-10-Stmt AU - Period I - Working 1 0" xfId="222"/>
    <cellStyle name="40% - Accent2 3" xfId="223"/>
    <cellStyle name="40% - Accent2 3 2" xfId="224"/>
    <cellStyle name="40% - Accent2 3 2 2" xfId="11503"/>
    <cellStyle name="40% - Accent2 3 3" xfId="225"/>
    <cellStyle name="40% - Accent2 3 3 2" xfId="11504"/>
    <cellStyle name="40% - Accent2 3 4" xfId="11502"/>
    <cellStyle name="40% - Accent2 3_10-15-10-Stmt AU - Period I - Working 1 0" xfId="226"/>
    <cellStyle name="40% - Accent2 4" xfId="227"/>
    <cellStyle name="40% - Accent2 4 2" xfId="228"/>
    <cellStyle name="40% - Accent2 4 2 2" xfId="11506"/>
    <cellStyle name="40% - Accent2 4 3" xfId="229"/>
    <cellStyle name="40% - Accent2 4 3 2" xfId="11507"/>
    <cellStyle name="40% - Accent2 4 4" xfId="11505"/>
    <cellStyle name="40% - Accent2 4_10-15-10-Stmt AU - Period I - Working 1 0" xfId="230"/>
    <cellStyle name="40% - Accent2 5" xfId="231"/>
    <cellStyle name="40% - Accent2 5 2" xfId="232"/>
    <cellStyle name="40% - Accent2 5 2 2" xfId="11509"/>
    <cellStyle name="40% - Accent2 5 3" xfId="233"/>
    <cellStyle name="40% - Accent2 5 3 2" xfId="11510"/>
    <cellStyle name="40% - Accent2 5 4" xfId="11508"/>
    <cellStyle name="40% - Accent2 5_10-15-10-Stmt AU - Period I - Working 1 0" xfId="234"/>
    <cellStyle name="40% - Accent2 6" xfId="235"/>
    <cellStyle name="40% - Accent2 6 2" xfId="236"/>
    <cellStyle name="40% - Accent2 6 2 2" xfId="11512"/>
    <cellStyle name="40% - Accent2 6 3" xfId="237"/>
    <cellStyle name="40% - Accent2 6 3 2" xfId="11513"/>
    <cellStyle name="40% - Accent2 6 4" xfId="11511"/>
    <cellStyle name="40% - Accent2 6_10-15-10-Stmt AU - Period I - Working 1 0" xfId="238"/>
    <cellStyle name="40% - Accent2 7" xfId="239"/>
    <cellStyle name="40% - Accent2 7 2" xfId="240"/>
    <cellStyle name="40% - Accent2 7 2 2" xfId="11515"/>
    <cellStyle name="40% - Accent2 7 3" xfId="241"/>
    <cellStyle name="40% - Accent2 7 3 2" xfId="11516"/>
    <cellStyle name="40% - Accent2 7 4" xfId="11514"/>
    <cellStyle name="40% - Accent2 7_10-15-10-Stmt AU - Period I - Working 1 0" xfId="242"/>
    <cellStyle name="40% - Accent2 8" xfId="243"/>
    <cellStyle name="40% - Accent2 8 2" xfId="11517"/>
    <cellStyle name="40% - Accent2 9" xfId="244"/>
    <cellStyle name="40% - Accent2 9 2" xfId="11518"/>
    <cellStyle name="40% - Accent3 10" xfId="245"/>
    <cellStyle name="40% - Accent3 10 2" xfId="11519"/>
    <cellStyle name="40% - Accent3 11" xfId="246"/>
    <cellStyle name="40% - Accent3 11 2" xfId="11520"/>
    <cellStyle name="40% - Accent3 12" xfId="247"/>
    <cellStyle name="40% - Accent3 12 2" xfId="11521"/>
    <cellStyle name="40% - Accent3 13" xfId="248"/>
    <cellStyle name="40% - Accent3 13 2" xfId="11522"/>
    <cellStyle name="40% - Accent3 14" xfId="11291"/>
    <cellStyle name="40% - Accent3 2" xfId="249"/>
    <cellStyle name="40% - Accent3 2 2" xfId="250"/>
    <cellStyle name="40% - Accent3 2 2 2" xfId="11524"/>
    <cellStyle name="40% - Accent3 2 3" xfId="251"/>
    <cellStyle name="40% - Accent3 2 3 2" xfId="11525"/>
    <cellStyle name="40% - Accent3 2 4" xfId="11523"/>
    <cellStyle name="40% - Accent3 2_10-15-10-Stmt AU - Period I - Working 1 0" xfId="252"/>
    <cellStyle name="40% - Accent3 3" xfId="253"/>
    <cellStyle name="40% - Accent3 3 2" xfId="254"/>
    <cellStyle name="40% - Accent3 3 2 2" xfId="11527"/>
    <cellStyle name="40% - Accent3 3 3" xfId="255"/>
    <cellStyle name="40% - Accent3 3 3 2" xfId="11528"/>
    <cellStyle name="40% - Accent3 3 4" xfId="11526"/>
    <cellStyle name="40% - Accent3 3_10-15-10-Stmt AU - Period I - Working 1 0" xfId="256"/>
    <cellStyle name="40% - Accent3 4" xfId="257"/>
    <cellStyle name="40% - Accent3 4 2" xfId="258"/>
    <cellStyle name="40% - Accent3 4 2 2" xfId="11530"/>
    <cellStyle name="40% - Accent3 4 3" xfId="259"/>
    <cellStyle name="40% - Accent3 4 3 2" xfId="11531"/>
    <cellStyle name="40% - Accent3 4 4" xfId="11529"/>
    <cellStyle name="40% - Accent3 4_10-15-10-Stmt AU - Period I - Working 1 0" xfId="260"/>
    <cellStyle name="40% - Accent3 5" xfId="261"/>
    <cellStyle name="40% - Accent3 5 2" xfId="262"/>
    <cellStyle name="40% - Accent3 5 2 2" xfId="11533"/>
    <cellStyle name="40% - Accent3 5 3" xfId="263"/>
    <cellStyle name="40% - Accent3 5 3 2" xfId="11534"/>
    <cellStyle name="40% - Accent3 5 4" xfId="11532"/>
    <cellStyle name="40% - Accent3 5_10-15-10-Stmt AU - Period I - Working 1 0" xfId="264"/>
    <cellStyle name="40% - Accent3 6" xfId="265"/>
    <cellStyle name="40% - Accent3 6 2" xfId="266"/>
    <cellStyle name="40% - Accent3 6 2 2" xfId="11536"/>
    <cellStyle name="40% - Accent3 6 3" xfId="267"/>
    <cellStyle name="40% - Accent3 6 3 2" xfId="11537"/>
    <cellStyle name="40% - Accent3 6 4" xfId="11535"/>
    <cellStyle name="40% - Accent3 6_10-15-10-Stmt AU - Period I - Working 1 0" xfId="268"/>
    <cellStyle name="40% - Accent3 7" xfId="269"/>
    <cellStyle name="40% - Accent3 7 2" xfId="270"/>
    <cellStyle name="40% - Accent3 7 2 2" xfId="11539"/>
    <cellStyle name="40% - Accent3 7 3" xfId="271"/>
    <cellStyle name="40% - Accent3 7 3 2" xfId="11540"/>
    <cellStyle name="40% - Accent3 7 4" xfId="11538"/>
    <cellStyle name="40% - Accent3 7_10-15-10-Stmt AU - Period I - Working 1 0" xfId="272"/>
    <cellStyle name="40% - Accent3 8" xfId="273"/>
    <cellStyle name="40% - Accent3 8 2" xfId="11541"/>
    <cellStyle name="40% - Accent3 9" xfId="274"/>
    <cellStyle name="40% - Accent3 9 2" xfId="11542"/>
    <cellStyle name="40% - Accent4 10" xfId="275"/>
    <cellStyle name="40% - Accent4 10 2" xfId="11543"/>
    <cellStyle name="40% - Accent4 11" xfId="276"/>
    <cellStyle name="40% - Accent4 11 2" xfId="11544"/>
    <cellStyle name="40% - Accent4 12" xfId="277"/>
    <cellStyle name="40% - Accent4 12 2" xfId="11545"/>
    <cellStyle name="40% - Accent4 13" xfId="278"/>
    <cellStyle name="40% - Accent4 13 2" xfId="11546"/>
    <cellStyle name="40% - Accent4 14" xfId="11292"/>
    <cellStyle name="40% - Accent4 2" xfId="279"/>
    <cellStyle name="40% - Accent4 2 2" xfId="280"/>
    <cellStyle name="40% - Accent4 2 2 2" xfId="11548"/>
    <cellStyle name="40% - Accent4 2 3" xfId="281"/>
    <cellStyle name="40% - Accent4 2 3 2" xfId="11549"/>
    <cellStyle name="40% - Accent4 2 4" xfId="11547"/>
    <cellStyle name="40% - Accent4 2_10-15-10-Stmt AU - Period I - Working 1 0" xfId="282"/>
    <cellStyle name="40% - Accent4 3" xfId="283"/>
    <cellStyle name="40% - Accent4 3 2" xfId="284"/>
    <cellStyle name="40% - Accent4 3 2 2" xfId="11551"/>
    <cellStyle name="40% - Accent4 3 3" xfId="285"/>
    <cellStyle name="40% - Accent4 3 3 2" xfId="11552"/>
    <cellStyle name="40% - Accent4 3 4" xfId="11550"/>
    <cellStyle name="40% - Accent4 3_10-15-10-Stmt AU - Period I - Working 1 0" xfId="286"/>
    <cellStyle name="40% - Accent4 4" xfId="287"/>
    <cellStyle name="40% - Accent4 4 2" xfId="288"/>
    <cellStyle name="40% - Accent4 4 2 2" xfId="11554"/>
    <cellStyle name="40% - Accent4 4 3" xfId="289"/>
    <cellStyle name="40% - Accent4 4 3 2" xfId="11555"/>
    <cellStyle name="40% - Accent4 4 4" xfId="11553"/>
    <cellStyle name="40% - Accent4 4_10-15-10-Stmt AU - Period I - Working 1 0" xfId="290"/>
    <cellStyle name="40% - Accent4 5" xfId="291"/>
    <cellStyle name="40% - Accent4 5 2" xfId="292"/>
    <cellStyle name="40% - Accent4 5 2 2" xfId="11557"/>
    <cellStyle name="40% - Accent4 5 3" xfId="293"/>
    <cellStyle name="40% - Accent4 5 3 2" xfId="11558"/>
    <cellStyle name="40% - Accent4 5 4" xfId="11556"/>
    <cellStyle name="40% - Accent4 5_10-15-10-Stmt AU - Period I - Working 1 0" xfId="294"/>
    <cellStyle name="40% - Accent4 6" xfId="295"/>
    <cellStyle name="40% - Accent4 6 2" xfId="296"/>
    <cellStyle name="40% - Accent4 6 2 2" xfId="11560"/>
    <cellStyle name="40% - Accent4 6 3" xfId="297"/>
    <cellStyle name="40% - Accent4 6 3 2" xfId="11561"/>
    <cellStyle name="40% - Accent4 6 4" xfId="11559"/>
    <cellStyle name="40% - Accent4 6_10-15-10-Stmt AU - Period I - Working 1 0" xfId="298"/>
    <cellStyle name="40% - Accent4 7" xfId="299"/>
    <cellStyle name="40% - Accent4 7 2" xfId="300"/>
    <cellStyle name="40% - Accent4 7 2 2" xfId="11563"/>
    <cellStyle name="40% - Accent4 7 3" xfId="301"/>
    <cellStyle name="40% - Accent4 7 3 2" xfId="11564"/>
    <cellStyle name="40% - Accent4 7 4" xfId="11562"/>
    <cellStyle name="40% - Accent4 7_10-15-10-Stmt AU - Period I - Working 1 0" xfId="302"/>
    <cellStyle name="40% - Accent4 8" xfId="303"/>
    <cellStyle name="40% - Accent4 8 2" xfId="11565"/>
    <cellStyle name="40% - Accent4 9" xfId="304"/>
    <cellStyle name="40% - Accent4 9 2" xfId="11566"/>
    <cellStyle name="40% - Accent5 10" xfId="305"/>
    <cellStyle name="40% - Accent5 10 2" xfId="11567"/>
    <cellStyle name="40% - Accent5 11" xfId="306"/>
    <cellStyle name="40% - Accent5 11 2" xfId="11568"/>
    <cellStyle name="40% - Accent5 12" xfId="307"/>
    <cellStyle name="40% - Accent5 12 2" xfId="11569"/>
    <cellStyle name="40% - Accent5 13" xfId="308"/>
    <cellStyle name="40% - Accent5 13 2" xfId="11570"/>
    <cellStyle name="40% - Accent5 14" xfId="11293"/>
    <cellStyle name="40% - Accent5 2" xfId="309"/>
    <cellStyle name="40% - Accent5 2 2" xfId="310"/>
    <cellStyle name="40% - Accent5 2 2 2" xfId="11572"/>
    <cellStyle name="40% - Accent5 2 3" xfId="311"/>
    <cellStyle name="40% - Accent5 2 3 2" xfId="11573"/>
    <cellStyle name="40% - Accent5 2 4" xfId="11571"/>
    <cellStyle name="40% - Accent5 2_10-15-10-Stmt AU - Period I - Working 1 0" xfId="312"/>
    <cellStyle name="40% - Accent5 3" xfId="313"/>
    <cellStyle name="40% - Accent5 3 2" xfId="314"/>
    <cellStyle name="40% - Accent5 3 2 2" xfId="11575"/>
    <cellStyle name="40% - Accent5 3 3" xfId="315"/>
    <cellStyle name="40% - Accent5 3 3 2" xfId="11576"/>
    <cellStyle name="40% - Accent5 3 4" xfId="11574"/>
    <cellStyle name="40% - Accent5 3_10-15-10-Stmt AU - Period I - Working 1 0" xfId="316"/>
    <cellStyle name="40% - Accent5 4" xfId="317"/>
    <cellStyle name="40% - Accent5 4 2" xfId="318"/>
    <cellStyle name="40% - Accent5 4 2 2" xfId="11578"/>
    <cellStyle name="40% - Accent5 4 3" xfId="319"/>
    <cellStyle name="40% - Accent5 4 3 2" xfId="11579"/>
    <cellStyle name="40% - Accent5 4 4" xfId="11577"/>
    <cellStyle name="40% - Accent5 4_10-15-10-Stmt AU - Period I - Working 1 0" xfId="320"/>
    <cellStyle name="40% - Accent5 5" xfId="321"/>
    <cellStyle name="40% - Accent5 5 2" xfId="322"/>
    <cellStyle name="40% - Accent5 5 2 2" xfId="11581"/>
    <cellStyle name="40% - Accent5 5 3" xfId="323"/>
    <cellStyle name="40% - Accent5 5 3 2" xfId="11582"/>
    <cellStyle name="40% - Accent5 5 4" xfId="11580"/>
    <cellStyle name="40% - Accent5 5_10-15-10-Stmt AU - Period I - Working 1 0" xfId="324"/>
    <cellStyle name="40% - Accent5 6" xfId="325"/>
    <cellStyle name="40% - Accent5 6 2" xfId="326"/>
    <cellStyle name="40% - Accent5 6 2 2" xfId="11584"/>
    <cellStyle name="40% - Accent5 6 3" xfId="327"/>
    <cellStyle name="40% - Accent5 6 3 2" xfId="11585"/>
    <cellStyle name="40% - Accent5 6 4" xfId="11583"/>
    <cellStyle name="40% - Accent5 6_10-15-10-Stmt AU - Period I - Working 1 0" xfId="328"/>
    <cellStyle name="40% - Accent5 7" xfId="329"/>
    <cellStyle name="40% - Accent5 7 2" xfId="330"/>
    <cellStyle name="40% - Accent5 7 2 2" xfId="11587"/>
    <cellStyle name="40% - Accent5 7 3" xfId="331"/>
    <cellStyle name="40% - Accent5 7 3 2" xfId="11588"/>
    <cellStyle name="40% - Accent5 7 4" xfId="11586"/>
    <cellStyle name="40% - Accent5 7_10-15-10-Stmt AU - Period I - Working 1 0" xfId="332"/>
    <cellStyle name="40% - Accent5 8" xfId="333"/>
    <cellStyle name="40% - Accent5 8 2" xfId="11589"/>
    <cellStyle name="40% - Accent5 9" xfId="334"/>
    <cellStyle name="40% - Accent5 9 2" xfId="11590"/>
    <cellStyle name="40% - Accent6 10" xfId="335"/>
    <cellStyle name="40% - Accent6 10 2" xfId="11591"/>
    <cellStyle name="40% - Accent6 11" xfId="336"/>
    <cellStyle name="40% - Accent6 11 2" xfId="11592"/>
    <cellStyle name="40% - Accent6 12" xfId="337"/>
    <cellStyle name="40% - Accent6 12 2" xfId="11593"/>
    <cellStyle name="40% - Accent6 13" xfId="338"/>
    <cellStyle name="40% - Accent6 13 2" xfId="11594"/>
    <cellStyle name="40% - Accent6 14" xfId="11294"/>
    <cellStyle name="40% - Accent6 2" xfId="339"/>
    <cellStyle name="40% - Accent6 2 2" xfId="340"/>
    <cellStyle name="40% - Accent6 2 2 2" xfId="11596"/>
    <cellStyle name="40% - Accent6 2 3" xfId="341"/>
    <cellStyle name="40% - Accent6 2 3 2" xfId="11597"/>
    <cellStyle name="40% - Accent6 2 4" xfId="11595"/>
    <cellStyle name="40% - Accent6 2_10-15-10-Stmt AU - Period I - Working 1 0" xfId="342"/>
    <cellStyle name="40% - Accent6 3" xfId="343"/>
    <cellStyle name="40% - Accent6 3 2" xfId="344"/>
    <cellStyle name="40% - Accent6 3 2 2" xfId="11599"/>
    <cellStyle name="40% - Accent6 3 3" xfId="345"/>
    <cellStyle name="40% - Accent6 3 3 2" xfId="11600"/>
    <cellStyle name="40% - Accent6 3 4" xfId="11598"/>
    <cellStyle name="40% - Accent6 3_10-15-10-Stmt AU - Period I - Working 1 0" xfId="346"/>
    <cellStyle name="40% - Accent6 4" xfId="347"/>
    <cellStyle name="40% - Accent6 4 2" xfId="348"/>
    <cellStyle name="40% - Accent6 4 2 2" xfId="11602"/>
    <cellStyle name="40% - Accent6 4 3" xfId="349"/>
    <cellStyle name="40% - Accent6 4 3 2" xfId="11603"/>
    <cellStyle name="40% - Accent6 4 4" xfId="11601"/>
    <cellStyle name="40% - Accent6 4_10-15-10-Stmt AU - Period I - Working 1 0" xfId="350"/>
    <cellStyle name="40% - Accent6 5" xfId="351"/>
    <cellStyle name="40% - Accent6 5 2" xfId="352"/>
    <cellStyle name="40% - Accent6 5 2 2" xfId="11605"/>
    <cellStyle name="40% - Accent6 5 3" xfId="353"/>
    <cellStyle name="40% - Accent6 5 3 2" xfId="11606"/>
    <cellStyle name="40% - Accent6 5 4" xfId="11604"/>
    <cellStyle name="40% - Accent6 5_10-15-10-Stmt AU - Period I - Working 1 0" xfId="354"/>
    <cellStyle name="40% - Accent6 6" xfId="355"/>
    <cellStyle name="40% - Accent6 6 2" xfId="356"/>
    <cellStyle name="40% - Accent6 6 2 2" xfId="11608"/>
    <cellStyle name="40% - Accent6 6 3" xfId="357"/>
    <cellStyle name="40% - Accent6 6 3 2" xfId="11609"/>
    <cellStyle name="40% - Accent6 6 4" xfId="11607"/>
    <cellStyle name="40% - Accent6 6_10-15-10-Stmt AU - Period I - Working 1 0" xfId="358"/>
    <cellStyle name="40% - Accent6 7" xfId="359"/>
    <cellStyle name="40% - Accent6 7 2" xfId="360"/>
    <cellStyle name="40% - Accent6 7 2 2" xfId="11611"/>
    <cellStyle name="40% - Accent6 7 3" xfId="361"/>
    <cellStyle name="40% - Accent6 7 3 2" xfId="11612"/>
    <cellStyle name="40% - Accent6 7 4" xfId="11610"/>
    <cellStyle name="40% - Accent6 7_10-15-10-Stmt AU - Period I - Working 1 0" xfId="362"/>
    <cellStyle name="40% - Accent6 8" xfId="363"/>
    <cellStyle name="40% - Accent6 8 2" xfId="11613"/>
    <cellStyle name="40% - Accent6 9" xfId="364"/>
    <cellStyle name="40% - Accent6 9 2" xfId="11614"/>
    <cellStyle name="60% - Accent1 2" xfId="365"/>
    <cellStyle name="60% - Accent2 2" xfId="366"/>
    <cellStyle name="60% - Accent3 2" xfId="367"/>
    <cellStyle name="60% - Accent4 2" xfId="368"/>
    <cellStyle name="60% - Accent5 2" xfId="369"/>
    <cellStyle name="60% - Accent6 2" xfId="370"/>
    <cellStyle name="Accent1 2" xfId="371"/>
    <cellStyle name="Accent2 2" xfId="372"/>
    <cellStyle name="Accent3 2" xfId="373"/>
    <cellStyle name="Accent4 2" xfId="374"/>
    <cellStyle name="Accent5 2" xfId="375"/>
    <cellStyle name="Accent6 2" xfId="376"/>
    <cellStyle name="Bad 2" xfId="377"/>
    <cellStyle name="Body" xfId="378"/>
    <cellStyle name="Calculation 2" xfId="379"/>
    <cellStyle name="Calculation 2 10" xfId="754"/>
    <cellStyle name="Calculation 2 10 2" xfId="755"/>
    <cellStyle name="Calculation 2 11" xfId="756"/>
    <cellStyle name="Calculation 2 11 2" xfId="757"/>
    <cellStyle name="Calculation 2 12" xfId="758"/>
    <cellStyle name="Calculation 2 12 2" xfId="759"/>
    <cellStyle name="Calculation 2 13" xfId="760"/>
    <cellStyle name="Calculation 2 13 2" xfId="761"/>
    <cellStyle name="Calculation 2 14" xfId="762"/>
    <cellStyle name="Calculation 2 14 2" xfId="763"/>
    <cellStyle name="Calculation 2 15" xfId="764"/>
    <cellStyle name="Calculation 2 15 2" xfId="765"/>
    <cellStyle name="Calculation 2 16" xfId="766"/>
    <cellStyle name="Calculation 2 2" xfId="767"/>
    <cellStyle name="Calculation 2 2 10" xfId="768"/>
    <cellStyle name="Calculation 2 2 10 2" xfId="769"/>
    <cellStyle name="Calculation 2 2 11" xfId="770"/>
    <cellStyle name="Calculation 2 2 2" xfId="771"/>
    <cellStyle name="Calculation 2 2 2 2" xfId="772"/>
    <cellStyle name="Calculation 2 2 2 2 2" xfId="773"/>
    <cellStyle name="Calculation 2 2 2 3" xfId="774"/>
    <cellStyle name="Calculation 2 2 3" xfId="775"/>
    <cellStyle name="Calculation 2 2 3 2" xfId="776"/>
    <cellStyle name="Calculation 2 2 4" xfId="777"/>
    <cellStyle name="Calculation 2 2 4 2" xfId="778"/>
    <cellStyle name="Calculation 2 2 5" xfId="779"/>
    <cellStyle name="Calculation 2 2 5 2" xfId="780"/>
    <cellStyle name="Calculation 2 2 6" xfId="781"/>
    <cellStyle name="Calculation 2 2 6 2" xfId="782"/>
    <cellStyle name="Calculation 2 2 7" xfId="783"/>
    <cellStyle name="Calculation 2 2 7 2" xfId="784"/>
    <cellStyle name="Calculation 2 2 8" xfId="785"/>
    <cellStyle name="Calculation 2 2 8 2" xfId="786"/>
    <cellStyle name="Calculation 2 2 9" xfId="787"/>
    <cellStyle name="Calculation 2 2 9 2" xfId="788"/>
    <cellStyle name="Calculation 2 3" xfId="789"/>
    <cellStyle name="Calculation 2 3 10" xfId="790"/>
    <cellStyle name="Calculation 2 3 10 2" xfId="791"/>
    <cellStyle name="Calculation 2 3 11" xfId="792"/>
    <cellStyle name="Calculation 2 3 2" xfId="793"/>
    <cellStyle name="Calculation 2 3 2 2" xfId="794"/>
    <cellStyle name="Calculation 2 3 2 2 2" xfId="795"/>
    <cellStyle name="Calculation 2 3 2 3" xfId="796"/>
    <cellStyle name="Calculation 2 3 3" xfId="797"/>
    <cellStyle name="Calculation 2 3 3 2" xfId="798"/>
    <cellStyle name="Calculation 2 3 4" xfId="799"/>
    <cellStyle name="Calculation 2 3 4 2" xfId="800"/>
    <cellStyle name="Calculation 2 3 5" xfId="801"/>
    <cellStyle name="Calculation 2 3 5 2" xfId="802"/>
    <cellStyle name="Calculation 2 3 6" xfId="803"/>
    <cellStyle name="Calculation 2 3 6 2" xfId="804"/>
    <cellStyle name="Calculation 2 3 7" xfId="805"/>
    <cellStyle name="Calculation 2 3 7 2" xfId="806"/>
    <cellStyle name="Calculation 2 3 8" xfId="807"/>
    <cellStyle name="Calculation 2 3 8 2" xfId="808"/>
    <cellStyle name="Calculation 2 3 9" xfId="809"/>
    <cellStyle name="Calculation 2 3 9 2" xfId="810"/>
    <cellStyle name="Calculation 2 4" xfId="811"/>
    <cellStyle name="Calculation 2 4 10" xfId="812"/>
    <cellStyle name="Calculation 2 4 10 2" xfId="813"/>
    <cellStyle name="Calculation 2 4 11" xfId="814"/>
    <cellStyle name="Calculation 2 4 2" xfId="815"/>
    <cellStyle name="Calculation 2 4 2 2" xfId="816"/>
    <cellStyle name="Calculation 2 4 2 2 2" xfId="817"/>
    <cellStyle name="Calculation 2 4 2 3" xfId="818"/>
    <cellStyle name="Calculation 2 4 3" xfId="819"/>
    <cellStyle name="Calculation 2 4 3 2" xfId="820"/>
    <cellStyle name="Calculation 2 4 4" xfId="821"/>
    <cellStyle name="Calculation 2 4 4 2" xfId="822"/>
    <cellStyle name="Calculation 2 4 5" xfId="823"/>
    <cellStyle name="Calculation 2 4 5 2" xfId="824"/>
    <cellStyle name="Calculation 2 4 6" xfId="825"/>
    <cellStyle name="Calculation 2 4 6 2" xfId="826"/>
    <cellStyle name="Calculation 2 4 7" xfId="827"/>
    <cellStyle name="Calculation 2 4 7 2" xfId="828"/>
    <cellStyle name="Calculation 2 4 8" xfId="829"/>
    <cellStyle name="Calculation 2 4 8 2" xfId="830"/>
    <cellStyle name="Calculation 2 4 9" xfId="831"/>
    <cellStyle name="Calculation 2 4 9 2" xfId="832"/>
    <cellStyle name="Calculation 2 5" xfId="833"/>
    <cellStyle name="Calculation 2 5 10" xfId="834"/>
    <cellStyle name="Calculation 2 5 10 2" xfId="835"/>
    <cellStyle name="Calculation 2 5 11" xfId="836"/>
    <cellStyle name="Calculation 2 5 2" xfId="837"/>
    <cellStyle name="Calculation 2 5 2 2" xfId="838"/>
    <cellStyle name="Calculation 2 5 2 2 2" xfId="839"/>
    <cellStyle name="Calculation 2 5 2 3" xfId="840"/>
    <cellStyle name="Calculation 2 5 3" xfId="841"/>
    <cellStyle name="Calculation 2 5 3 2" xfId="842"/>
    <cellStyle name="Calculation 2 5 4" xfId="843"/>
    <cellStyle name="Calculation 2 5 4 2" xfId="844"/>
    <cellStyle name="Calculation 2 5 5" xfId="845"/>
    <cellStyle name="Calculation 2 5 5 2" xfId="846"/>
    <cellStyle name="Calculation 2 5 6" xfId="847"/>
    <cellStyle name="Calculation 2 5 6 2" xfId="848"/>
    <cellStyle name="Calculation 2 5 7" xfId="849"/>
    <cellStyle name="Calculation 2 5 7 2" xfId="850"/>
    <cellStyle name="Calculation 2 5 8" xfId="851"/>
    <cellStyle name="Calculation 2 5 8 2" xfId="852"/>
    <cellStyle name="Calculation 2 5 9" xfId="853"/>
    <cellStyle name="Calculation 2 5 9 2" xfId="854"/>
    <cellStyle name="Calculation 2 6" xfId="855"/>
    <cellStyle name="Calculation 2 6 10" xfId="856"/>
    <cellStyle name="Calculation 2 6 10 2" xfId="857"/>
    <cellStyle name="Calculation 2 6 11" xfId="858"/>
    <cellStyle name="Calculation 2 6 2" xfId="859"/>
    <cellStyle name="Calculation 2 6 2 2" xfId="860"/>
    <cellStyle name="Calculation 2 6 2 2 2" xfId="861"/>
    <cellStyle name="Calculation 2 6 2 3" xfId="862"/>
    <cellStyle name="Calculation 2 6 3" xfId="863"/>
    <cellStyle name="Calculation 2 6 3 2" xfId="864"/>
    <cellStyle name="Calculation 2 6 4" xfId="865"/>
    <cellStyle name="Calculation 2 6 4 2" xfId="866"/>
    <cellStyle name="Calculation 2 6 5" xfId="867"/>
    <cellStyle name="Calculation 2 6 5 2" xfId="868"/>
    <cellStyle name="Calculation 2 6 6" xfId="869"/>
    <cellStyle name="Calculation 2 6 6 2" xfId="870"/>
    <cellStyle name="Calculation 2 6 7" xfId="871"/>
    <cellStyle name="Calculation 2 6 7 2" xfId="872"/>
    <cellStyle name="Calculation 2 6 8" xfId="873"/>
    <cellStyle name="Calculation 2 6 8 2" xfId="874"/>
    <cellStyle name="Calculation 2 6 9" xfId="875"/>
    <cellStyle name="Calculation 2 6 9 2" xfId="876"/>
    <cellStyle name="Calculation 2 7" xfId="877"/>
    <cellStyle name="Calculation 2 7 2" xfId="878"/>
    <cellStyle name="Calculation 2 7 2 2" xfId="879"/>
    <cellStyle name="Calculation 2 7 3" xfId="880"/>
    <cellStyle name="Calculation 2 8" xfId="881"/>
    <cellStyle name="Calculation 2 8 2" xfId="882"/>
    <cellStyle name="Calculation 2 9" xfId="883"/>
    <cellStyle name="Calculation 2 9 2" xfId="884"/>
    <cellStyle name="Check Cell 2" xfId="380"/>
    <cellStyle name="Column.Head" xfId="381"/>
    <cellStyle name="Comma" xfId="382" builtinId="3"/>
    <cellStyle name="Comma  - Style1" xfId="383"/>
    <cellStyle name="Comma  - Style2" xfId="384"/>
    <cellStyle name="Comma  - Style3" xfId="385"/>
    <cellStyle name="Comma  - Style4" xfId="386"/>
    <cellStyle name="Comma  - Style5" xfId="387"/>
    <cellStyle name="Comma  - Style6" xfId="388"/>
    <cellStyle name="Comma  - Style7" xfId="389"/>
    <cellStyle name="Comma  - Style8" xfId="390"/>
    <cellStyle name="Comma [0] 2" xfId="391"/>
    <cellStyle name="Comma [0] 2 2" xfId="392"/>
    <cellStyle name="Comma [0] 3" xfId="885"/>
    <cellStyle name="Comma 10" xfId="393"/>
    <cellStyle name="Comma 10 2" xfId="394"/>
    <cellStyle name="Comma 11" xfId="395"/>
    <cellStyle name="Comma 11 2" xfId="396"/>
    <cellStyle name="Comma 12" xfId="397"/>
    <cellStyle name="Comma 12 2" xfId="398"/>
    <cellStyle name="Comma 12 3" xfId="886"/>
    <cellStyle name="Comma 12 3 2" xfId="11645"/>
    <cellStyle name="Comma 12 3 2 2" xfId="19670"/>
    <cellStyle name="Comma 12 3 2 2 2" xfId="33695"/>
    <cellStyle name="Comma 12 3 2 2 2 2" xfId="37699"/>
    <cellStyle name="Comma 12 3 2 3" xfId="25684"/>
    <cellStyle name="Comma 12 3 3" xfId="13660"/>
    <cellStyle name="Comma 12 3 3 2" xfId="21675"/>
    <cellStyle name="Comma 12 3 3 2 2" xfId="35700"/>
    <cellStyle name="Comma 12 3 3 3" xfId="27689"/>
    <cellStyle name="Comma 12 3 4" xfId="15666"/>
    <cellStyle name="Comma 12 3 4 2" xfId="29691"/>
    <cellStyle name="Comma 12 3 5" xfId="17668"/>
    <cellStyle name="Comma 12 3 5 2" xfId="31693"/>
    <cellStyle name="Comma 12 3 6" xfId="23682"/>
    <cellStyle name="Comma 13" xfId="399"/>
    <cellStyle name="Comma 13 2" xfId="400"/>
    <cellStyle name="Comma 14" xfId="401"/>
    <cellStyle name="Comma 14 2" xfId="887"/>
    <cellStyle name="Comma 14 2 10" xfId="17669"/>
    <cellStyle name="Comma 14 2 10 2" xfId="31694"/>
    <cellStyle name="Comma 14 2 11" xfId="23683"/>
    <cellStyle name="Comma 14 2 2" xfId="888"/>
    <cellStyle name="Comma 14 2 2 10" xfId="23684"/>
    <cellStyle name="Comma 14 2 2 2" xfId="889"/>
    <cellStyle name="Comma 14 2 2 2 2" xfId="890"/>
    <cellStyle name="Comma 14 2 2 2 2 2" xfId="891"/>
    <cellStyle name="Comma 14 2 2 2 2 2 2" xfId="11650"/>
    <cellStyle name="Comma 14 2 2 2 2 2 2 2" xfId="19675"/>
    <cellStyle name="Comma 14 2 2 2 2 2 2 2 2" xfId="33700"/>
    <cellStyle name="Comma 14 2 2 2 2 2 2 3" xfId="25689"/>
    <cellStyle name="Comma 14 2 2 2 2 2 3" xfId="13665"/>
    <cellStyle name="Comma 14 2 2 2 2 2 3 2" xfId="21680"/>
    <cellStyle name="Comma 14 2 2 2 2 2 3 2 2" xfId="35705"/>
    <cellStyle name="Comma 14 2 2 2 2 2 3 3" xfId="27694"/>
    <cellStyle name="Comma 14 2 2 2 2 2 4" xfId="15671"/>
    <cellStyle name="Comma 14 2 2 2 2 2 4 2" xfId="29696"/>
    <cellStyle name="Comma 14 2 2 2 2 2 5" xfId="17673"/>
    <cellStyle name="Comma 14 2 2 2 2 2 5 2" xfId="31698"/>
    <cellStyle name="Comma 14 2 2 2 2 2 6" xfId="23687"/>
    <cellStyle name="Comma 14 2 2 2 2 3" xfId="11649"/>
    <cellStyle name="Comma 14 2 2 2 2 3 2" xfId="19674"/>
    <cellStyle name="Comma 14 2 2 2 2 3 2 2" xfId="33699"/>
    <cellStyle name="Comma 14 2 2 2 2 3 3" xfId="25688"/>
    <cellStyle name="Comma 14 2 2 2 2 4" xfId="13664"/>
    <cellStyle name="Comma 14 2 2 2 2 4 2" xfId="21679"/>
    <cellStyle name="Comma 14 2 2 2 2 4 2 2" xfId="35704"/>
    <cellStyle name="Comma 14 2 2 2 2 4 3" xfId="27693"/>
    <cellStyle name="Comma 14 2 2 2 2 5" xfId="15670"/>
    <cellStyle name="Comma 14 2 2 2 2 5 2" xfId="29695"/>
    <cellStyle name="Comma 14 2 2 2 2 6" xfId="17672"/>
    <cellStyle name="Comma 14 2 2 2 2 6 2" xfId="31697"/>
    <cellStyle name="Comma 14 2 2 2 2 7" xfId="23686"/>
    <cellStyle name="Comma 14 2 2 2 3" xfId="892"/>
    <cellStyle name="Comma 14 2 2 2 3 2" xfId="11651"/>
    <cellStyle name="Comma 14 2 2 2 3 2 2" xfId="19676"/>
    <cellStyle name="Comma 14 2 2 2 3 2 2 2" xfId="33701"/>
    <cellStyle name="Comma 14 2 2 2 3 2 3" xfId="25690"/>
    <cellStyle name="Comma 14 2 2 2 3 3" xfId="13666"/>
    <cellStyle name="Comma 14 2 2 2 3 3 2" xfId="21681"/>
    <cellStyle name="Comma 14 2 2 2 3 3 2 2" xfId="35706"/>
    <cellStyle name="Comma 14 2 2 2 3 3 3" xfId="27695"/>
    <cellStyle name="Comma 14 2 2 2 3 4" xfId="15672"/>
    <cellStyle name="Comma 14 2 2 2 3 4 2" xfId="29697"/>
    <cellStyle name="Comma 14 2 2 2 3 5" xfId="17674"/>
    <cellStyle name="Comma 14 2 2 2 3 5 2" xfId="31699"/>
    <cellStyle name="Comma 14 2 2 2 3 6" xfId="23688"/>
    <cellStyle name="Comma 14 2 2 2 4" xfId="11648"/>
    <cellStyle name="Comma 14 2 2 2 4 2" xfId="19673"/>
    <cellStyle name="Comma 14 2 2 2 4 2 2" xfId="33698"/>
    <cellStyle name="Comma 14 2 2 2 4 3" xfId="25687"/>
    <cellStyle name="Comma 14 2 2 2 5" xfId="13663"/>
    <cellStyle name="Comma 14 2 2 2 5 2" xfId="21678"/>
    <cellStyle name="Comma 14 2 2 2 5 2 2" xfId="35703"/>
    <cellStyle name="Comma 14 2 2 2 5 3" xfId="27692"/>
    <cellStyle name="Comma 14 2 2 2 6" xfId="15669"/>
    <cellStyle name="Comma 14 2 2 2 6 2" xfId="29694"/>
    <cellStyle name="Comma 14 2 2 2 7" xfId="17671"/>
    <cellStyle name="Comma 14 2 2 2 7 2" xfId="31696"/>
    <cellStyle name="Comma 14 2 2 2 8" xfId="23685"/>
    <cellStyle name="Comma 14 2 2 3" xfId="893"/>
    <cellStyle name="Comma 14 2 2 3 2" xfId="894"/>
    <cellStyle name="Comma 14 2 2 3 2 2" xfId="11653"/>
    <cellStyle name="Comma 14 2 2 3 2 2 2" xfId="19678"/>
    <cellStyle name="Comma 14 2 2 3 2 2 2 2" xfId="33703"/>
    <cellStyle name="Comma 14 2 2 3 2 2 3" xfId="25692"/>
    <cellStyle name="Comma 14 2 2 3 2 3" xfId="13668"/>
    <cellStyle name="Comma 14 2 2 3 2 3 2" xfId="21683"/>
    <cellStyle name="Comma 14 2 2 3 2 3 2 2" xfId="35708"/>
    <cellStyle name="Comma 14 2 2 3 2 3 3" xfId="27697"/>
    <cellStyle name="Comma 14 2 2 3 2 4" xfId="15674"/>
    <cellStyle name="Comma 14 2 2 3 2 4 2" xfId="29699"/>
    <cellStyle name="Comma 14 2 2 3 2 5" xfId="17676"/>
    <cellStyle name="Comma 14 2 2 3 2 5 2" xfId="31701"/>
    <cellStyle name="Comma 14 2 2 3 2 6" xfId="23690"/>
    <cellStyle name="Comma 14 2 2 3 3" xfId="11652"/>
    <cellStyle name="Comma 14 2 2 3 3 2" xfId="19677"/>
    <cellStyle name="Comma 14 2 2 3 3 2 2" xfId="33702"/>
    <cellStyle name="Comma 14 2 2 3 3 3" xfId="25691"/>
    <cellStyle name="Comma 14 2 2 3 4" xfId="13667"/>
    <cellStyle name="Comma 14 2 2 3 4 2" xfId="21682"/>
    <cellStyle name="Comma 14 2 2 3 4 2 2" xfId="35707"/>
    <cellStyle name="Comma 14 2 2 3 4 3" xfId="27696"/>
    <cellStyle name="Comma 14 2 2 3 5" xfId="15673"/>
    <cellStyle name="Comma 14 2 2 3 5 2" xfId="29698"/>
    <cellStyle name="Comma 14 2 2 3 6" xfId="17675"/>
    <cellStyle name="Comma 14 2 2 3 6 2" xfId="31700"/>
    <cellStyle name="Comma 14 2 2 3 7" xfId="23689"/>
    <cellStyle name="Comma 14 2 2 4" xfId="895"/>
    <cellStyle name="Comma 14 2 2 4 2" xfId="896"/>
    <cellStyle name="Comma 14 2 2 4 2 2" xfId="11655"/>
    <cellStyle name="Comma 14 2 2 4 2 2 2" xfId="19680"/>
    <cellStyle name="Comma 14 2 2 4 2 2 2 2" xfId="33705"/>
    <cellStyle name="Comma 14 2 2 4 2 2 3" xfId="25694"/>
    <cellStyle name="Comma 14 2 2 4 2 3" xfId="13670"/>
    <cellStyle name="Comma 14 2 2 4 2 3 2" xfId="21685"/>
    <cellStyle name="Comma 14 2 2 4 2 3 2 2" xfId="35710"/>
    <cellStyle name="Comma 14 2 2 4 2 3 3" xfId="27699"/>
    <cellStyle name="Comma 14 2 2 4 2 4" xfId="15676"/>
    <cellStyle name="Comma 14 2 2 4 2 4 2" xfId="29701"/>
    <cellStyle name="Comma 14 2 2 4 2 5" xfId="17678"/>
    <cellStyle name="Comma 14 2 2 4 2 5 2" xfId="31703"/>
    <cellStyle name="Comma 14 2 2 4 2 6" xfId="23692"/>
    <cellStyle name="Comma 14 2 2 4 3" xfId="11654"/>
    <cellStyle name="Comma 14 2 2 4 3 2" xfId="19679"/>
    <cellStyle name="Comma 14 2 2 4 3 2 2" xfId="33704"/>
    <cellStyle name="Comma 14 2 2 4 3 3" xfId="25693"/>
    <cellStyle name="Comma 14 2 2 4 4" xfId="13669"/>
    <cellStyle name="Comma 14 2 2 4 4 2" xfId="21684"/>
    <cellStyle name="Comma 14 2 2 4 4 2 2" xfId="35709"/>
    <cellStyle name="Comma 14 2 2 4 4 3" xfId="27698"/>
    <cellStyle name="Comma 14 2 2 4 5" xfId="15675"/>
    <cellStyle name="Comma 14 2 2 4 5 2" xfId="29700"/>
    <cellStyle name="Comma 14 2 2 4 6" xfId="17677"/>
    <cellStyle name="Comma 14 2 2 4 6 2" xfId="31702"/>
    <cellStyle name="Comma 14 2 2 4 7" xfId="23691"/>
    <cellStyle name="Comma 14 2 2 5" xfId="897"/>
    <cellStyle name="Comma 14 2 2 5 2" xfId="11656"/>
    <cellStyle name="Comma 14 2 2 5 2 2" xfId="19681"/>
    <cellStyle name="Comma 14 2 2 5 2 2 2" xfId="33706"/>
    <cellStyle name="Comma 14 2 2 5 2 3" xfId="25695"/>
    <cellStyle name="Comma 14 2 2 5 3" xfId="13671"/>
    <cellStyle name="Comma 14 2 2 5 3 2" xfId="21686"/>
    <cellStyle name="Comma 14 2 2 5 3 2 2" xfId="35711"/>
    <cellStyle name="Comma 14 2 2 5 3 3" xfId="27700"/>
    <cellStyle name="Comma 14 2 2 5 4" xfId="15677"/>
    <cellStyle name="Comma 14 2 2 5 4 2" xfId="29702"/>
    <cellStyle name="Comma 14 2 2 5 5" xfId="17679"/>
    <cellStyle name="Comma 14 2 2 5 5 2" xfId="31704"/>
    <cellStyle name="Comma 14 2 2 5 6" xfId="23693"/>
    <cellStyle name="Comma 14 2 2 6" xfId="11647"/>
    <cellStyle name="Comma 14 2 2 6 2" xfId="19672"/>
    <cellStyle name="Comma 14 2 2 6 2 2" xfId="33697"/>
    <cellStyle name="Comma 14 2 2 6 3" xfId="25686"/>
    <cellStyle name="Comma 14 2 2 7" xfId="13662"/>
    <cellStyle name="Comma 14 2 2 7 2" xfId="21677"/>
    <cellStyle name="Comma 14 2 2 7 2 2" xfId="35702"/>
    <cellStyle name="Comma 14 2 2 7 3" xfId="27691"/>
    <cellStyle name="Comma 14 2 2 8" xfId="15668"/>
    <cellStyle name="Comma 14 2 2 8 2" xfId="29693"/>
    <cellStyle name="Comma 14 2 2 9" xfId="17670"/>
    <cellStyle name="Comma 14 2 2 9 2" xfId="31695"/>
    <cellStyle name="Comma 14 2 3" xfId="898"/>
    <cellStyle name="Comma 14 2 3 2" xfId="899"/>
    <cellStyle name="Comma 14 2 3 2 2" xfId="900"/>
    <cellStyle name="Comma 14 2 3 2 2 2" xfId="11659"/>
    <cellStyle name="Comma 14 2 3 2 2 2 2" xfId="19684"/>
    <cellStyle name="Comma 14 2 3 2 2 2 2 2" xfId="33709"/>
    <cellStyle name="Comma 14 2 3 2 2 2 3" xfId="25698"/>
    <cellStyle name="Comma 14 2 3 2 2 3" xfId="13674"/>
    <cellStyle name="Comma 14 2 3 2 2 3 2" xfId="21689"/>
    <cellStyle name="Comma 14 2 3 2 2 3 2 2" xfId="35714"/>
    <cellStyle name="Comma 14 2 3 2 2 3 3" xfId="27703"/>
    <cellStyle name="Comma 14 2 3 2 2 4" xfId="15680"/>
    <cellStyle name="Comma 14 2 3 2 2 4 2" xfId="29705"/>
    <cellStyle name="Comma 14 2 3 2 2 5" xfId="17682"/>
    <cellStyle name="Comma 14 2 3 2 2 5 2" xfId="31707"/>
    <cellStyle name="Comma 14 2 3 2 2 6" xfId="23696"/>
    <cellStyle name="Comma 14 2 3 2 3" xfId="11658"/>
    <cellStyle name="Comma 14 2 3 2 3 2" xfId="19683"/>
    <cellStyle name="Comma 14 2 3 2 3 2 2" xfId="33708"/>
    <cellStyle name="Comma 14 2 3 2 3 3" xfId="25697"/>
    <cellStyle name="Comma 14 2 3 2 4" xfId="13673"/>
    <cellStyle name="Comma 14 2 3 2 4 2" xfId="21688"/>
    <cellStyle name="Comma 14 2 3 2 4 2 2" xfId="35713"/>
    <cellStyle name="Comma 14 2 3 2 4 3" xfId="27702"/>
    <cellStyle name="Comma 14 2 3 2 5" xfId="15679"/>
    <cellStyle name="Comma 14 2 3 2 5 2" xfId="29704"/>
    <cellStyle name="Comma 14 2 3 2 6" xfId="17681"/>
    <cellStyle name="Comma 14 2 3 2 6 2" xfId="31706"/>
    <cellStyle name="Comma 14 2 3 2 7" xfId="23695"/>
    <cellStyle name="Comma 14 2 3 3" xfId="901"/>
    <cellStyle name="Comma 14 2 3 3 2" xfId="11660"/>
    <cellStyle name="Comma 14 2 3 3 2 2" xfId="19685"/>
    <cellStyle name="Comma 14 2 3 3 2 2 2" xfId="33710"/>
    <cellStyle name="Comma 14 2 3 3 2 3" xfId="25699"/>
    <cellStyle name="Comma 14 2 3 3 3" xfId="13675"/>
    <cellStyle name="Comma 14 2 3 3 3 2" xfId="21690"/>
    <cellStyle name="Comma 14 2 3 3 3 2 2" xfId="35715"/>
    <cellStyle name="Comma 14 2 3 3 3 3" xfId="27704"/>
    <cellStyle name="Comma 14 2 3 3 4" xfId="15681"/>
    <cellStyle name="Comma 14 2 3 3 4 2" xfId="29706"/>
    <cellStyle name="Comma 14 2 3 3 5" xfId="17683"/>
    <cellStyle name="Comma 14 2 3 3 5 2" xfId="31708"/>
    <cellStyle name="Comma 14 2 3 3 6" xfId="23697"/>
    <cellStyle name="Comma 14 2 3 4" xfId="11657"/>
    <cellStyle name="Comma 14 2 3 4 2" xfId="19682"/>
    <cellStyle name="Comma 14 2 3 4 2 2" xfId="33707"/>
    <cellStyle name="Comma 14 2 3 4 3" xfId="25696"/>
    <cellStyle name="Comma 14 2 3 5" xfId="13672"/>
    <cellStyle name="Comma 14 2 3 5 2" xfId="21687"/>
    <cellStyle name="Comma 14 2 3 5 2 2" xfId="35712"/>
    <cellStyle name="Comma 14 2 3 5 3" xfId="27701"/>
    <cellStyle name="Comma 14 2 3 6" xfId="15678"/>
    <cellStyle name="Comma 14 2 3 6 2" xfId="29703"/>
    <cellStyle name="Comma 14 2 3 7" xfId="17680"/>
    <cellStyle name="Comma 14 2 3 7 2" xfId="31705"/>
    <cellStyle name="Comma 14 2 3 8" xfId="23694"/>
    <cellStyle name="Comma 14 2 4" xfId="902"/>
    <cellStyle name="Comma 14 2 4 2" xfId="903"/>
    <cellStyle name="Comma 14 2 4 2 2" xfId="11662"/>
    <cellStyle name="Comma 14 2 4 2 2 2" xfId="19687"/>
    <cellStyle name="Comma 14 2 4 2 2 2 2" xfId="33712"/>
    <cellStyle name="Comma 14 2 4 2 2 3" xfId="25701"/>
    <cellStyle name="Comma 14 2 4 2 3" xfId="13677"/>
    <cellStyle name="Comma 14 2 4 2 3 2" xfId="21692"/>
    <cellStyle name="Comma 14 2 4 2 3 2 2" xfId="35717"/>
    <cellStyle name="Comma 14 2 4 2 3 3" xfId="27706"/>
    <cellStyle name="Comma 14 2 4 2 4" xfId="15683"/>
    <cellStyle name="Comma 14 2 4 2 4 2" xfId="29708"/>
    <cellStyle name="Comma 14 2 4 2 5" xfId="17685"/>
    <cellStyle name="Comma 14 2 4 2 5 2" xfId="31710"/>
    <cellStyle name="Comma 14 2 4 2 6" xfId="23699"/>
    <cellStyle name="Comma 14 2 4 3" xfId="11661"/>
    <cellStyle name="Comma 14 2 4 3 2" xfId="19686"/>
    <cellStyle name="Comma 14 2 4 3 2 2" xfId="33711"/>
    <cellStyle name="Comma 14 2 4 3 3" xfId="25700"/>
    <cellStyle name="Comma 14 2 4 4" xfId="13676"/>
    <cellStyle name="Comma 14 2 4 4 2" xfId="21691"/>
    <cellStyle name="Comma 14 2 4 4 2 2" xfId="35716"/>
    <cellStyle name="Comma 14 2 4 4 3" xfId="27705"/>
    <cellStyle name="Comma 14 2 4 5" xfId="15682"/>
    <cellStyle name="Comma 14 2 4 5 2" xfId="29707"/>
    <cellStyle name="Comma 14 2 4 6" xfId="17684"/>
    <cellStyle name="Comma 14 2 4 6 2" xfId="31709"/>
    <cellStyle name="Comma 14 2 4 7" xfId="23698"/>
    <cellStyle name="Comma 14 2 5" xfId="904"/>
    <cellStyle name="Comma 14 2 5 2" xfId="905"/>
    <cellStyle name="Comma 14 2 5 2 2" xfId="11664"/>
    <cellStyle name="Comma 14 2 5 2 2 2" xfId="19689"/>
    <cellStyle name="Comma 14 2 5 2 2 2 2" xfId="33714"/>
    <cellStyle name="Comma 14 2 5 2 2 3" xfId="25703"/>
    <cellStyle name="Comma 14 2 5 2 3" xfId="13679"/>
    <cellStyle name="Comma 14 2 5 2 3 2" xfId="21694"/>
    <cellStyle name="Comma 14 2 5 2 3 2 2" xfId="35719"/>
    <cellStyle name="Comma 14 2 5 2 3 3" xfId="27708"/>
    <cellStyle name="Comma 14 2 5 2 4" xfId="15685"/>
    <cellStyle name="Comma 14 2 5 2 4 2" xfId="29710"/>
    <cellStyle name="Comma 14 2 5 2 5" xfId="17687"/>
    <cellStyle name="Comma 14 2 5 2 5 2" xfId="31712"/>
    <cellStyle name="Comma 14 2 5 2 6" xfId="23701"/>
    <cellStyle name="Comma 14 2 5 3" xfId="11663"/>
    <cellStyle name="Comma 14 2 5 3 2" xfId="19688"/>
    <cellStyle name="Comma 14 2 5 3 2 2" xfId="33713"/>
    <cellStyle name="Comma 14 2 5 3 3" xfId="25702"/>
    <cellStyle name="Comma 14 2 5 4" xfId="13678"/>
    <cellStyle name="Comma 14 2 5 4 2" xfId="21693"/>
    <cellStyle name="Comma 14 2 5 4 2 2" xfId="35718"/>
    <cellStyle name="Comma 14 2 5 4 3" xfId="27707"/>
    <cellStyle name="Comma 14 2 5 5" xfId="15684"/>
    <cellStyle name="Comma 14 2 5 5 2" xfId="29709"/>
    <cellStyle name="Comma 14 2 5 6" xfId="17686"/>
    <cellStyle name="Comma 14 2 5 6 2" xfId="31711"/>
    <cellStyle name="Comma 14 2 5 7" xfId="23700"/>
    <cellStyle name="Comma 14 2 6" xfId="906"/>
    <cellStyle name="Comma 14 2 6 2" xfId="11665"/>
    <cellStyle name="Comma 14 2 6 2 2" xfId="19690"/>
    <cellStyle name="Comma 14 2 6 2 2 2" xfId="33715"/>
    <cellStyle name="Comma 14 2 6 2 3" xfId="25704"/>
    <cellStyle name="Comma 14 2 6 3" xfId="13680"/>
    <cellStyle name="Comma 14 2 6 3 2" xfId="21695"/>
    <cellStyle name="Comma 14 2 6 3 2 2" xfId="35720"/>
    <cellStyle name="Comma 14 2 6 3 3" xfId="27709"/>
    <cellStyle name="Comma 14 2 6 4" xfId="15686"/>
    <cellStyle name="Comma 14 2 6 4 2" xfId="29711"/>
    <cellStyle name="Comma 14 2 6 5" xfId="17688"/>
    <cellStyle name="Comma 14 2 6 5 2" xfId="31713"/>
    <cellStyle name="Comma 14 2 6 6" xfId="23702"/>
    <cellStyle name="Comma 14 2 7" xfId="11646"/>
    <cellStyle name="Comma 14 2 7 2" xfId="19671"/>
    <cellStyle name="Comma 14 2 7 2 2" xfId="33696"/>
    <cellStyle name="Comma 14 2 7 3" xfId="25685"/>
    <cellStyle name="Comma 14 2 8" xfId="13661"/>
    <cellStyle name="Comma 14 2 8 2" xfId="21676"/>
    <cellStyle name="Comma 14 2 8 2 2" xfId="35701"/>
    <cellStyle name="Comma 14 2 8 3" xfId="27690"/>
    <cellStyle name="Comma 14 2 9" xfId="15667"/>
    <cellStyle name="Comma 14 2 9 2" xfId="29692"/>
    <cellStyle name="Comma 14 3" xfId="907"/>
    <cellStyle name="Comma 14 3 10" xfId="23703"/>
    <cellStyle name="Comma 14 3 2" xfId="908"/>
    <cellStyle name="Comma 14 3 2 2" xfId="909"/>
    <cellStyle name="Comma 14 3 2 2 2" xfId="910"/>
    <cellStyle name="Comma 14 3 2 2 2 2" xfId="11669"/>
    <cellStyle name="Comma 14 3 2 2 2 2 2" xfId="19694"/>
    <cellStyle name="Comma 14 3 2 2 2 2 2 2" xfId="33719"/>
    <cellStyle name="Comma 14 3 2 2 2 2 3" xfId="25708"/>
    <cellStyle name="Comma 14 3 2 2 2 3" xfId="13684"/>
    <cellStyle name="Comma 14 3 2 2 2 3 2" xfId="21699"/>
    <cellStyle name="Comma 14 3 2 2 2 3 2 2" xfId="35724"/>
    <cellStyle name="Comma 14 3 2 2 2 3 3" xfId="27713"/>
    <cellStyle name="Comma 14 3 2 2 2 4" xfId="15690"/>
    <cellStyle name="Comma 14 3 2 2 2 4 2" xfId="29715"/>
    <cellStyle name="Comma 14 3 2 2 2 5" xfId="17692"/>
    <cellStyle name="Comma 14 3 2 2 2 5 2" xfId="31717"/>
    <cellStyle name="Comma 14 3 2 2 2 6" xfId="23706"/>
    <cellStyle name="Comma 14 3 2 2 3" xfId="11668"/>
    <cellStyle name="Comma 14 3 2 2 3 2" xfId="19693"/>
    <cellStyle name="Comma 14 3 2 2 3 2 2" xfId="33718"/>
    <cellStyle name="Comma 14 3 2 2 3 3" xfId="25707"/>
    <cellStyle name="Comma 14 3 2 2 4" xfId="13683"/>
    <cellStyle name="Comma 14 3 2 2 4 2" xfId="21698"/>
    <cellStyle name="Comma 14 3 2 2 4 2 2" xfId="35723"/>
    <cellStyle name="Comma 14 3 2 2 4 3" xfId="27712"/>
    <cellStyle name="Comma 14 3 2 2 5" xfId="15689"/>
    <cellStyle name="Comma 14 3 2 2 5 2" xfId="29714"/>
    <cellStyle name="Comma 14 3 2 2 6" xfId="17691"/>
    <cellStyle name="Comma 14 3 2 2 6 2" xfId="31716"/>
    <cellStyle name="Comma 14 3 2 2 7" xfId="23705"/>
    <cellStyle name="Comma 14 3 2 3" xfId="911"/>
    <cellStyle name="Comma 14 3 2 3 2" xfId="11670"/>
    <cellStyle name="Comma 14 3 2 3 2 2" xfId="19695"/>
    <cellStyle name="Comma 14 3 2 3 2 2 2" xfId="33720"/>
    <cellStyle name="Comma 14 3 2 3 2 3" xfId="25709"/>
    <cellStyle name="Comma 14 3 2 3 3" xfId="13685"/>
    <cellStyle name="Comma 14 3 2 3 3 2" xfId="21700"/>
    <cellStyle name="Comma 14 3 2 3 3 2 2" xfId="35725"/>
    <cellStyle name="Comma 14 3 2 3 3 3" xfId="27714"/>
    <cellStyle name="Comma 14 3 2 3 4" xfId="15691"/>
    <cellStyle name="Comma 14 3 2 3 4 2" xfId="29716"/>
    <cellStyle name="Comma 14 3 2 3 5" xfId="17693"/>
    <cellStyle name="Comma 14 3 2 3 5 2" xfId="31718"/>
    <cellStyle name="Comma 14 3 2 3 6" xfId="23707"/>
    <cellStyle name="Comma 14 3 2 4" xfId="11667"/>
    <cellStyle name="Comma 14 3 2 4 2" xfId="19692"/>
    <cellStyle name="Comma 14 3 2 4 2 2" xfId="33717"/>
    <cellStyle name="Comma 14 3 2 4 3" xfId="25706"/>
    <cellStyle name="Comma 14 3 2 5" xfId="13682"/>
    <cellStyle name="Comma 14 3 2 5 2" xfId="21697"/>
    <cellStyle name="Comma 14 3 2 5 2 2" xfId="35722"/>
    <cellStyle name="Comma 14 3 2 5 3" xfId="27711"/>
    <cellStyle name="Comma 14 3 2 6" xfId="15688"/>
    <cellStyle name="Comma 14 3 2 6 2" xfId="29713"/>
    <cellStyle name="Comma 14 3 2 7" xfId="17690"/>
    <cellStyle name="Comma 14 3 2 7 2" xfId="31715"/>
    <cellStyle name="Comma 14 3 2 8" xfId="23704"/>
    <cellStyle name="Comma 14 3 3" xfId="912"/>
    <cellStyle name="Comma 14 3 3 2" xfId="913"/>
    <cellStyle name="Comma 14 3 3 2 2" xfId="11672"/>
    <cellStyle name="Comma 14 3 3 2 2 2" xfId="19697"/>
    <cellStyle name="Comma 14 3 3 2 2 2 2" xfId="33722"/>
    <cellStyle name="Comma 14 3 3 2 2 3" xfId="25711"/>
    <cellStyle name="Comma 14 3 3 2 3" xfId="13687"/>
    <cellStyle name="Comma 14 3 3 2 3 2" xfId="21702"/>
    <cellStyle name="Comma 14 3 3 2 3 2 2" xfId="35727"/>
    <cellStyle name="Comma 14 3 3 2 3 3" xfId="27716"/>
    <cellStyle name="Comma 14 3 3 2 4" xfId="15693"/>
    <cellStyle name="Comma 14 3 3 2 4 2" xfId="29718"/>
    <cellStyle name="Comma 14 3 3 2 5" xfId="17695"/>
    <cellStyle name="Comma 14 3 3 2 5 2" xfId="31720"/>
    <cellStyle name="Comma 14 3 3 2 6" xfId="23709"/>
    <cellStyle name="Comma 14 3 3 3" xfId="11671"/>
    <cellStyle name="Comma 14 3 3 3 2" xfId="19696"/>
    <cellStyle name="Comma 14 3 3 3 2 2" xfId="33721"/>
    <cellStyle name="Comma 14 3 3 3 3" xfId="25710"/>
    <cellStyle name="Comma 14 3 3 4" xfId="13686"/>
    <cellStyle name="Comma 14 3 3 4 2" xfId="21701"/>
    <cellStyle name="Comma 14 3 3 4 2 2" xfId="35726"/>
    <cellStyle name="Comma 14 3 3 4 3" xfId="27715"/>
    <cellStyle name="Comma 14 3 3 5" xfId="15692"/>
    <cellStyle name="Comma 14 3 3 5 2" xfId="29717"/>
    <cellStyle name="Comma 14 3 3 6" xfId="17694"/>
    <cellStyle name="Comma 14 3 3 6 2" xfId="31719"/>
    <cellStyle name="Comma 14 3 3 7" xfId="23708"/>
    <cellStyle name="Comma 14 3 4" xfId="914"/>
    <cellStyle name="Comma 14 3 4 2" xfId="915"/>
    <cellStyle name="Comma 14 3 4 2 2" xfId="11674"/>
    <cellStyle name="Comma 14 3 4 2 2 2" xfId="19699"/>
    <cellStyle name="Comma 14 3 4 2 2 2 2" xfId="33724"/>
    <cellStyle name="Comma 14 3 4 2 2 3" xfId="25713"/>
    <cellStyle name="Comma 14 3 4 2 3" xfId="13689"/>
    <cellStyle name="Comma 14 3 4 2 3 2" xfId="21704"/>
    <cellStyle name="Comma 14 3 4 2 3 2 2" xfId="35729"/>
    <cellStyle name="Comma 14 3 4 2 3 3" xfId="27718"/>
    <cellStyle name="Comma 14 3 4 2 4" xfId="15695"/>
    <cellStyle name="Comma 14 3 4 2 4 2" xfId="29720"/>
    <cellStyle name="Comma 14 3 4 2 5" xfId="17697"/>
    <cellStyle name="Comma 14 3 4 2 5 2" xfId="31722"/>
    <cellStyle name="Comma 14 3 4 2 6" xfId="23711"/>
    <cellStyle name="Comma 14 3 4 3" xfId="11673"/>
    <cellStyle name="Comma 14 3 4 3 2" xfId="19698"/>
    <cellStyle name="Comma 14 3 4 3 2 2" xfId="33723"/>
    <cellStyle name="Comma 14 3 4 3 3" xfId="25712"/>
    <cellStyle name="Comma 14 3 4 4" xfId="13688"/>
    <cellStyle name="Comma 14 3 4 4 2" xfId="21703"/>
    <cellStyle name="Comma 14 3 4 4 2 2" xfId="35728"/>
    <cellStyle name="Comma 14 3 4 4 3" xfId="27717"/>
    <cellStyle name="Comma 14 3 4 5" xfId="15694"/>
    <cellStyle name="Comma 14 3 4 5 2" xfId="29719"/>
    <cellStyle name="Comma 14 3 4 6" xfId="17696"/>
    <cellStyle name="Comma 14 3 4 6 2" xfId="31721"/>
    <cellStyle name="Comma 14 3 4 7" xfId="23710"/>
    <cellStyle name="Comma 14 3 5" xfId="916"/>
    <cellStyle name="Comma 14 3 5 2" xfId="11675"/>
    <cellStyle name="Comma 14 3 5 2 2" xfId="19700"/>
    <cellStyle name="Comma 14 3 5 2 2 2" xfId="33725"/>
    <cellStyle name="Comma 14 3 5 2 3" xfId="25714"/>
    <cellStyle name="Comma 14 3 5 3" xfId="13690"/>
    <cellStyle name="Comma 14 3 5 3 2" xfId="21705"/>
    <cellStyle name="Comma 14 3 5 3 2 2" xfId="35730"/>
    <cellStyle name="Comma 14 3 5 3 3" xfId="27719"/>
    <cellStyle name="Comma 14 3 5 4" xfId="15696"/>
    <cellStyle name="Comma 14 3 5 4 2" xfId="29721"/>
    <cellStyle name="Comma 14 3 5 5" xfId="17698"/>
    <cellStyle name="Comma 14 3 5 5 2" xfId="31723"/>
    <cellStyle name="Comma 14 3 5 6" xfId="23712"/>
    <cellStyle name="Comma 14 3 6" xfId="11666"/>
    <cellStyle name="Comma 14 3 6 2" xfId="19691"/>
    <cellStyle name="Comma 14 3 6 2 2" xfId="33716"/>
    <cellStyle name="Comma 14 3 6 3" xfId="25705"/>
    <cellStyle name="Comma 14 3 7" xfId="13681"/>
    <cellStyle name="Comma 14 3 7 2" xfId="21696"/>
    <cellStyle name="Comma 14 3 7 2 2" xfId="35721"/>
    <cellStyle name="Comma 14 3 7 3" xfId="27710"/>
    <cellStyle name="Comma 14 3 8" xfId="15687"/>
    <cellStyle name="Comma 14 3 8 2" xfId="29712"/>
    <cellStyle name="Comma 14 3 9" xfId="17689"/>
    <cellStyle name="Comma 14 3 9 2" xfId="31714"/>
    <cellStyle name="Comma 14 4" xfId="917"/>
    <cellStyle name="Comma 14 4 10" xfId="23713"/>
    <cellStyle name="Comma 14 4 2" xfId="918"/>
    <cellStyle name="Comma 14 4 2 2" xfId="919"/>
    <cellStyle name="Comma 14 4 2 2 2" xfId="920"/>
    <cellStyle name="Comma 14 4 2 2 2 2" xfId="11679"/>
    <cellStyle name="Comma 14 4 2 2 2 2 2" xfId="19704"/>
    <cellStyle name="Comma 14 4 2 2 2 2 2 2" xfId="33729"/>
    <cellStyle name="Comma 14 4 2 2 2 2 3" xfId="25718"/>
    <cellStyle name="Comma 14 4 2 2 2 3" xfId="13694"/>
    <cellStyle name="Comma 14 4 2 2 2 3 2" xfId="21709"/>
    <cellStyle name="Comma 14 4 2 2 2 3 2 2" xfId="35734"/>
    <cellStyle name="Comma 14 4 2 2 2 3 3" xfId="27723"/>
    <cellStyle name="Comma 14 4 2 2 2 4" xfId="15700"/>
    <cellStyle name="Comma 14 4 2 2 2 4 2" xfId="29725"/>
    <cellStyle name="Comma 14 4 2 2 2 5" xfId="17702"/>
    <cellStyle name="Comma 14 4 2 2 2 5 2" xfId="31727"/>
    <cellStyle name="Comma 14 4 2 2 2 6" xfId="23716"/>
    <cellStyle name="Comma 14 4 2 2 3" xfId="11678"/>
    <cellStyle name="Comma 14 4 2 2 3 2" xfId="19703"/>
    <cellStyle name="Comma 14 4 2 2 3 2 2" xfId="33728"/>
    <cellStyle name="Comma 14 4 2 2 3 3" xfId="25717"/>
    <cellStyle name="Comma 14 4 2 2 4" xfId="13693"/>
    <cellStyle name="Comma 14 4 2 2 4 2" xfId="21708"/>
    <cellStyle name="Comma 14 4 2 2 4 2 2" xfId="35733"/>
    <cellStyle name="Comma 14 4 2 2 4 3" xfId="27722"/>
    <cellStyle name="Comma 14 4 2 2 5" xfId="15699"/>
    <cellStyle name="Comma 14 4 2 2 5 2" xfId="29724"/>
    <cellStyle name="Comma 14 4 2 2 6" xfId="17701"/>
    <cellStyle name="Comma 14 4 2 2 6 2" xfId="31726"/>
    <cellStyle name="Comma 14 4 2 2 7" xfId="23715"/>
    <cellStyle name="Comma 14 4 2 3" xfId="921"/>
    <cellStyle name="Comma 14 4 2 3 2" xfId="11680"/>
    <cellStyle name="Comma 14 4 2 3 2 2" xfId="19705"/>
    <cellStyle name="Comma 14 4 2 3 2 2 2" xfId="33730"/>
    <cellStyle name="Comma 14 4 2 3 2 3" xfId="25719"/>
    <cellStyle name="Comma 14 4 2 3 3" xfId="13695"/>
    <cellStyle name="Comma 14 4 2 3 3 2" xfId="21710"/>
    <cellStyle name="Comma 14 4 2 3 3 2 2" xfId="35735"/>
    <cellStyle name="Comma 14 4 2 3 3 3" xfId="27724"/>
    <cellStyle name="Comma 14 4 2 3 4" xfId="15701"/>
    <cellStyle name="Comma 14 4 2 3 4 2" xfId="29726"/>
    <cellStyle name="Comma 14 4 2 3 5" xfId="17703"/>
    <cellStyle name="Comma 14 4 2 3 5 2" xfId="31728"/>
    <cellStyle name="Comma 14 4 2 3 6" xfId="23717"/>
    <cellStyle name="Comma 14 4 2 4" xfId="11677"/>
    <cellStyle name="Comma 14 4 2 4 2" xfId="19702"/>
    <cellStyle name="Comma 14 4 2 4 2 2" xfId="33727"/>
    <cellStyle name="Comma 14 4 2 4 3" xfId="25716"/>
    <cellStyle name="Comma 14 4 2 5" xfId="13692"/>
    <cellStyle name="Comma 14 4 2 5 2" xfId="21707"/>
    <cellStyle name="Comma 14 4 2 5 2 2" xfId="35732"/>
    <cellStyle name="Comma 14 4 2 5 3" xfId="27721"/>
    <cellStyle name="Comma 14 4 2 6" xfId="15698"/>
    <cellStyle name="Comma 14 4 2 6 2" xfId="29723"/>
    <cellStyle name="Comma 14 4 2 7" xfId="17700"/>
    <cellStyle name="Comma 14 4 2 7 2" xfId="31725"/>
    <cellStyle name="Comma 14 4 2 8" xfId="23714"/>
    <cellStyle name="Comma 14 4 3" xfId="922"/>
    <cellStyle name="Comma 14 4 3 2" xfId="923"/>
    <cellStyle name="Comma 14 4 3 2 2" xfId="11682"/>
    <cellStyle name="Comma 14 4 3 2 2 2" xfId="19707"/>
    <cellStyle name="Comma 14 4 3 2 2 2 2" xfId="33732"/>
    <cellStyle name="Comma 14 4 3 2 2 3" xfId="25721"/>
    <cellStyle name="Comma 14 4 3 2 3" xfId="13697"/>
    <cellStyle name="Comma 14 4 3 2 3 2" xfId="21712"/>
    <cellStyle name="Comma 14 4 3 2 3 2 2" xfId="35737"/>
    <cellStyle name="Comma 14 4 3 2 3 3" xfId="27726"/>
    <cellStyle name="Comma 14 4 3 2 4" xfId="15703"/>
    <cellStyle name="Comma 14 4 3 2 4 2" xfId="29728"/>
    <cellStyle name="Comma 14 4 3 2 5" xfId="17705"/>
    <cellStyle name="Comma 14 4 3 2 5 2" xfId="31730"/>
    <cellStyle name="Comma 14 4 3 2 6" xfId="23719"/>
    <cellStyle name="Comma 14 4 3 3" xfId="11681"/>
    <cellStyle name="Comma 14 4 3 3 2" xfId="19706"/>
    <cellStyle name="Comma 14 4 3 3 2 2" xfId="33731"/>
    <cellStyle name="Comma 14 4 3 3 3" xfId="25720"/>
    <cellStyle name="Comma 14 4 3 4" xfId="13696"/>
    <cellStyle name="Comma 14 4 3 4 2" xfId="21711"/>
    <cellStyle name="Comma 14 4 3 4 2 2" xfId="35736"/>
    <cellStyle name="Comma 14 4 3 4 3" xfId="27725"/>
    <cellStyle name="Comma 14 4 3 5" xfId="15702"/>
    <cellStyle name="Comma 14 4 3 5 2" xfId="29727"/>
    <cellStyle name="Comma 14 4 3 6" xfId="17704"/>
    <cellStyle name="Comma 14 4 3 6 2" xfId="31729"/>
    <cellStyle name="Comma 14 4 3 7" xfId="23718"/>
    <cellStyle name="Comma 14 4 4" xfId="924"/>
    <cellStyle name="Comma 14 4 4 2" xfId="925"/>
    <cellStyle name="Comma 14 4 4 2 2" xfId="11684"/>
    <cellStyle name="Comma 14 4 4 2 2 2" xfId="19709"/>
    <cellStyle name="Comma 14 4 4 2 2 2 2" xfId="33734"/>
    <cellStyle name="Comma 14 4 4 2 2 3" xfId="25723"/>
    <cellStyle name="Comma 14 4 4 2 3" xfId="13699"/>
    <cellStyle name="Comma 14 4 4 2 3 2" xfId="21714"/>
    <cellStyle name="Comma 14 4 4 2 3 2 2" xfId="35739"/>
    <cellStyle name="Comma 14 4 4 2 3 3" xfId="27728"/>
    <cellStyle name="Comma 14 4 4 2 4" xfId="15705"/>
    <cellStyle name="Comma 14 4 4 2 4 2" xfId="29730"/>
    <cellStyle name="Comma 14 4 4 2 5" xfId="17707"/>
    <cellStyle name="Comma 14 4 4 2 5 2" xfId="31732"/>
    <cellStyle name="Comma 14 4 4 2 6" xfId="23721"/>
    <cellStyle name="Comma 14 4 4 3" xfId="11683"/>
    <cellStyle name="Comma 14 4 4 3 2" xfId="19708"/>
    <cellStyle name="Comma 14 4 4 3 2 2" xfId="33733"/>
    <cellStyle name="Comma 14 4 4 3 3" xfId="25722"/>
    <cellStyle name="Comma 14 4 4 4" xfId="13698"/>
    <cellStyle name="Comma 14 4 4 4 2" xfId="21713"/>
    <cellStyle name="Comma 14 4 4 4 2 2" xfId="35738"/>
    <cellStyle name="Comma 14 4 4 4 3" xfId="27727"/>
    <cellStyle name="Comma 14 4 4 5" xfId="15704"/>
    <cellStyle name="Comma 14 4 4 5 2" xfId="29729"/>
    <cellStyle name="Comma 14 4 4 6" xfId="17706"/>
    <cellStyle name="Comma 14 4 4 6 2" xfId="31731"/>
    <cellStyle name="Comma 14 4 4 7" xfId="23720"/>
    <cellStyle name="Comma 14 4 5" xfId="926"/>
    <cellStyle name="Comma 14 4 5 2" xfId="11685"/>
    <cellStyle name="Comma 14 4 5 2 2" xfId="19710"/>
    <cellStyle name="Comma 14 4 5 2 2 2" xfId="33735"/>
    <cellStyle name="Comma 14 4 5 2 3" xfId="25724"/>
    <cellStyle name="Comma 14 4 5 3" xfId="13700"/>
    <cellStyle name="Comma 14 4 5 3 2" xfId="21715"/>
    <cellStyle name="Comma 14 4 5 3 2 2" xfId="35740"/>
    <cellStyle name="Comma 14 4 5 3 3" xfId="27729"/>
    <cellStyle name="Comma 14 4 5 4" xfId="15706"/>
    <cellStyle name="Comma 14 4 5 4 2" xfId="29731"/>
    <cellStyle name="Comma 14 4 5 5" xfId="17708"/>
    <cellStyle name="Comma 14 4 5 5 2" xfId="31733"/>
    <cellStyle name="Comma 14 4 5 6" xfId="23722"/>
    <cellStyle name="Comma 14 4 6" xfId="11676"/>
    <cellStyle name="Comma 14 4 6 2" xfId="19701"/>
    <cellStyle name="Comma 14 4 6 2 2" xfId="33726"/>
    <cellStyle name="Comma 14 4 6 3" xfId="25715"/>
    <cellStyle name="Comma 14 4 7" xfId="13691"/>
    <cellStyle name="Comma 14 4 7 2" xfId="21706"/>
    <cellStyle name="Comma 14 4 7 2 2" xfId="35731"/>
    <cellStyle name="Comma 14 4 7 3" xfId="27720"/>
    <cellStyle name="Comma 14 4 8" xfId="15697"/>
    <cellStyle name="Comma 14 4 8 2" xfId="29722"/>
    <cellStyle name="Comma 14 4 9" xfId="17699"/>
    <cellStyle name="Comma 14 4 9 2" xfId="31724"/>
    <cellStyle name="Comma 14 5" xfId="927"/>
    <cellStyle name="Comma 14 5 2" xfId="928"/>
    <cellStyle name="Comma 14 5 2 2" xfId="929"/>
    <cellStyle name="Comma 14 5 2 2 2" xfId="11688"/>
    <cellStyle name="Comma 14 5 2 2 2 2" xfId="19713"/>
    <cellStyle name="Comma 14 5 2 2 2 2 2" xfId="33738"/>
    <cellStyle name="Comma 14 5 2 2 2 3" xfId="25727"/>
    <cellStyle name="Comma 14 5 2 2 3" xfId="13703"/>
    <cellStyle name="Comma 14 5 2 2 3 2" xfId="21718"/>
    <cellStyle name="Comma 14 5 2 2 3 2 2" xfId="35743"/>
    <cellStyle name="Comma 14 5 2 2 3 3" xfId="27732"/>
    <cellStyle name="Comma 14 5 2 2 4" xfId="15709"/>
    <cellStyle name="Comma 14 5 2 2 4 2" xfId="29734"/>
    <cellStyle name="Comma 14 5 2 2 5" xfId="17711"/>
    <cellStyle name="Comma 14 5 2 2 5 2" xfId="31736"/>
    <cellStyle name="Comma 14 5 2 2 6" xfId="23725"/>
    <cellStyle name="Comma 14 5 2 3" xfId="11687"/>
    <cellStyle name="Comma 14 5 2 3 2" xfId="19712"/>
    <cellStyle name="Comma 14 5 2 3 2 2" xfId="33737"/>
    <cellStyle name="Comma 14 5 2 3 3" xfId="25726"/>
    <cellStyle name="Comma 14 5 2 4" xfId="13702"/>
    <cellStyle name="Comma 14 5 2 4 2" xfId="21717"/>
    <cellStyle name="Comma 14 5 2 4 2 2" xfId="35742"/>
    <cellStyle name="Comma 14 5 2 4 3" xfId="27731"/>
    <cellStyle name="Comma 14 5 2 5" xfId="15708"/>
    <cellStyle name="Comma 14 5 2 5 2" xfId="29733"/>
    <cellStyle name="Comma 14 5 2 6" xfId="17710"/>
    <cellStyle name="Comma 14 5 2 6 2" xfId="31735"/>
    <cellStyle name="Comma 14 5 2 7" xfId="23724"/>
    <cellStyle name="Comma 14 5 3" xfId="930"/>
    <cellStyle name="Comma 14 5 3 2" xfId="11689"/>
    <cellStyle name="Comma 14 5 3 2 2" xfId="19714"/>
    <cellStyle name="Comma 14 5 3 2 2 2" xfId="33739"/>
    <cellStyle name="Comma 14 5 3 2 3" xfId="25728"/>
    <cellStyle name="Comma 14 5 3 3" xfId="13704"/>
    <cellStyle name="Comma 14 5 3 3 2" xfId="21719"/>
    <cellStyle name="Comma 14 5 3 3 2 2" xfId="35744"/>
    <cellStyle name="Comma 14 5 3 3 3" xfId="27733"/>
    <cellStyle name="Comma 14 5 3 4" xfId="15710"/>
    <cellStyle name="Comma 14 5 3 4 2" xfId="29735"/>
    <cellStyle name="Comma 14 5 3 5" xfId="17712"/>
    <cellStyle name="Comma 14 5 3 5 2" xfId="31737"/>
    <cellStyle name="Comma 14 5 3 6" xfId="23726"/>
    <cellStyle name="Comma 14 5 4" xfId="11686"/>
    <cellStyle name="Comma 14 5 4 2" xfId="19711"/>
    <cellStyle name="Comma 14 5 4 2 2" xfId="33736"/>
    <cellStyle name="Comma 14 5 4 3" xfId="25725"/>
    <cellStyle name="Comma 14 5 5" xfId="13701"/>
    <cellStyle name="Comma 14 5 5 2" xfId="21716"/>
    <cellStyle name="Comma 14 5 5 2 2" xfId="35741"/>
    <cellStyle name="Comma 14 5 5 3" xfId="27730"/>
    <cellStyle name="Comma 14 5 6" xfId="15707"/>
    <cellStyle name="Comma 14 5 6 2" xfId="29732"/>
    <cellStyle name="Comma 14 5 7" xfId="17709"/>
    <cellStyle name="Comma 14 5 7 2" xfId="31734"/>
    <cellStyle name="Comma 14 5 8" xfId="23723"/>
    <cellStyle name="Comma 14 6" xfId="931"/>
    <cellStyle name="Comma 14 6 2" xfId="932"/>
    <cellStyle name="Comma 14 6 2 2" xfId="11691"/>
    <cellStyle name="Comma 14 6 2 2 2" xfId="19716"/>
    <cellStyle name="Comma 14 6 2 2 2 2" xfId="33741"/>
    <cellStyle name="Comma 14 6 2 2 3" xfId="25730"/>
    <cellStyle name="Comma 14 6 2 3" xfId="13706"/>
    <cellStyle name="Comma 14 6 2 3 2" xfId="21721"/>
    <cellStyle name="Comma 14 6 2 3 2 2" xfId="35746"/>
    <cellStyle name="Comma 14 6 2 3 3" xfId="27735"/>
    <cellStyle name="Comma 14 6 2 4" xfId="15712"/>
    <cellStyle name="Comma 14 6 2 4 2" xfId="29737"/>
    <cellStyle name="Comma 14 6 2 5" xfId="17714"/>
    <cellStyle name="Comma 14 6 2 5 2" xfId="31739"/>
    <cellStyle name="Comma 14 6 2 6" xfId="23728"/>
    <cellStyle name="Comma 14 6 3" xfId="11690"/>
    <cellStyle name="Comma 14 6 3 2" xfId="19715"/>
    <cellStyle name="Comma 14 6 3 2 2" xfId="33740"/>
    <cellStyle name="Comma 14 6 3 3" xfId="25729"/>
    <cellStyle name="Comma 14 6 4" xfId="13705"/>
    <cellStyle name="Comma 14 6 4 2" xfId="21720"/>
    <cellStyle name="Comma 14 6 4 2 2" xfId="35745"/>
    <cellStyle name="Comma 14 6 4 3" xfId="27734"/>
    <cellStyle name="Comma 14 6 5" xfId="15711"/>
    <cellStyle name="Comma 14 6 5 2" xfId="29736"/>
    <cellStyle name="Comma 14 6 6" xfId="17713"/>
    <cellStyle name="Comma 14 6 6 2" xfId="31738"/>
    <cellStyle name="Comma 14 6 7" xfId="23727"/>
    <cellStyle name="Comma 14 7" xfId="933"/>
    <cellStyle name="Comma 14 7 2" xfId="934"/>
    <cellStyle name="Comma 14 7 2 2" xfId="11693"/>
    <cellStyle name="Comma 14 7 2 2 2" xfId="19718"/>
    <cellStyle name="Comma 14 7 2 2 2 2" xfId="33743"/>
    <cellStyle name="Comma 14 7 2 2 3" xfId="25732"/>
    <cellStyle name="Comma 14 7 2 3" xfId="13708"/>
    <cellStyle name="Comma 14 7 2 3 2" xfId="21723"/>
    <cellStyle name="Comma 14 7 2 3 2 2" xfId="35748"/>
    <cellStyle name="Comma 14 7 2 3 3" xfId="27737"/>
    <cellStyle name="Comma 14 7 2 4" xfId="15714"/>
    <cellStyle name="Comma 14 7 2 4 2" xfId="29739"/>
    <cellStyle name="Comma 14 7 2 5" xfId="17716"/>
    <cellStyle name="Comma 14 7 2 5 2" xfId="31741"/>
    <cellStyle name="Comma 14 7 2 6" xfId="23730"/>
    <cellStyle name="Comma 14 7 3" xfId="11692"/>
    <cellStyle name="Comma 14 7 3 2" xfId="19717"/>
    <cellStyle name="Comma 14 7 3 2 2" xfId="33742"/>
    <cellStyle name="Comma 14 7 3 3" xfId="25731"/>
    <cellStyle name="Comma 14 7 4" xfId="13707"/>
    <cellStyle name="Comma 14 7 4 2" xfId="21722"/>
    <cellStyle name="Comma 14 7 4 2 2" xfId="35747"/>
    <cellStyle name="Comma 14 7 4 3" xfId="27736"/>
    <cellStyle name="Comma 14 7 5" xfId="15713"/>
    <cellStyle name="Comma 14 7 5 2" xfId="29738"/>
    <cellStyle name="Comma 14 7 6" xfId="17715"/>
    <cellStyle name="Comma 14 7 6 2" xfId="31740"/>
    <cellStyle name="Comma 14 7 7" xfId="23729"/>
    <cellStyle name="Comma 14 8" xfId="935"/>
    <cellStyle name="Comma 14 8 2" xfId="11694"/>
    <cellStyle name="Comma 14 8 2 2" xfId="19719"/>
    <cellStyle name="Comma 14 8 2 2 2" xfId="33744"/>
    <cellStyle name="Comma 14 8 2 3" xfId="25733"/>
    <cellStyle name="Comma 14 8 3" xfId="13709"/>
    <cellStyle name="Comma 14 8 3 2" xfId="21724"/>
    <cellStyle name="Comma 14 8 3 2 2" xfId="35749"/>
    <cellStyle name="Comma 14 8 3 3" xfId="27738"/>
    <cellStyle name="Comma 14 8 4" xfId="15715"/>
    <cellStyle name="Comma 14 8 4 2" xfId="29740"/>
    <cellStyle name="Comma 14 8 5" xfId="17717"/>
    <cellStyle name="Comma 14 8 5 2" xfId="31742"/>
    <cellStyle name="Comma 14 8 6" xfId="23731"/>
    <cellStyle name="Comma 15" xfId="753"/>
    <cellStyle name="Comma 15 10" xfId="13659"/>
    <cellStyle name="Comma 15 10 2" xfId="21674"/>
    <cellStyle name="Comma 15 10 2 2" xfId="35699"/>
    <cellStyle name="Comma 15 10 3" xfId="27688"/>
    <cellStyle name="Comma 15 11" xfId="15665"/>
    <cellStyle name="Comma 15 11 2" xfId="29690"/>
    <cellStyle name="Comma 15 12" xfId="17667"/>
    <cellStyle name="Comma 15 12 2" xfId="31692"/>
    <cellStyle name="Comma 15 13" xfId="23681"/>
    <cellStyle name="Comma 15 2" xfId="936"/>
    <cellStyle name="Comma 15 2 10" xfId="17718"/>
    <cellStyle name="Comma 15 2 10 2" xfId="31743"/>
    <cellStyle name="Comma 15 2 11" xfId="23732"/>
    <cellStyle name="Comma 15 2 2" xfId="937"/>
    <cellStyle name="Comma 15 2 2 10" xfId="23733"/>
    <cellStyle name="Comma 15 2 2 2" xfId="938"/>
    <cellStyle name="Comma 15 2 2 2 2" xfId="939"/>
    <cellStyle name="Comma 15 2 2 2 2 2" xfId="940"/>
    <cellStyle name="Comma 15 2 2 2 2 2 2" xfId="11699"/>
    <cellStyle name="Comma 15 2 2 2 2 2 2 2" xfId="19724"/>
    <cellStyle name="Comma 15 2 2 2 2 2 2 2 2" xfId="33749"/>
    <cellStyle name="Comma 15 2 2 2 2 2 2 3" xfId="25738"/>
    <cellStyle name="Comma 15 2 2 2 2 2 3" xfId="13714"/>
    <cellStyle name="Comma 15 2 2 2 2 2 3 2" xfId="21729"/>
    <cellStyle name="Comma 15 2 2 2 2 2 3 2 2" xfId="35754"/>
    <cellStyle name="Comma 15 2 2 2 2 2 3 3" xfId="27743"/>
    <cellStyle name="Comma 15 2 2 2 2 2 4" xfId="15720"/>
    <cellStyle name="Comma 15 2 2 2 2 2 4 2" xfId="29745"/>
    <cellStyle name="Comma 15 2 2 2 2 2 5" xfId="17722"/>
    <cellStyle name="Comma 15 2 2 2 2 2 5 2" xfId="31747"/>
    <cellStyle name="Comma 15 2 2 2 2 2 6" xfId="23736"/>
    <cellStyle name="Comma 15 2 2 2 2 3" xfId="11698"/>
    <cellStyle name="Comma 15 2 2 2 2 3 2" xfId="19723"/>
    <cellStyle name="Comma 15 2 2 2 2 3 2 2" xfId="33748"/>
    <cellStyle name="Comma 15 2 2 2 2 3 3" xfId="25737"/>
    <cellStyle name="Comma 15 2 2 2 2 4" xfId="13713"/>
    <cellStyle name="Comma 15 2 2 2 2 4 2" xfId="21728"/>
    <cellStyle name="Comma 15 2 2 2 2 4 2 2" xfId="35753"/>
    <cellStyle name="Comma 15 2 2 2 2 4 3" xfId="27742"/>
    <cellStyle name="Comma 15 2 2 2 2 5" xfId="15719"/>
    <cellStyle name="Comma 15 2 2 2 2 5 2" xfId="29744"/>
    <cellStyle name="Comma 15 2 2 2 2 6" xfId="17721"/>
    <cellStyle name="Comma 15 2 2 2 2 6 2" xfId="31746"/>
    <cellStyle name="Comma 15 2 2 2 2 7" xfId="23735"/>
    <cellStyle name="Comma 15 2 2 2 3" xfId="941"/>
    <cellStyle name="Comma 15 2 2 2 3 2" xfId="11700"/>
    <cellStyle name="Comma 15 2 2 2 3 2 2" xfId="19725"/>
    <cellStyle name="Comma 15 2 2 2 3 2 2 2" xfId="33750"/>
    <cellStyle name="Comma 15 2 2 2 3 2 3" xfId="25739"/>
    <cellStyle name="Comma 15 2 2 2 3 3" xfId="13715"/>
    <cellStyle name="Comma 15 2 2 2 3 3 2" xfId="21730"/>
    <cellStyle name="Comma 15 2 2 2 3 3 2 2" xfId="35755"/>
    <cellStyle name="Comma 15 2 2 2 3 3 3" xfId="27744"/>
    <cellStyle name="Comma 15 2 2 2 3 4" xfId="15721"/>
    <cellStyle name="Comma 15 2 2 2 3 4 2" xfId="29746"/>
    <cellStyle name="Comma 15 2 2 2 3 5" xfId="17723"/>
    <cellStyle name="Comma 15 2 2 2 3 5 2" xfId="31748"/>
    <cellStyle name="Comma 15 2 2 2 3 6" xfId="23737"/>
    <cellStyle name="Comma 15 2 2 2 4" xfId="11697"/>
    <cellStyle name="Comma 15 2 2 2 4 2" xfId="19722"/>
    <cellStyle name="Comma 15 2 2 2 4 2 2" xfId="33747"/>
    <cellStyle name="Comma 15 2 2 2 4 3" xfId="25736"/>
    <cellStyle name="Comma 15 2 2 2 5" xfId="13712"/>
    <cellStyle name="Comma 15 2 2 2 5 2" xfId="21727"/>
    <cellStyle name="Comma 15 2 2 2 5 2 2" xfId="35752"/>
    <cellStyle name="Comma 15 2 2 2 5 3" xfId="27741"/>
    <cellStyle name="Comma 15 2 2 2 6" xfId="15718"/>
    <cellStyle name="Comma 15 2 2 2 6 2" xfId="29743"/>
    <cellStyle name="Comma 15 2 2 2 7" xfId="17720"/>
    <cellStyle name="Comma 15 2 2 2 7 2" xfId="31745"/>
    <cellStyle name="Comma 15 2 2 2 8" xfId="23734"/>
    <cellStyle name="Comma 15 2 2 3" xfId="942"/>
    <cellStyle name="Comma 15 2 2 3 2" xfId="943"/>
    <cellStyle name="Comma 15 2 2 3 2 2" xfId="11702"/>
    <cellStyle name="Comma 15 2 2 3 2 2 2" xfId="19727"/>
    <cellStyle name="Comma 15 2 2 3 2 2 2 2" xfId="33752"/>
    <cellStyle name="Comma 15 2 2 3 2 2 3" xfId="25741"/>
    <cellStyle name="Comma 15 2 2 3 2 3" xfId="13717"/>
    <cellStyle name="Comma 15 2 2 3 2 3 2" xfId="21732"/>
    <cellStyle name="Comma 15 2 2 3 2 3 2 2" xfId="35757"/>
    <cellStyle name="Comma 15 2 2 3 2 3 3" xfId="27746"/>
    <cellStyle name="Comma 15 2 2 3 2 4" xfId="15723"/>
    <cellStyle name="Comma 15 2 2 3 2 4 2" xfId="29748"/>
    <cellStyle name="Comma 15 2 2 3 2 5" xfId="17725"/>
    <cellStyle name="Comma 15 2 2 3 2 5 2" xfId="31750"/>
    <cellStyle name="Comma 15 2 2 3 2 6" xfId="23739"/>
    <cellStyle name="Comma 15 2 2 3 3" xfId="11701"/>
    <cellStyle name="Comma 15 2 2 3 3 2" xfId="19726"/>
    <cellStyle name="Comma 15 2 2 3 3 2 2" xfId="33751"/>
    <cellStyle name="Comma 15 2 2 3 3 3" xfId="25740"/>
    <cellStyle name="Comma 15 2 2 3 4" xfId="13716"/>
    <cellStyle name="Comma 15 2 2 3 4 2" xfId="21731"/>
    <cellStyle name="Comma 15 2 2 3 4 2 2" xfId="35756"/>
    <cellStyle name="Comma 15 2 2 3 4 3" xfId="27745"/>
    <cellStyle name="Comma 15 2 2 3 5" xfId="15722"/>
    <cellStyle name="Comma 15 2 2 3 5 2" xfId="29747"/>
    <cellStyle name="Comma 15 2 2 3 6" xfId="17724"/>
    <cellStyle name="Comma 15 2 2 3 6 2" xfId="31749"/>
    <cellStyle name="Comma 15 2 2 3 7" xfId="23738"/>
    <cellStyle name="Comma 15 2 2 4" xfId="944"/>
    <cellStyle name="Comma 15 2 2 4 2" xfId="945"/>
    <cellStyle name="Comma 15 2 2 4 2 2" xfId="11704"/>
    <cellStyle name="Comma 15 2 2 4 2 2 2" xfId="19729"/>
    <cellStyle name="Comma 15 2 2 4 2 2 2 2" xfId="33754"/>
    <cellStyle name="Comma 15 2 2 4 2 2 3" xfId="25743"/>
    <cellStyle name="Comma 15 2 2 4 2 3" xfId="13719"/>
    <cellStyle name="Comma 15 2 2 4 2 3 2" xfId="21734"/>
    <cellStyle name="Comma 15 2 2 4 2 3 2 2" xfId="35759"/>
    <cellStyle name="Comma 15 2 2 4 2 3 3" xfId="27748"/>
    <cellStyle name="Comma 15 2 2 4 2 4" xfId="15725"/>
    <cellStyle name="Comma 15 2 2 4 2 4 2" xfId="29750"/>
    <cellStyle name="Comma 15 2 2 4 2 5" xfId="17727"/>
    <cellStyle name="Comma 15 2 2 4 2 5 2" xfId="31752"/>
    <cellStyle name="Comma 15 2 2 4 2 6" xfId="23741"/>
    <cellStyle name="Comma 15 2 2 4 3" xfId="11703"/>
    <cellStyle name="Comma 15 2 2 4 3 2" xfId="19728"/>
    <cellStyle name="Comma 15 2 2 4 3 2 2" xfId="33753"/>
    <cellStyle name="Comma 15 2 2 4 3 3" xfId="25742"/>
    <cellStyle name="Comma 15 2 2 4 4" xfId="13718"/>
    <cellStyle name="Comma 15 2 2 4 4 2" xfId="21733"/>
    <cellStyle name="Comma 15 2 2 4 4 2 2" xfId="35758"/>
    <cellStyle name="Comma 15 2 2 4 4 3" xfId="27747"/>
    <cellStyle name="Comma 15 2 2 4 5" xfId="15724"/>
    <cellStyle name="Comma 15 2 2 4 5 2" xfId="29749"/>
    <cellStyle name="Comma 15 2 2 4 6" xfId="17726"/>
    <cellStyle name="Comma 15 2 2 4 6 2" xfId="31751"/>
    <cellStyle name="Comma 15 2 2 4 7" xfId="23740"/>
    <cellStyle name="Comma 15 2 2 5" xfId="946"/>
    <cellStyle name="Comma 15 2 2 5 2" xfId="11705"/>
    <cellStyle name="Comma 15 2 2 5 2 2" xfId="19730"/>
    <cellStyle name="Comma 15 2 2 5 2 2 2" xfId="33755"/>
    <cellStyle name="Comma 15 2 2 5 2 3" xfId="25744"/>
    <cellStyle name="Comma 15 2 2 5 3" xfId="13720"/>
    <cellStyle name="Comma 15 2 2 5 3 2" xfId="21735"/>
    <cellStyle name="Comma 15 2 2 5 3 2 2" xfId="35760"/>
    <cellStyle name="Comma 15 2 2 5 3 3" xfId="27749"/>
    <cellStyle name="Comma 15 2 2 5 4" xfId="15726"/>
    <cellStyle name="Comma 15 2 2 5 4 2" xfId="29751"/>
    <cellStyle name="Comma 15 2 2 5 5" xfId="17728"/>
    <cellStyle name="Comma 15 2 2 5 5 2" xfId="31753"/>
    <cellStyle name="Comma 15 2 2 5 6" xfId="23742"/>
    <cellStyle name="Comma 15 2 2 6" xfId="11696"/>
    <cellStyle name="Comma 15 2 2 6 2" xfId="19721"/>
    <cellStyle name="Comma 15 2 2 6 2 2" xfId="33746"/>
    <cellStyle name="Comma 15 2 2 6 3" xfId="25735"/>
    <cellStyle name="Comma 15 2 2 7" xfId="13711"/>
    <cellStyle name="Comma 15 2 2 7 2" xfId="21726"/>
    <cellStyle name="Comma 15 2 2 7 2 2" xfId="35751"/>
    <cellStyle name="Comma 15 2 2 7 3" xfId="27740"/>
    <cellStyle name="Comma 15 2 2 8" xfId="15717"/>
    <cellStyle name="Comma 15 2 2 8 2" xfId="29742"/>
    <cellStyle name="Comma 15 2 2 9" xfId="17719"/>
    <cellStyle name="Comma 15 2 2 9 2" xfId="31744"/>
    <cellStyle name="Comma 15 2 3" xfId="947"/>
    <cellStyle name="Comma 15 2 3 2" xfId="948"/>
    <cellStyle name="Comma 15 2 3 2 2" xfId="949"/>
    <cellStyle name="Comma 15 2 3 2 2 2" xfId="11708"/>
    <cellStyle name="Comma 15 2 3 2 2 2 2" xfId="19733"/>
    <cellStyle name="Comma 15 2 3 2 2 2 2 2" xfId="33758"/>
    <cellStyle name="Comma 15 2 3 2 2 2 3" xfId="25747"/>
    <cellStyle name="Comma 15 2 3 2 2 3" xfId="13723"/>
    <cellStyle name="Comma 15 2 3 2 2 3 2" xfId="21738"/>
    <cellStyle name="Comma 15 2 3 2 2 3 2 2" xfId="35763"/>
    <cellStyle name="Comma 15 2 3 2 2 3 3" xfId="27752"/>
    <cellStyle name="Comma 15 2 3 2 2 4" xfId="15729"/>
    <cellStyle name="Comma 15 2 3 2 2 4 2" xfId="29754"/>
    <cellStyle name="Comma 15 2 3 2 2 5" xfId="17731"/>
    <cellStyle name="Comma 15 2 3 2 2 5 2" xfId="31756"/>
    <cellStyle name="Comma 15 2 3 2 2 6" xfId="23745"/>
    <cellStyle name="Comma 15 2 3 2 3" xfId="11707"/>
    <cellStyle name="Comma 15 2 3 2 3 2" xfId="19732"/>
    <cellStyle name="Comma 15 2 3 2 3 2 2" xfId="33757"/>
    <cellStyle name="Comma 15 2 3 2 3 3" xfId="25746"/>
    <cellStyle name="Comma 15 2 3 2 4" xfId="13722"/>
    <cellStyle name="Comma 15 2 3 2 4 2" xfId="21737"/>
    <cellStyle name="Comma 15 2 3 2 4 2 2" xfId="35762"/>
    <cellStyle name="Comma 15 2 3 2 4 3" xfId="27751"/>
    <cellStyle name="Comma 15 2 3 2 5" xfId="15728"/>
    <cellStyle name="Comma 15 2 3 2 5 2" xfId="29753"/>
    <cellStyle name="Comma 15 2 3 2 6" xfId="17730"/>
    <cellStyle name="Comma 15 2 3 2 6 2" xfId="31755"/>
    <cellStyle name="Comma 15 2 3 2 7" xfId="23744"/>
    <cellStyle name="Comma 15 2 3 3" xfId="950"/>
    <cellStyle name="Comma 15 2 3 3 2" xfId="11709"/>
    <cellStyle name="Comma 15 2 3 3 2 2" xfId="19734"/>
    <cellStyle name="Comma 15 2 3 3 2 2 2" xfId="33759"/>
    <cellStyle name="Comma 15 2 3 3 2 3" xfId="25748"/>
    <cellStyle name="Comma 15 2 3 3 3" xfId="13724"/>
    <cellStyle name="Comma 15 2 3 3 3 2" xfId="21739"/>
    <cellStyle name="Comma 15 2 3 3 3 2 2" xfId="35764"/>
    <cellStyle name="Comma 15 2 3 3 3 3" xfId="27753"/>
    <cellStyle name="Comma 15 2 3 3 4" xfId="15730"/>
    <cellStyle name="Comma 15 2 3 3 4 2" xfId="29755"/>
    <cellStyle name="Comma 15 2 3 3 5" xfId="17732"/>
    <cellStyle name="Comma 15 2 3 3 5 2" xfId="31757"/>
    <cellStyle name="Comma 15 2 3 3 6" xfId="23746"/>
    <cellStyle name="Comma 15 2 3 4" xfId="11706"/>
    <cellStyle name="Comma 15 2 3 4 2" xfId="19731"/>
    <cellStyle name="Comma 15 2 3 4 2 2" xfId="33756"/>
    <cellStyle name="Comma 15 2 3 4 3" xfId="25745"/>
    <cellStyle name="Comma 15 2 3 5" xfId="13721"/>
    <cellStyle name="Comma 15 2 3 5 2" xfId="21736"/>
    <cellStyle name="Comma 15 2 3 5 2 2" xfId="35761"/>
    <cellStyle name="Comma 15 2 3 5 3" xfId="27750"/>
    <cellStyle name="Comma 15 2 3 6" xfId="15727"/>
    <cellStyle name="Comma 15 2 3 6 2" xfId="29752"/>
    <cellStyle name="Comma 15 2 3 7" xfId="17729"/>
    <cellStyle name="Comma 15 2 3 7 2" xfId="31754"/>
    <cellStyle name="Comma 15 2 3 8" xfId="23743"/>
    <cellStyle name="Comma 15 2 4" xfId="951"/>
    <cellStyle name="Comma 15 2 4 2" xfId="952"/>
    <cellStyle name="Comma 15 2 4 2 2" xfId="11711"/>
    <cellStyle name="Comma 15 2 4 2 2 2" xfId="19736"/>
    <cellStyle name="Comma 15 2 4 2 2 2 2" xfId="33761"/>
    <cellStyle name="Comma 15 2 4 2 2 3" xfId="25750"/>
    <cellStyle name="Comma 15 2 4 2 3" xfId="13726"/>
    <cellStyle name="Comma 15 2 4 2 3 2" xfId="21741"/>
    <cellStyle name="Comma 15 2 4 2 3 2 2" xfId="35766"/>
    <cellStyle name="Comma 15 2 4 2 3 3" xfId="27755"/>
    <cellStyle name="Comma 15 2 4 2 4" xfId="15732"/>
    <cellStyle name="Comma 15 2 4 2 4 2" xfId="29757"/>
    <cellStyle name="Comma 15 2 4 2 5" xfId="17734"/>
    <cellStyle name="Comma 15 2 4 2 5 2" xfId="31759"/>
    <cellStyle name="Comma 15 2 4 2 6" xfId="23748"/>
    <cellStyle name="Comma 15 2 4 3" xfId="11710"/>
    <cellStyle name="Comma 15 2 4 3 2" xfId="19735"/>
    <cellStyle name="Comma 15 2 4 3 2 2" xfId="33760"/>
    <cellStyle name="Comma 15 2 4 3 3" xfId="25749"/>
    <cellStyle name="Comma 15 2 4 4" xfId="13725"/>
    <cellStyle name="Comma 15 2 4 4 2" xfId="21740"/>
    <cellStyle name="Comma 15 2 4 4 2 2" xfId="35765"/>
    <cellStyle name="Comma 15 2 4 4 3" xfId="27754"/>
    <cellStyle name="Comma 15 2 4 5" xfId="15731"/>
    <cellStyle name="Comma 15 2 4 5 2" xfId="29756"/>
    <cellStyle name="Comma 15 2 4 6" xfId="17733"/>
    <cellStyle name="Comma 15 2 4 6 2" xfId="31758"/>
    <cellStyle name="Comma 15 2 4 7" xfId="23747"/>
    <cellStyle name="Comma 15 2 5" xfId="953"/>
    <cellStyle name="Comma 15 2 5 2" xfId="954"/>
    <cellStyle name="Comma 15 2 5 2 2" xfId="11713"/>
    <cellStyle name="Comma 15 2 5 2 2 2" xfId="19738"/>
    <cellStyle name="Comma 15 2 5 2 2 2 2" xfId="33763"/>
    <cellStyle name="Comma 15 2 5 2 2 3" xfId="25752"/>
    <cellStyle name="Comma 15 2 5 2 3" xfId="13728"/>
    <cellStyle name="Comma 15 2 5 2 3 2" xfId="21743"/>
    <cellStyle name="Comma 15 2 5 2 3 2 2" xfId="35768"/>
    <cellStyle name="Comma 15 2 5 2 3 3" xfId="27757"/>
    <cellStyle name="Comma 15 2 5 2 4" xfId="15734"/>
    <cellStyle name="Comma 15 2 5 2 4 2" xfId="29759"/>
    <cellStyle name="Comma 15 2 5 2 5" xfId="17736"/>
    <cellStyle name="Comma 15 2 5 2 5 2" xfId="31761"/>
    <cellStyle name="Comma 15 2 5 2 6" xfId="23750"/>
    <cellStyle name="Comma 15 2 5 3" xfId="11712"/>
    <cellStyle name="Comma 15 2 5 3 2" xfId="19737"/>
    <cellStyle name="Comma 15 2 5 3 2 2" xfId="33762"/>
    <cellStyle name="Comma 15 2 5 3 3" xfId="25751"/>
    <cellStyle name="Comma 15 2 5 4" xfId="13727"/>
    <cellStyle name="Comma 15 2 5 4 2" xfId="21742"/>
    <cellStyle name="Comma 15 2 5 4 2 2" xfId="35767"/>
    <cellStyle name="Comma 15 2 5 4 3" xfId="27756"/>
    <cellStyle name="Comma 15 2 5 5" xfId="15733"/>
    <cellStyle name="Comma 15 2 5 5 2" xfId="29758"/>
    <cellStyle name="Comma 15 2 5 6" xfId="17735"/>
    <cellStyle name="Comma 15 2 5 6 2" xfId="31760"/>
    <cellStyle name="Comma 15 2 5 7" xfId="23749"/>
    <cellStyle name="Comma 15 2 6" xfId="955"/>
    <cellStyle name="Comma 15 2 6 2" xfId="11714"/>
    <cellStyle name="Comma 15 2 6 2 2" xfId="19739"/>
    <cellStyle name="Comma 15 2 6 2 2 2" xfId="33764"/>
    <cellStyle name="Comma 15 2 6 2 3" xfId="25753"/>
    <cellStyle name="Comma 15 2 6 3" xfId="13729"/>
    <cellStyle name="Comma 15 2 6 3 2" xfId="21744"/>
    <cellStyle name="Comma 15 2 6 3 2 2" xfId="35769"/>
    <cellStyle name="Comma 15 2 6 3 3" xfId="27758"/>
    <cellStyle name="Comma 15 2 6 4" xfId="15735"/>
    <cellStyle name="Comma 15 2 6 4 2" xfId="29760"/>
    <cellStyle name="Comma 15 2 6 5" xfId="17737"/>
    <cellStyle name="Comma 15 2 6 5 2" xfId="31762"/>
    <cellStyle name="Comma 15 2 6 6" xfId="23751"/>
    <cellStyle name="Comma 15 2 7" xfId="11695"/>
    <cellStyle name="Comma 15 2 7 2" xfId="19720"/>
    <cellStyle name="Comma 15 2 7 2 2" xfId="33745"/>
    <cellStyle name="Comma 15 2 7 3" xfId="25734"/>
    <cellStyle name="Comma 15 2 8" xfId="13710"/>
    <cellStyle name="Comma 15 2 8 2" xfId="21725"/>
    <cellStyle name="Comma 15 2 8 2 2" xfId="35750"/>
    <cellStyle name="Comma 15 2 8 3" xfId="27739"/>
    <cellStyle name="Comma 15 2 9" xfId="15716"/>
    <cellStyle name="Comma 15 2 9 2" xfId="29741"/>
    <cellStyle name="Comma 15 3" xfId="956"/>
    <cellStyle name="Comma 15 3 10" xfId="23752"/>
    <cellStyle name="Comma 15 3 2" xfId="957"/>
    <cellStyle name="Comma 15 3 2 2" xfId="958"/>
    <cellStyle name="Comma 15 3 2 2 2" xfId="959"/>
    <cellStyle name="Comma 15 3 2 2 2 2" xfId="11718"/>
    <cellStyle name="Comma 15 3 2 2 2 2 2" xfId="19743"/>
    <cellStyle name="Comma 15 3 2 2 2 2 2 2" xfId="33768"/>
    <cellStyle name="Comma 15 3 2 2 2 2 3" xfId="25757"/>
    <cellStyle name="Comma 15 3 2 2 2 3" xfId="13733"/>
    <cellStyle name="Comma 15 3 2 2 2 3 2" xfId="21748"/>
    <cellStyle name="Comma 15 3 2 2 2 3 2 2" xfId="35773"/>
    <cellStyle name="Comma 15 3 2 2 2 3 3" xfId="27762"/>
    <cellStyle name="Comma 15 3 2 2 2 4" xfId="15739"/>
    <cellStyle name="Comma 15 3 2 2 2 4 2" xfId="29764"/>
    <cellStyle name="Comma 15 3 2 2 2 5" xfId="17741"/>
    <cellStyle name="Comma 15 3 2 2 2 5 2" xfId="31766"/>
    <cellStyle name="Comma 15 3 2 2 2 6" xfId="23755"/>
    <cellStyle name="Comma 15 3 2 2 3" xfId="11717"/>
    <cellStyle name="Comma 15 3 2 2 3 2" xfId="19742"/>
    <cellStyle name="Comma 15 3 2 2 3 2 2" xfId="33767"/>
    <cellStyle name="Comma 15 3 2 2 3 3" xfId="25756"/>
    <cellStyle name="Comma 15 3 2 2 4" xfId="13732"/>
    <cellStyle name="Comma 15 3 2 2 4 2" xfId="21747"/>
    <cellStyle name="Comma 15 3 2 2 4 2 2" xfId="35772"/>
    <cellStyle name="Comma 15 3 2 2 4 3" xfId="27761"/>
    <cellStyle name="Comma 15 3 2 2 5" xfId="15738"/>
    <cellStyle name="Comma 15 3 2 2 5 2" xfId="29763"/>
    <cellStyle name="Comma 15 3 2 2 6" xfId="17740"/>
    <cellStyle name="Comma 15 3 2 2 6 2" xfId="31765"/>
    <cellStyle name="Comma 15 3 2 2 7" xfId="23754"/>
    <cellStyle name="Comma 15 3 2 3" xfId="960"/>
    <cellStyle name="Comma 15 3 2 3 2" xfId="11719"/>
    <cellStyle name="Comma 15 3 2 3 2 2" xfId="19744"/>
    <cellStyle name="Comma 15 3 2 3 2 2 2" xfId="33769"/>
    <cellStyle name="Comma 15 3 2 3 2 3" xfId="25758"/>
    <cellStyle name="Comma 15 3 2 3 3" xfId="13734"/>
    <cellStyle name="Comma 15 3 2 3 3 2" xfId="21749"/>
    <cellStyle name="Comma 15 3 2 3 3 2 2" xfId="35774"/>
    <cellStyle name="Comma 15 3 2 3 3 3" xfId="27763"/>
    <cellStyle name="Comma 15 3 2 3 4" xfId="15740"/>
    <cellStyle name="Comma 15 3 2 3 4 2" xfId="29765"/>
    <cellStyle name="Comma 15 3 2 3 5" xfId="17742"/>
    <cellStyle name="Comma 15 3 2 3 5 2" xfId="31767"/>
    <cellStyle name="Comma 15 3 2 3 6" xfId="23756"/>
    <cellStyle name="Comma 15 3 2 4" xfId="11716"/>
    <cellStyle name="Comma 15 3 2 4 2" xfId="19741"/>
    <cellStyle name="Comma 15 3 2 4 2 2" xfId="33766"/>
    <cellStyle name="Comma 15 3 2 4 3" xfId="25755"/>
    <cellStyle name="Comma 15 3 2 5" xfId="13731"/>
    <cellStyle name="Comma 15 3 2 5 2" xfId="21746"/>
    <cellStyle name="Comma 15 3 2 5 2 2" xfId="35771"/>
    <cellStyle name="Comma 15 3 2 5 3" xfId="27760"/>
    <cellStyle name="Comma 15 3 2 6" xfId="15737"/>
    <cellStyle name="Comma 15 3 2 6 2" xfId="29762"/>
    <cellStyle name="Comma 15 3 2 7" xfId="17739"/>
    <cellStyle name="Comma 15 3 2 7 2" xfId="31764"/>
    <cellStyle name="Comma 15 3 2 8" xfId="23753"/>
    <cellStyle name="Comma 15 3 3" xfId="961"/>
    <cellStyle name="Comma 15 3 3 2" xfId="962"/>
    <cellStyle name="Comma 15 3 3 2 2" xfId="11721"/>
    <cellStyle name="Comma 15 3 3 2 2 2" xfId="19746"/>
    <cellStyle name="Comma 15 3 3 2 2 2 2" xfId="33771"/>
    <cellStyle name="Comma 15 3 3 2 2 3" xfId="25760"/>
    <cellStyle name="Comma 15 3 3 2 3" xfId="13736"/>
    <cellStyle name="Comma 15 3 3 2 3 2" xfId="21751"/>
    <cellStyle name="Comma 15 3 3 2 3 2 2" xfId="35776"/>
    <cellStyle name="Comma 15 3 3 2 3 3" xfId="27765"/>
    <cellStyle name="Comma 15 3 3 2 4" xfId="15742"/>
    <cellStyle name="Comma 15 3 3 2 4 2" xfId="29767"/>
    <cellStyle name="Comma 15 3 3 2 5" xfId="17744"/>
    <cellStyle name="Comma 15 3 3 2 5 2" xfId="31769"/>
    <cellStyle name="Comma 15 3 3 2 6" xfId="23758"/>
    <cellStyle name="Comma 15 3 3 3" xfId="11720"/>
    <cellStyle name="Comma 15 3 3 3 2" xfId="19745"/>
    <cellStyle name="Comma 15 3 3 3 2 2" xfId="33770"/>
    <cellStyle name="Comma 15 3 3 3 3" xfId="25759"/>
    <cellStyle name="Comma 15 3 3 4" xfId="13735"/>
    <cellStyle name="Comma 15 3 3 4 2" xfId="21750"/>
    <cellStyle name="Comma 15 3 3 4 2 2" xfId="35775"/>
    <cellStyle name="Comma 15 3 3 4 3" xfId="27764"/>
    <cellStyle name="Comma 15 3 3 5" xfId="15741"/>
    <cellStyle name="Comma 15 3 3 5 2" xfId="29766"/>
    <cellStyle name="Comma 15 3 3 6" xfId="17743"/>
    <cellStyle name="Comma 15 3 3 6 2" xfId="31768"/>
    <cellStyle name="Comma 15 3 3 7" xfId="23757"/>
    <cellStyle name="Comma 15 3 4" xfId="963"/>
    <cellStyle name="Comma 15 3 4 2" xfId="964"/>
    <cellStyle name="Comma 15 3 4 2 2" xfId="11723"/>
    <cellStyle name="Comma 15 3 4 2 2 2" xfId="19748"/>
    <cellStyle name="Comma 15 3 4 2 2 2 2" xfId="33773"/>
    <cellStyle name="Comma 15 3 4 2 2 3" xfId="25762"/>
    <cellStyle name="Comma 15 3 4 2 3" xfId="13738"/>
    <cellStyle name="Comma 15 3 4 2 3 2" xfId="21753"/>
    <cellStyle name="Comma 15 3 4 2 3 2 2" xfId="35778"/>
    <cellStyle name="Comma 15 3 4 2 3 3" xfId="27767"/>
    <cellStyle name="Comma 15 3 4 2 4" xfId="15744"/>
    <cellStyle name="Comma 15 3 4 2 4 2" xfId="29769"/>
    <cellStyle name="Comma 15 3 4 2 5" xfId="17746"/>
    <cellStyle name="Comma 15 3 4 2 5 2" xfId="31771"/>
    <cellStyle name="Comma 15 3 4 2 6" xfId="23760"/>
    <cellStyle name="Comma 15 3 4 3" xfId="11722"/>
    <cellStyle name="Comma 15 3 4 3 2" xfId="19747"/>
    <cellStyle name="Comma 15 3 4 3 2 2" xfId="33772"/>
    <cellStyle name="Comma 15 3 4 3 3" xfId="25761"/>
    <cellStyle name="Comma 15 3 4 4" xfId="13737"/>
    <cellStyle name="Comma 15 3 4 4 2" xfId="21752"/>
    <cellStyle name="Comma 15 3 4 4 2 2" xfId="35777"/>
    <cellStyle name="Comma 15 3 4 4 3" xfId="27766"/>
    <cellStyle name="Comma 15 3 4 5" xfId="15743"/>
    <cellStyle name="Comma 15 3 4 5 2" xfId="29768"/>
    <cellStyle name="Comma 15 3 4 6" xfId="17745"/>
    <cellStyle name="Comma 15 3 4 6 2" xfId="31770"/>
    <cellStyle name="Comma 15 3 4 7" xfId="23759"/>
    <cellStyle name="Comma 15 3 5" xfId="965"/>
    <cellStyle name="Comma 15 3 5 2" xfId="11724"/>
    <cellStyle name="Comma 15 3 5 2 2" xfId="19749"/>
    <cellStyle name="Comma 15 3 5 2 2 2" xfId="33774"/>
    <cellStyle name="Comma 15 3 5 2 3" xfId="25763"/>
    <cellStyle name="Comma 15 3 5 3" xfId="13739"/>
    <cellStyle name="Comma 15 3 5 3 2" xfId="21754"/>
    <cellStyle name="Comma 15 3 5 3 2 2" xfId="35779"/>
    <cellStyle name="Comma 15 3 5 3 3" xfId="27768"/>
    <cellStyle name="Comma 15 3 5 4" xfId="15745"/>
    <cellStyle name="Comma 15 3 5 4 2" xfId="29770"/>
    <cellStyle name="Comma 15 3 5 5" xfId="17747"/>
    <cellStyle name="Comma 15 3 5 5 2" xfId="31772"/>
    <cellStyle name="Comma 15 3 5 6" xfId="23761"/>
    <cellStyle name="Comma 15 3 6" xfId="11715"/>
    <cellStyle name="Comma 15 3 6 2" xfId="19740"/>
    <cellStyle name="Comma 15 3 6 2 2" xfId="33765"/>
    <cellStyle name="Comma 15 3 6 3" xfId="25754"/>
    <cellStyle name="Comma 15 3 7" xfId="13730"/>
    <cellStyle name="Comma 15 3 7 2" xfId="21745"/>
    <cellStyle name="Comma 15 3 7 2 2" xfId="35770"/>
    <cellStyle name="Comma 15 3 7 3" xfId="27759"/>
    <cellStyle name="Comma 15 3 8" xfId="15736"/>
    <cellStyle name="Comma 15 3 8 2" xfId="29761"/>
    <cellStyle name="Comma 15 3 9" xfId="17738"/>
    <cellStyle name="Comma 15 3 9 2" xfId="31763"/>
    <cellStyle name="Comma 15 4" xfId="966"/>
    <cellStyle name="Comma 15 4 2" xfId="967"/>
    <cellStyle name="Comma 15 4 2 2" xfId="968"/>
    <cellStyle name="Comma 15 4 2 2 2" xfId="11727"/>
    <cellStyle name="Comma 15 4 2 2 2 2" xfId="19752"/>
    <cellStyle name="Comma 15 4 2 2 2 2 2" xfId="33777"/>
    <cellStyle name="Comma 15 4 2 2 2 3" xfId="25766"/>
    <cellStyle name="Comma 15 4 2 2 3" xfId="13742"/>
    <cellStyle name="Comma 15 4 2 2 3 2" xfId="21757"/>
    <cellStyle name="Comma 15 4 2 2 3 2 2" xfId="35782"/>
    <cellStyle name="Comma 15 4 2 2 3 3" xfId="27771"/>
    <cellStyle name="Comma 15 4 2 2 4" xfId="15748"/>
    <cellStyle name="Comma 15 4 2 2 4 2" xfId="29773"/>
    <cellStyle name="Comma 15 4 2 2 5" xfId="17750"/>
    <cellStyle name="Comma 15 4 2 2 5 2" xfId="31775"/>
    <cellStyle name="Comma 15 4 2 2 6" xfId="23764"/>
    <cellStyle name="Comma 15 4 2 3" xfId="11726"/>
    <cellStyle name="Comma 15 4 2 3 2" xfId="19751"/>
    <cellStyle name="Comma 15 4 2 3 2 2" xfId="33776"/>
    <cellStyle name="Comma 15 4 2 3 3" xfId="25765"/>
    <cellStyle name="Comma 15 4 2 4" xfId="13741"/>
    <cellStyle name="Comma 15 4 2 4 2" xfId="21756"/>
    <cellStyle name="Comma 15 4 2 4 2 2" xfId="35781"/>
    <cellStyle name="Comma 15 4 2 4 3" xfId="27770"/>
    <cellStyle name="Comma 15 4 2 5" xfId="15747"/>
    <cellStyle name="Comma 15 4 2 5 2" xfId="29772"/>
    <cellStyle name="Comma 15 4 2 6" xfId="17749"/>
    <cellStyle name="Comma 15 4 2 6 2" xfId="31774"/>
    <cellStyle name="Comma 15 4 2 7" xfId="23763"/>
    <cellStyle name="Comma 15 4 3" xfId="969"/>
    <cellStyle name="Comma 15 4 3 2" xfId="11728"/>
    <cellStyle name="Comma 15 4 3 2 2" xfId="19753"/>
    <cellStyle name="Comma 15 4 3 2 2 2" xfId="33778"/>
    <cellStyle name="Comma 15 4 3 2 3" xfId="25767"/>
    <cellStyle name="Comma 15 4 3 3" xfId="13743"/>
    <cellStyle name="Comma 15 4 3 3 2" xfId="21758"/>
    <cellStyle name="Comma 15 4 3 3 2 2" xfId="35783"/>
    <cellStyle name="Comma 15 4 3 3 3" xfId="27772"/>
    <cellStyle name="Comma 15 4 3 4" xfId="15749"/>
    <cellStyle name="Comma 15 4 3 4 2" xfId="29774"/>
    <cellStyle name="Comma 15 4 3 5" xfId="17751"/>
    <cellStyle name="Comma 15 4 3 5 2" xfId="31776"/>
    <cellStyle name="Comma 15 4 3 6" xfId="23765"/>
    <cellStyle name="Comma 15 4 4" xfId="11725"/>
    <cellStyle name="Comma 15 4 4 2" xfId="19750"/>
    <cellStyle name="Comma 15 4 4 2 2" xfId="33775"/>
    <cellStyle name="Comma 15 4 4 3" xfId="25764"/>
    <cellStyle name="Comma 15 4 5" xfId="13740"/>
    <cellStyle name="Comma 15 4 5 2" xfId="21755"/>
    <cellStyle name="Comma 15 4 5 2 2" xfId="35780"/>
    <cellStyle name="Comma 15 4 5 3" xfId="27769"/>
    <cellStyle name="Comma 15 4 6" xfId="15746"/>
    <cellStyle name="Comma 15 4 6 2" xfId="29771"/>
    <cellStyle name="Comma 15 4 7" xfId="17748"/>
    <cellStyle name="Comma 15 4 7 2" xfId="31773"/>
    <cellStyle name="Comma 15 4 8" xfId="23762"/>
    <cellStyle name="Comma 15 5" xfId="970"/>
    <cellStyle name="Comma 15 5 2" xfId="971"/>
    <cellStyle name="Comma 15 5 2 2" xfId="11730"/>
    <cellStyle name="Comma 15 5 2 2 2" xfId="19755"/>
    <cellStyle name="Comma 15 5 2 2 2 2" xfId="33780"/>
    <cellStyle name="Comma 15 5 2 2 3" xfId="25769"/>
    <cellStyle name="Comma 15 5 2 3" xfId="13745"/>
    <cellStyle name="Comma 15 5 2 3 2" xfId="21760"/>
    <cellStyle name="Comma 15 5 2 3 2 2" xfId="35785"/>
    <cellStyle name="Comma 15 5 2 3 3" xfId="27774"/>
    <cellStyle name="Comma 15 5 2 4" xfId="15751"/>
    <cellStyle name="Comma 15 5 2 4 2" xfId="29776"/>
    <cellStyle name="Comma 15 5 2 5" xfId="17753"/>
    <cellStyle name="Comma 15 5 2 5 2" xfId="31778"/>
    <cellStyle name="Comma 15 5 2 6" xfId="23767"/>
    <cellStyle name="Comma 15 5 3" xfId="11729"/>
    <cellStyle name="Comma 15 5 3 2" xfId="19754"/>
    <cellStyle name="Comma 15 5 3 2 2" xfId="33779"/>
    <cellStyle name="Comma 15 5 3 3" xfId="25768"/>
    <cellStyle name="Comma 15 5 4" xfId="13744"/>
    <cellStyle name="Comma 15 5 4 2" xfId="21759"/>
    <cellStyle name="Comma 15 5 4 2 2" xfId="35784"/>
    <cellStyle name="Comma 15 5 4 3" xfId="27773"/>
    <cellStyle name="Comma 15 5 5" xfId="15750"/>
    <cellStyle name="Comma 15 5 5 2" xfId="29775"/>
    <cellStyle name="Comma 15 5 6" xfId="17752"/>
    <cellStyle name="Comma 15 5 6 2" xfId="31777"/>
    <cellStyle name="Comma 15 5 7" xfId="23766"/>
    <cellStyle name="Comma 15 6" xfId="972"/>
    <cellStyle name="Comma 15 6 2" xfId="973"/>
    <cellStyle name="Comma 15 6 2 2" xfId="11732"/>
    <cellStyle name="Comma 15 6 2 2 2" xfId="19757"/>
    <cellStyle name="Comma 15 6 2 2 2 2" xfId="33782"/>
    <cellStyle name="Comma 15 6 2 2 3" xfId="25771"/>
    <cellStyle name="Comma 15 6 2 3" xfId="13747"/>
    <cellStyle name="Comma 15 6 2 3 2" xfId="21762"/>
    <cellStyle name="Comma 15 6 2 3 2 2" xfId="35787"/>
    <cellStyle name="Comma 15 6 2 3 3" xfId="27776"/>
    <cellStyle name="Comma 15 6 2 4" xfId="15753"/>
    <cellStyle name="Comma 15 6 2 4 2" xfId="29778"/>
    <cellStyle name="Comma 15 6 2 5" xfId="17755"/>
    <cellStyle name="Comma 15 6 2 5 2" xfId="31780"/>
    <cellStyle name="Comma 15 6 2 6" xfId="23769"/>
    <cellStyle name="Comma 15 6 3" xfId="11731"/>
    <cellStyle name="Comma 15 6 3 2" xfId="19756"/>
    <cellStyle name="Comma 15 6 3 2 2" xfId="33781"/>
    <cellStyle name="Comma 15 6 3 3" xfId="25770"/>
    <cellStyle name="Comma 15 6 4" xfId="13746"/>
    <cellStyle name="Comma 15 6 4 2" xfId="21761"/>
    <cellStyle name="Comma 15 6 4 2 2" xfId="35786"/>
    <cellStyle name="Comma 15 6 4 3" xfId="27775"/>
    <cellStyle name="Comma 15 6 5" xfId="15752"/>
    <cellStyle name="Comma 15 6 5 2" xfId="29777"/>
    <cellStyle name="Comma 15 6 6" xfId="17754"/>
    <cellStyle name="Comma 15 6 6 2" xfId="31779"/>
    <cellStyle name="Comma 15 6 7" xfId="23768"/>
    <cellStyle name="Comma 15 7" xfId="974"/>
    <cellStyle name="Comma 15 7 2" xfId="11733"/>
    <cellStyle name="Comma 15 7 2 2" xfId="19758"/>
    <cellStyle name="Comma 15 7 2 2 2" xfId="33783"/>
    <cellStyle name="Comma 15 7 2 3" xfId="25772"/>
    <cellStyle name="Comma 15 7 3" xfId="13748"/>
    <cellStyle name="Comma 15 7 3 2" xfId="21763"/>
    <cellStyle name="Comma 15 7 3 2 2" xfId="35788"/>
    <cellStyle name="Comma 15 7 3 3" xfId="27777"/>
    <cellStyle name="Comma 15 7 4" xfId="15754"/>
    <cellStyle name="Comma 15 7 4 2" xfId="29779"/>
    <cellStyle name="Comma 15 7 5" xfId="17756"/>
    <cellStyle name="Comma 15 7 5 2" xfId="31781"/>
    <cellStyle name="Comma 15 7 6" xfId="23770"/>
    <cellStyle name="Comma 15 8" xfId="11280"/>
    <cellStyle name="Comma 15 8 2" xfId="13643"/>
    <cellStyle name="Comma 15 8 2 2" xfId="21665"/>
    <cellStyle name="Comma 15 8 2 2 2" xfId="35690"/>
    <cellStyle name="Comma 15 8 2 3" xfId="27679"/>
    <cellStyle name="Comma 15 8 3" xfId="15653"/>
    <cellStyle name="Comma 15 8 3 2" xfId="23668"/>
    <cellStyle name="Comma 15 8 3 2 2" xfId="37693"/>
    <cellStyle name="Comma 15 8 3 3" xfId="29682"/>
    <cellStyle name="Comma 15 8 4" xfId="17659"/>
    <cellStyle name="Comma 15 8 4 2" xfId="31684"/>
    <cellStyle name="Comma 15 8 5" xfId="19661"/>
    <cellStyle name="Comma 15 8 5 2" xfId="33686"/>
    <cellStyle name="Comma 15 8 6" xfId="25675"/>
    <cellStyle name="Comma 15 9" xfId="11644"/>
    <cellStyle name="Comma 15 9 2" xfId="19669"/>
    <cellStyle name="Comma 15 9 2 2" xfId="33694"/>
    <cellStyle name="Comma 15 9 3" xfId="25683"/>
    <cellStyle name="Comma 16" xfId="975"/>
    <cellStyle name="Comma 16 10" xfId="15755"/>
    <cellStyle name="Comma 16 10 2" xfId="29780"/>
    <cellStyle name="Comma 16 11" xfId="17757"/>
    <cellStyle name="Comma 16 11 2" xfId="31782"/>
    <cellStyle name="Comma 16 12" xfId="23771"/>
    <cellStyle name="Comma 16 2" xfId="976"/>
    <cellStyle name="Comma 16 2 10" xfId="17758"/>
    <cellStyle name="Comma 16 2 10 2" xfId="31783"/>
    <cellStyle name="Comma 16 2 11" xfId="23772"/>
    <cellStyle name="Comma 16 2 2" xfId="977"/>
    <cellStyle name="Comma 16 2 2 10" xfId="23773"/>
    <cellStyle name="Comma 16 2 2 2" xfId="978"/>
    <cellStyle name="Comma 16 2 2 2 2" xfId="979"/>
    <cellStyle name="Comma 16 2 2 2 2 2" xfId="980"/>
    <cellStyle name="Comma 16 2 2 2 2 2 2" xfId="11739"/>
    <cellStyle name="Comma 16 2 2 2 2 2 2 2" xfId="19764"/>
    <cellStyle name="Comma 16 2 2 2 2 2 2 2 2" xfId="33789"/>
    <cellStyle name="Comma 16 2 2 2 2 2 2 3" xfId="25778"/>
    <cellStyle name="Comma 16 2 2 2 2 2 3" xfId="13754"/>
    <cellStyle name="Comma 16 2 2 2 2 2 3 2" xfId="21769"/>
    <cellStyle name="Comma 16 2 2 2 2 2 3 2 2" xfId="35794"/>
    <cellStyle name="Comma 16 2 2 2 2 2 3 3" xfId="27783"/>
    <cellStyle name="Comma 16 2 2 2 2 2 4" xfId="15760"/>
    <cellStyle name="Comma 16 2 2 2 2 2 4 2" xfId="29785"/>
    <cellStyle name="Comma 16 2 2 2 2 2 5" xfId="17762"/>
    <cellStyle name="Comma 16 2 2 2 2 2 5 2" xfId="31787"/>
    <cellStyle name="Comma 16 2 2 2 2 2 6" xfId="23776"/>
    <cellStyle name="Comma 16 2 2 2 2 3" xfId="11738"/>
    <cellStyle name="Comma 16 2 2 2 2 3 2" xfId="19763"/>
    <cellStyle name="Comma 16 2 2 2 2 3 2 2" xfId="33788"/>
    <cellStyle name="Comma 16 2 2 2 2 3 3" xfId="25777"/>
    <cellStyle name="Comma 16 2 2 2 2 4" xfId="13753"/>
    <cellStyle name="Comma 16 2 2 2 2 4 2" xfId="21768"/>
    <cellStyle name="Comma 16 2 2 2 2 4 2 2" xfId="35793"/>
    <cellStyle name="Comma 16 2 2 2 2 4 3" xfId="27782"/>
    <cellStyle name="Comma 16 2 2 2 2 5" xfId="15759"/>
    <cellStyle name="Comma 16 2 2 2 2 5 2" xfId="29784"/>
    <cellStyle name="Comma 16 2 2 2 2 6" xfId="17761"/>
    <cellStyle name="Comma 16 2 2 2 2 6 2" xfId="31786"/>
    <cellStyle name="Comma 16 2 2 2 2 7" xfId="23775"/>
    <cellStyle name="Comma 16 2 2 2 3" xfId="981"/>
    <cellStyle name="Comma 16 2 2 2 3 2" xfId="11740"/>
    <cellStyle name="Comma 16 2 2 2 3 2 2" xfId="19765"/>
    <cellStyle name="Comma 16 2 2 2 3 2 2 2" xfId="33790"/>
    <cellStyle name="Comma 16 2 2 2 3 2 3" xfId="25779"/>
    <cellStyle name="Comma 16 2 2 2 3 3" xfId="13755"/>
    <cellStyle name="Comma 16 2 2 2 3 3 2" xfId="21770"/>
    <cellStyle name="Comma 16 2 2 2 3 3 2 2" xfId="35795"/>
    <cellStyle name="Comma 16 2 2 2 3 3 3" xfId="27784"/>
    <cellStyle name="Comma 16 2 2 2 3 4" xfId="15761"/>
    <cellStyle name="Comma 16 2 2 2 3 4 2" xfId="29786"/>
    <cellStyle name="Comma 16 2 2 2 3 5" xfId="17763"/>
    <cellStyle name="Comma 16 2 2 2 3 5 2" xfId="31788"/>
    <cellStyle name="Comma 16 2 2 2 3 6" xfId="23777"/>
    <cellStyle name="Comma 16 2 2 2 4" xfId="11737"/>
    <cellStyle name="Comma 16 2 2 2 4 2" xfId="19762"/>
    <cellStyle name="Comma 16 2 2 2 4 2 2" xfId="33787"/>
    <cellStyle name="Comma 16 2 2 2 4 3" xfId="25776"/>
    <cellStyle name="Comma 16 2 2 2 5" xfId="13752"/>
    <cellStyle name="Comma 16 2 2 2 5 2" xfId="21767"/>
    <cellStyle name="Comma 16 2 2 2 5 2 2" xfId="35792"/>
    <cellStyle name="Comma 16 2 2 2 5 3" xfId="27781"/>
    <cellStyle name="Comma 16 2 2 2 6" xfId="15758"/>
    <cellStyle name="Comma 16 2 2 2 6 2" xfId="29783"/>
    <cellStyle name="Comma 16 2 2 2 7" xfId="17760"/>
    <cellStyle name="Comma 16 2 2 2 7 2" xfId="31785"/>
    <cellStyle name="Comma 16 2 2 2 8" xfId="23774"/>
    <cellStyle name="Comma 16 2 2 3" xfId="982"/>
    <cellStyle name="Comma 16 2 2 3 2" xfId="983"/>
    <cellStyle name="Comma 16 2 2 3 2 2" xfId="11742"/>
    <cellStyle name="Comma 16 2 2 3 2 2 2" xfId="19767"/>
    <cellStyle name="Comma 16 2 2 3 2 2 2 2" xfId="33792"/>
    <cellStyle name="Comma 16 2 2 3 2 2 3" xfId="25781"/>
    <cellStyle name="Comma 16 2 2 3 2 3" xfId="13757"/>
    <cellStyle name="Comma 16 2 2 3 2 3 2" xfId="21772"/>
    <cellStyle name="Comma 16 2 2 3 2 3 2 2" xfId="35797"/>
    <cellStyle name="Comma 16 2 2 3 2 3 3" xfId="27786"/>
    <cellStyle name="Comma 16 2 2 3 2 4" xfId="15763"/>
    <cellStyle name="Comma 16 2 2 3 2 4 2" xfId="29788"/>
    <cellStyle name="Comma 16 2 2 3 2 5" xfId="17765"/>
    <cellStyle name="Comma 16 2 2 3 2 5 2" xfId="31790"/>
    <cellStyle name="Comma 16 2 2 3 2 6" xfId="23779"/>
    <cellStyle name="Comma 16 2 2 3 3" xfId="11741"/>
    <cellStyle name="Comma 16 2 2 3 3 2" xfId="19766"/>
    <cellStyle name="Comma 16 2 2 3 3 2 2" xfId="33791"/>
    <cellStyle name="Comma 16 2 2 3 3 3" xfId="25780"/>
    <cellStyle name="Comma 16 2 2 3 4" xfId="13756"/>
    <cellStyle name="Comma 16 2 2 3 4 2" xfId="21771"/>
    <cellStyle name="Comma 16 2 2 3 4 2 2" xfId="35796"/>
    <cellStyle name="Comma 16 2 2 3 4 3" xfId="27785"/>
    <cellStyle name="Comma 16 2 2 3 5" xfId="15762"/>
    <cellStyle name="Comma 16 2 2 3 5 2" xfId="29787"/>
    <cellStyle name="Comma 16 2 2 3 6" xfId="17764"/>
    <cellStyle name="Comma 16 2 2 3 6 2" xfId="31789"/>
    <cellStyle name="Comma 16 2 2 3 7" xfId="23778"/>
    <cellStyle name="Comma 16 2 2 4" xfId="984"/>
    <cellStyle name="Comma 16 2 2 4 2" xfId="985"/>
    <cellStyle name="Comma 16 2 2 4 2 2" xfId="11744"/>
    <cellStyle name="Comma 16 2 2 4 2 2 2" xfId="19769"/>
    <cellStyle name="Comma 16 2 2 4 2 2 2 2" xfId="33794"/>
    <cellStyle name="Comma 16 2 2 4 2 2 3" xfId="25783"/>
    <cellStyle name="Comma 16 2 2 4 2 3" xfId="13759"/>
    <cellStyle name="Comma 16 2 2 4 2 3 2" xfId="21774"/>
    <cellStyle name="Comma 16 2 2 4 2 3 2 2" xfId="35799"/>
    <cellStyle name="Comma 16 2 2 4 2 3 3" xfId="27788"/>
    <cellStyle name="Comma 16 2 2 4 2 4" xfId="15765"/>
    <cellStyle name="Comma 16 2 2 4 2 4 2" xfId="29790"/>
    <cellStyle name="Comma 16 2 2 4 2 5" xfId="17767"/>
    <cellStyle name="Comma 16 2 2 4 2 5 2" xfId="31792"/>
    <cellStyle name="Comma 16 2 2 4 2 6" xfId="23781"/>
    <cellStyle name="Comma 16 2 2 4 3" xfId="11743"/>
    <cellStyle name="Comma 16 2 2 4 3 2" xfId="19768"/>
    <cellStyle name="Comma 16 2 2 4 3 2 2" xfId="33793"/>
    <cellStyle name="Comma 16 2 2 4 3 3" xfId="25782"/>
    <cellStyle name="Comma 16 2 2 4 4" xfId="13758"/>
    <cellStyle name="Comma 16 2 2 4 4 2" xfId="21773"/>
    <cellStyle name="Comma 16 2 2 4 4 2 2" xfId="35798"/>
    <cellStyle name="Comma 16 2 2 4 4 3" xfId="27787"/>
    <cellStyle name="Comma 16 2 2 4 5" xfId="15764"/>
    <cellStyle name="Comma 16 2 2 4 5 2" xfId="29789"/>
    <cellStyle name="Comma 16 2 2 4 6" xfId="17766"/>
    <cellStyle name="Comma 16 2 2 4 6 2" xfId="31791"/>
    <cellStyle name="Comma 16 2 2 4 7" xfId="23780"/>
    <cellStyle name="Comma 16 2 2 5" xfId="986"/>
    <cellStyle name="Comma 16 2 2 5 2" xfId="11745"/>
    <cellStyle name="Comma 16 2 2 5 2 2" xfId="19770"/>
    <cellStyle name="Comma 16 2 2 5 2 2 2" xfId="33795"/>
    <cellStyle name="Comma 16 2 2 5 2 3" xfId="25784"/>
    <cellStyle name="Comma 16 2 2 5 3" xfId="13760"/>
    <cellStyle name="Comma 16 2 2 5 3 2" xfId="21775"/>
    <cellStyle name="Comma 16 2 2 5 3 2 2" xfId="35800"/>
    <cellStyle name="Comma 16 2 2 5 3 3" xfId="27789"/>
    <cellStyle name="Comma 16 2 2 5 4" xfId="15766"/>
    <cellStyle name="Comma 16 2 2 5 4 2" xfId="29791"/>
    <cellStyle name="Comma 16 2 2 5 5" xfId="17768"/>
    <cellStyle name="Comma 16 2 2 5 5 2" xfId="31793"/>
    <cellStyle name="Comma 16 2 2 5 6" xfId="23782"/>
    <cellStyle name="Comma 16 2 2 6" xfId="11736"/>
    <cellStyle name="Comma 16 2 2 6 2" xfId="19761"/>
    <cellStyle name="Comma 16 2 2 6 2 2" xfId="33786"/>
    <cellStyle name="Comma 16 2 2 6 3" xfId="25775"/>
    <cellStyle name="Comma 16 2 2 7" xfId="13751"/>
    <cellStyle name="Comma 16 2 2 7 2" xfId="21766"/>
    <cellStyle name="Comma 16 2 2 7 2 2" xfId="35791"/>
    <cellStyle name="Comma 16 2 2 7 3" xfId="27780"/>
    <cellStyle name="Comma 16 2 2 8" xfId="15757"/>
    <cellStyle name="Comma 16 2 2 8 2" xfId="29782"/>
    <cellStyle name="Comma 16 2 2 9" xfId="17759"/>
    <cellStyle name="Comma 16 2 2 9 2" xfId="31784"/>
    <cellStyle name="Comma 16 2 3" xfId="987"/>
    <cellStyle name="Comma 16 2 3 2" xfId="988"/>
    <cellStyle name="Comma 16 2 3 2 2" xfId="989"/>
    <cellStyle name="Comma 16 2 3 2 2 2" xfId="11748"/>
    <cellStyle name="Comma 16 2 3 2 2 2 2" xfId="19773"/>
    <cellStyle name="Comma 16 2 3 2 2 2 2 2" xfId="33798"/>
    <cellStyle name="Comma 16 2 3 2 2 2 3" xfId="25787"/>
    <cellStyle name="Comma 16 2 3 2 2 3" xfId="13763"/>
    <cellStyle name="Comma 16 2 3 2 2 3 2" xfId="21778"/>
    <cellStyle name="Comma 16 2 3 2 2 3 2 2" xfId="35803"/>
    <cellStyle name="Comma 16 2 3 2 2 3 3" xfId="27792"/>
    <cellStyle name="Comma 16 2 3 2 2 4" xfId="15769"/>
    <cellStyle name="Comma 16 2 3 2 2 4 2" xfId="29794"/>
    <cellStyle name="Comma 16 2 3 2 2 5" xfId="17771"/>
    <cellStyle name="Comma 16 2 3 2 2 5 2" xfId="31796"/>
    <cellStyle name="Comma 16 2 3 2 2 6" xfId="23785"/>
    <cellStyle name="Comma 16 2 3 2 3" xfId="11747"/>
    <cellStyle name="Comma 16 2 3 2 3 2" xfId="19772"/>
    <cellStyle name="Comma 16 2 3 2 3 2 2" xfId="33797"/>
    <cellStyle name="Comma 16 2 3 2 3 3" xfId="25786"/>
    <cellStyle name="Comma 16 2 3 2 4" xfId="13762"/>
    <cellStyle name="Comma 16 2 3 2 4 2" xfId="21777"/>
    <cellStyle name="Comma 16 2 3 2 4 2 2" xfId="35802"/>
    <cellStyle name="Comma 16 2 3 2 4 3" xfId="27791"/>
    <cellStyle name="Comma 16 2 3 2 5" xfId="15768"/>
    <cellStyle name="Comma 16 2 3 2 5 2" xfId="29793"/>
    <cellStyle name="Comma 16 2 3 2 6" xfId="17770"/>
    <cellStyle name="Comma 16 2 3 2 6 2" xfId="31795"/>
    <cellStyle name="Comma 16 2 3 2 7" xfId="23784"/>
    <cellStyle name="Comma 16 2 3 3" xfId="990"/>
    <cellStyle name="Comma 16 2 3 3 2" xfId="11749"/>
    <cellStyle name="Comma 16 2 3 3 2 2" xfId="19774"/>
    <cellStyle name="Comma 16 2 3 3 2 2 2" xfId="33799"/>
    <cellStyle name="Comma 16 2 3 3 2 3" xfId="25788"/>
    <cellStyle name="Comma 16 2 3 3 3" xfId="13764"/>
    <cellStyle name="Comma 16 2 3 3 3 2" xfId="21779"/>
    <cellStyle name="Comma 16 2 3 3 3 2 2" xfId="35804"/>
    <cellStyle name="Comma 16 2 3 3 3 3" xfId="27793"/>
    <cellStyle name="Comma 16 2 3 3 4" xfId="15770"/>
    <cellStyle name="Comma 16 2 3 3 4 2" xfId="29795"/>
    <cellStyle name="Comma 16 2 3 3 5" xfId="17772"/>
    <cellStyle name="Comma 16 2 3 3 5 2" xfId="31797"/>
    <cellStyle name="Comma 16 2 3 3 6" xfId="23786"/>
    <cellStyle name="Comma 16 2 3 4" xfId="11746"/>
    <cellStyle name="Comma 16 2 3 4 2" xfId="19771"/>
    <cellStyle name="Comma 16 2 3 4 2 2" xfId="33796"/>
    <cellStyle name="Comma 16 2 3 4 3" xfId="25785"/>
    <cellStyle name="Comma 16 2 3 5" xfId="13761"/>
    <cellStyle name="Comma 16 2 3 5 2" xfId="21776"/>
    <cellStyle name="Comma 16 2 3 5 2 2" xfId="35801"/>
    <cellStyle name="Comma 16 2 3 5 3" xfId="27790"/>
    <cellStyle name="Comma 16 2 3 6" xfId="15767"/>
    <cellStyle name="Comma 16 2 3 6 2" xfId="29792"/>
    <cellStyle name="Comma 16 2 3 7" xfId="17769"/>
    <cellStyle name="Comma 16 2 3 7 2" xfId="31794"/>
    <cellStyle name="Comma 16 2 3 8" xfId="23783"/>
    <cellStyle name="Comma 16 2 4" xfId="991"/>
    <cellStyle name="Comma 16 2 4 2" xfId="992"/>
    <cellStyle name="Comma 16 2 4 2 2" xfId="11751"/>
    <cellStyle name="Comma 16 2 4 2 2 2" xfId="19776"/>
    <cellStyle name="Comma 16 2 4 2 2 2 2" xfId="33801"/>
    <cellStyle name="Comma 16 2 4 2 2 3" xfId="25790"/>
    <cellStyle name="Comma 16 2 4 2 3" xfId="13766"/>
    <cellStyle name="Comma 16 2 4 2 3 2" xfId="21781"/>
    <cellStyle name="Comma 16 2 4 2 3 2 2" xfId="35806"/>
    <cellStyle name="Comma 16 2 4 2 3 3" xfId="27795"/>
    <cellStyle name="Comma 16 2 4 2 4" xfId="15772"/>
    <cellStyle name="Comma 16 2 4 2 4 2" xfId="29797"/>
    <cellStyle name="Comma 16 2 4 2 5" xfId="17774"/>
    <cellStyle name="Comma 16 2 4 2 5 2" xfId="31799"/>
    <cellStyle name="Comma 16 2 4 2 6" xfId="23788"/>
    <cellStyle name="Comma 16 2 4 3" xfId="11750"/>
    <cellStyle name="Comma 16 2 4 3 2" xfId="19775"/>
    <cellStyle name="Comma 16 2 4 3 2 2" xfId="33800"/>
    <cellStyle name="Comma 16 2 4 3 3" xfId="25789"/>
    <cellStyle name="Comma 16 2 4 4" xfId="13765"/>
    <cellStyle name="Comma 16 2 4 4 2" xfId="21780"/>
    <cellStyle name="Comma 16 2 4 4 2 2" xfId="35805"/>
    <cellStyle name="Comma 16 2 4 4 3" xfId="27794"/>
    <cellStyle name="Comma 16 2 4 5" xfId="15771"/>
    <cellStyle name="Comma 16 2 4 5 2" xfId="29796"/>
    <cellStyle name="Comma 16 2 4 6" xfId="17773"/>
    <cellStyle name="Comma 16 2 4 6 2" xfId="31798"/>
    <cellStyle name="Comma 16 2 4 7" xfId="23787"/>
    <cellStyle name="Comma 16 2 5" xfId="993"/>
    <cellStyle name="Comma 16 2 5 2" xfId="994"/>
    <cellStyle name="Comma 16 2 5 2 2" xfId="11753"/>
    <cellStyle name="Comma 16 2 5 2 2 2" xfId="19778"/>
    <cellStyle name="Comma 16 2 5 2 2 2 2" xfId="33803"/>
    <cellStyle name="Comma 16 2 5 2 2 3" xfId="25792"/>
    <cellStyle name="Comma 16 2 5 2 3" xfId="13768"/>
    <cellStyle name="Comma 16 2 5 2 3 2" xfId="21783"/>
    <cellStyle name="Comma 16 2 5 2 3 2 2" xfId="35808"/>
    <cellStyle name="Comma 16 2 5 2 3 3" xfId="27797"/>
    <cellStyle name="Comma 16 2 5 2 4" xfId="15774"/>
    <cellStyle name="Comma 16 2 5 2 4 2" xfId="29799"/>
    <cellStyle name="Comma 16 2 5 2 5" xfId="17776"/>
    <cellStyle name="Comma 16 2 5 2 5 2" xfId="31801"/>
    <cellStyle name="Comma 16 2 5 2 6" xfId="23790"/>
    <cellStyle name="Comma 16 2 5 3" xfId="11752"/>
    <cellStyle name="Comma 16 2 5 3 2" xfId="19777"/>
    <cellStyle name="Comma 16 2 5 3 2 2" xfId="33802"/>
    <cellStyle name="Comma 16 2 5 3 3" xfId="25791"/>
    <cellStyle name="Comma 16 2 5 4" xfId="13767"/>
    <cellStyle name="Comma 16 2 5 4 2" xfId="21782"/>
    <cellStyle name="Comma 16 2 5 4 2 2" xfId="35807"/>
    <cellStyle name="Comma 16 2 5 4 3" xfId="27796"/>
    <cellStyle name="Comma 16 2 5 5" xfId="15773"/>
    <cellStyle name="Comma 16 2 5 5 2" xfId="29798"/>
    <cellStyle name="Comma 16 2 5 6" xfId="17775"/>
    <cellStyle name="Comma 16 2 5 6 2" xfId="31800"/>
    <cellStyle name="Comma 16 2 5 7" xfId="23789"/>
    <cellStyle name="Comma 16 2 6" xfId="995"/>
    <cellStyle name="Comma 16 2 6 2" xfId="11754"/>
    <cellStyle name="Comma 16 2 6 2 2" xfId="19779"/>
    <cellStyle name="Comma 16 2 6 2 2 2" xfId="33804"/>
    <cellStyle name="Comma 16 2 6 2 3" xfId="25793"/>
    <cellStyle name="Comma 16 2 6 3" xfId="13769"/>
    <cellStyle name="Comma 16 2 6 3 2" xfId="21784"/>
    <cellStyle name="Comma 16 2 6 3 2 2" xfId="35809"/>
    <cellStyle name="Comma 16 2 6 3 3" xfId="27798"/>
    <cellStyle name="Comma 16 2 6 4" xfId="15775"/>
    <cellStyle name="Comma 16 2 6 4 2" xfId="29800"/>
    <cellStyle name="Comma 16 2 6 5" xfId="17777"/>
    <cellStyle name="Comma 16 2 6 5 2" xfId="31802"/>
    <cellStyle name="Comma 16 2 6 6" xfId="23791"/>
    <cellStyle name="Comma 16 2 7" xfId="11735"/>
    <cellStyle name="Comma 16 2 7 2" xfId="19760"/>
    <cellStyle name="Comma 16 2 7 2 2" xfId="33785"/>
    <cellStyle name="Comma 16 2 7 3" xfId="25774"/>
    <cellStyle name="Comma 16 2 8" xfId="13750"/>
    <cellStyle name="Comma 16 2 8 2" xfId="21765"/>
    <cellStyle name="Comma 16 2 8 2 2" xfId="35790"/>
    <cellStyle name="Comma 16 2 8 3" xfId="27779"/>
    <cellStyle name="Comma 16 2 9" xfId="15756"/>
    <cellStyle name="Comma 16 2 9 2" xfId="29781"/>
    <cellStyle name="Comma 16 3" xfId="996"/>
    <cellStyle name="Comma 16 3 10" xfId="23792"/>
    <cellStyle name="Comma 16 3 2" xfId="997"/>
    <cellStyle name="Comma 16 3 2 2" xfId="998"/>
    <cellStyle name="Comma 16 3 2 2 2" xfId="999"/>
    <cellStyle name="Comma 16 3 2 2 2 2" xfId="11758"/>
    <cellStyle name="Comma 16 3 2 2 2 2 2" xfId="19783"/>
    <cellStyle name="Comma 16 3 2 2 2 2 2 2" xfId="33808"/>
    <cellStyle name="Comma 16 3 2 2 2 2 3" xfId="25797"/>
    <cellStyle name="Comma 16 3 2 2 2 3" xfId="13773"/>
    <cellStyle name="Comma 16 3 2 2 2 3 2" xfId="21788"/>
    <cellStyle name="Comma 16 3 2 2 2 3 2 2" xfId="35813"/>
    <cellStyle name="Comma 16 3 2 2 2 3 3" xfId="27802"/>
    <cellStyle name="Comma 16 3 2 2 2 4" xfId="15779"/>
    <cellStyle name="Comma 16 3 2 2 2 4 2" xfId="29804"/>
    <cellStyle name="Comma 16 3 2 2 2 5" xfId="17781"/>
    <cellStyle name="Comma 16 3 2 2 2 5 2" xfId="31806"/>
    <cellStyle name="Comma 16 3 2 2 2 6" xfId="23795"/>
    <cellStyle name="Comma 16 3 2 2 3" xfId="11757"/>
    <cellStyle name="Comma 16 3 2 2 3 2" xfId="19782"/>
    <cellStyle name="Comma 16 3 2 2 3 2 2" xfId="33807"/>
    <cellStyle name="Comma 16 3 2 2 3 3" xfId="25796"/>
    <cellStyle name="Comma 16 3 2 2 4" xfId="13772"/>
    <cellStyle name="Comma 16 3 2 2 4 2" xfId="21787"/>
    <cellStyle name="Comma 16 3 2 2 4 2 2" xfId="35812"/>
    <cellStyle name="Comma 16 3 2 2 4 3" xfId="27801"/>
    <cellStyle name="Comma 16 3 2 2 5" xfId="15778"/>
    <cellStyle name="Comma 16 3 2 2 5 2" xfId="29803"/>
    <cellStyle name="Comma 16 3 2 2 6" xfId="17780"/>
    <cellStyle name="Comma 16 3 2 2 6 2" xfId="31805"/>
    <cellStyle name="Comma 16 3 2 2 7" xfId="23794"/>
    <cellStyle name="Comma 16 3 2 3" xfId="1000"/>
    <cellStyle name="Comma 16 3 2 3 2" xfId="11759"/>
    <cellStyle name="Comma 16 3 2 3 2 2" xfId="19784"/>
    <cellStyle name="Comma 16 3 2 3 2 2 2" xfId="33809"/>
    <cellStyle name="Comma 16 3 2 3 2 3" xfId="25798"/>
    <cellStyle name="Comma 16 3 2 3 3" xfId="13774"/>
    <cellStyle name="Comma 16 3 2 3 3 2" xfId="21789"/>
    <cellStyle name="Comma 16 3 2 3 3 2 2" xfId="35814"/>
    <cellStyle name="Comma 16 3 2 3 3 3" xfId="27803"/>
    <cellStyle name="Comma 16 3 2 3 4" xfId="15780"/>
    <cellStyle name="Comma 16 3 2 3 4 2" xfId="29805"/>
    <cellStyle name="Comma 16 3 2 3 5" xfId="17782"/>
    <cellStyle name="Comma 16 3 2 3 5 2" xfId="31807"/>
    <cellStyle name="Comma 16 3 2 3 6" xfId="23796"/>
    <cellStyle name="Comma 16 3 2 4" xfId="11756"/>
    <cellStyle name="Comma 16 3 2 4 2" xfId="19781"/>
    <cellStyle name="Comma 16 3 2 4 2 2" xfId="33806"/>
    <cellStyle name="Comma 16 3 2 4 3" xfId="25795"/>
    <cellStyle name="Comma 16 3 2 5" xfId="13771"/>
    <cellStyle name="Comma 16 3 2 5 2" xfId="21786"/>
    <cellStyle name="Comma 16 3 2 5 2 2" xfId="35811"/>
    <cellStyle name="Comma 16 3 2 5 3" xfId="27800"/>
    <cellStyle name="Comma 16 3 2 6" xfId="15777"/>
    <cellStyle name="Comma 16 3 2 6 2" xfId="29802"/>
    <cellStyle name="Comma 16 3 2 7" xfId="17779"/>
    <cellStyle name="Comma 16 3 2 7 2" xfId="31804"/>
    <cellStyle name="Comma 16 3 2 8" xfId="23793"/>
    <cellStyle name="Comma 16 3 3" xfId="1001"/>
    <cellStyle name="Comma 16 3 3 2" xfId="1002"/>
    <cellStyle name="Comma 16 3 3 2 2" xfId="11761"/>
    <cellStyle name="Comma 16 3 3 2 2 2" xfId="19786"/>
    <cellStyle name="Comma 16 3 3 2 2 2 2" xfId="33811"/>
    <cellStyle name="Comma 16 3 3 2 2 3" xfId="25800"/>
    <cellStyle name="Comma 16 3 3 2 3" xfId="13776"/>
    <cellStyle name="Comma 16 3 3 2 3 2" xfId="21791"/>
    <cellStyle name="Comma 16 3 3 2 3 2 2" xfId="35816"/>
    <cellStyle name="Comma 16 3 3 2 3 3" xfId="27805"/>
    <cellStyle name="Comma 16 3 3 2 4" xfId="15782"/>
    <cellStyle name="Comma 16 3 3 2 4 2" xfId="29807"/>
    <cellStyle name="Comma 16 3 3 2 5" xfId="17784"/>
    <cellStyle name="Comma 16 3 3 2 5 2" xfId="31809"/>
    <cellStyle name="Comma 16 3 3 2 6" xfId="23798"/>
    <cellStyle name="Comma 16 3 3 3" xfId="11760"/>
    <cellStyle name="Comma 16 3 3 3 2" xfId="19785"/>
    <cellStyle name="Comma 16 3 3 3 2 2" xfId="33810"/>
    <cellStyle name="Comma 16 3 3 3 3" xfId="25799"/>
    <cellStyle name="Comma 16 3 3 4" xfId="13775"/>
    <cellStyle name="Comma 16 3 3 4 2" xfId="21790"/>
    <cellStyle name="Comma 16 3 3 4 2 2" xfId="35815"/>
    <cellStyle name="Comma 16 3 3 4 3" xfId="27804"/>
    <cellStyle name="Comma 16 3 3 5" xfId="15781"/>
    <cellStyle name="Comma 16 3 3 5 2" xfId="29806"/>
    <cellStyle name="Comma 16 3 3 6" xfId="17783"/>
    <cellStyle name="Comma 16 3 3 6 2" xfId="31808"/>
    <cellStyle name="Comma 16 3 3 7" xfId="23797"/>
    <cellStyle name="Comma 16 3 4" xfId="1003"/>
    <cellStyle name="Comma 16 3 4 2" xfId="1004"/>
    <cellStyle name="Comma 16 3 4 2 2" xfId="11763"/>
    <cellStyle name="Comma 16 3 4 2 2 2" xfId="19788"/>
    <cellStyle name="Comma 16 3 4 2 2 2 2" xfId="33813"/>
    <cellStyle name="Comma 16 3 4 2 2 3" xfId="25802"/>
    <cellStyle name="Comma 16 3 4 2 3" xfId="13778"/>
    <cellStyle name="Comma 16 3 4 2 3 2" xfId="21793"/>
    <cellStyle name="Comma 16 3 4 2 3 2 2" xfId="35818"/>
    <cellStyle name="Comma 16 3 4 2 3 3" xfId="27807"/>
    <cellStyle name="Comma 16 3 4 2 4" xfId="15784"/>
    <cellStyle name="Comma 16 3 4 2 4 2" xfId="29809"/>
    <cellStyle name="Comma 16 3 4 2 5" xfId="17786"/>
    <cellStyle name="Comma 16 3 4 2 5 2" xfId="31811"/>
    <cellStyle name="Comma 16 3 4 2 6" xfId="23800"/>
    <cellStyle name="Comma 16 3 4 3" xfId="11762"/>
    <cellStyle name="Comma 16 3 4 3 2" xfId="19787"/>
    <cellStyle name="Comma 16 3 4 3 2 2" xfId="33812"/>
    <cellStyle name="Comma 16 3 4 3 3" xfId="25801"/>
    <cellStyle name="Comma 16 3 4 4" xfId="13777"/>
    <cellStyle name="Comma 16 3 4 4 2" xfId="21792"/>
    <cellStyle name="Comma 16 3 4 4 2 2" xfId="35817"/>
    <cellStyle name="Comma 16 3 4 4 3" xfId="27806"/>
    <cellStyle name="Comma 16 3 4 5" xfId="15783"/>
    <cellStyle name="Comma 16 3 4 5 2" xfId="29808"/>
    <cellStyle name="Comma 16 3 4 6" xfId="17785"/>
    <cellStyle name="Comma 16 3 4 6 2" xfId="31810"/>
    <cellStyle name="Comma 16 3 4 7" xfId="23799"/>
    <cellStyle name="Comma 16 3 5" xfId="1005"/>
    <cellStyle name="Comma 16 3 5 2" xfId="11764"/>
    <cellStyle name="Comma 16 3 5 2 2" xfId="19789"/>
    <cellStyle name="Comma 16 3 5 2 2 2" xfId="33814"/>
    <cellStyle name="Comma 16 3 5 2 3" xfId="25803"/>
    <cellStyle name="Comma 16 3 5 3" xfId="13779"/>
    <cellStyle name="Comma 16 3 5 3 2" xfId="21794"/>
    <cellStyle name="Comma 16 3 5 3 2 2" xfId="35819"/>
    <cellStyle name="Comma 16 3 5 3 3" xfId="27808"/>
    <cellStyle name="Comma 16 3 5 4" xfId="15785"/>
    <cellStyle name="Comma 16 3 5 4 2" xfId="29810"/>
    <cellStyle name="Comma 16 3 5 5" xfId="17787"/>
    <cellStyle name="Comma 16 3 5 5 2" xfId="31812"/>
    <cellStyle name="Comma 16 3 5 6" xfId="23801"/>
    <cellStyle name="Comma 16 3 6" xfId="11755"/>
    <cellStyle name="Comma 16 3 6 2" xfId="19780"/>
    <cellStyle name="Comma 16 3 6 2 2" xfId="33805"/>
    <cellStyle name="Comma 16 3 6 3" xfId="25794"/>
    <cellStyle name="Comma 16 3 7" xfId="13770"/>
    <cellStyle name="Comma 16 3 7 2" xfId="21785"/>
    <cellStyle name="Comma 16 3 7 2 2" xfId="35810"/>
    <cellStyle name="Comma 16 3 7 3" xfId="27799"/>
    <cellStyle name="Comma 16 3 8" xfId="15776"/>
    <cellStyle name="Comma 16 3 8 2" xfId="29801"/>
    <cellStyle name="Comma 16 3 9" xfId="17778"/>
    <cellStyle name="Comma 16 3 9 2" xfId="31803"/>
    <cellStyle name="Comma 16 4" xfId="1006"/>
    <cellStyle name="Comma 16 4 2" xfId="1007"/>
    <cellStyle name="Comma 16 4 2 2" xfId="1008"/>
    <cellStyle name="Comma 16 4 2 2 2" xfId="11767"/>
    <cellStyle name="Comma 16 4 2 2 2 2" xfId="19792"/>
    <cellStyle name="Comma 16 4 2 2 2 2 2" xfId="33817"/>
    <cellStyle name="Comma 16 4 2 2 2 3" xfId="25806"/>
    <cellStyle name="Comma 16 4 2 2 3" xfId="13782"/>
    <cellStyle name="Comma 16 4 2 2 3 2" xfId="21797"/>
    <cellStyle name="Comma 16 4 2 2 3 2 2" xfId="35822"/>
    <cellStyle name="Comma 16 4 2 2 3 3" xfId="27811"/>
    <cellStyle name="Comma 16 4 2 2 4" xfId="15788"/>
    <cellStyle name="Comma 16 4 2 2 4 2" xfId="29813"/>
    <cellStyle name="Comma 16 4 2 2 5" xfId="17790"/>
    <cellStyle name="Comma 16 4 2 2 5 2" xfId="31815"/>
    <cellStyle name="Comma 16 4 2 2 6" xfId="23804"/>
    <cellStyle name="Comma 16 4 2 3" xfId="11766"/>
    <cellStyle name="Comma 16 4 2 3 2" xfId="19791"/>
    <cellStyle name="Comma 16 4 2 3 2 2" xfId="33816"/>
    <cellStyle name="Comma 16 4 2 3 3" xfId="25805"/>
    <cellStyle name="Comma 16 4 2 4" xfId="13781"/>
    <cellStyle name="Comma 16 4 2 4 2" xfId="21796"/>
    <cellStyle name="Comma 16 4 2 4 2 2" xfId="35821"/>
    <cellStyle name="Comma 16 4 2 4 3" xfId="27810"/>
    <cellStyle name="Comma 16 4 2 5" xfId="15787"/>
    <cellStyle name="Comma 16 4 2 5 2" xfId="29812"/>
    <cellStyle name="Comma 16 4 2 6" xfId="17789"/>
    <cellStyle name="Comma 16 4 2 6 2" xfId="31814"/>
    <cellStyle name="Comma 16 4 2 7" xfId="23803"/>
    <cellStyle name="Comma 16 4 3" xfId="1009"/>
    <cellStyle name="Comma 16 4 3 2" xfId="11768"/>
    <cellStyle name="Comma 16 4 3 2 2" xfId="19793"/>
    <cellStyle name="Comma 16 4 3 2 2 2" xfId="33818"/>
    <cellStyle name="Comma 16 4 3 2 3" xfId="25807"/>
    <cellStyle name="Comma 16 4 3 3" xfId="13783"/>
    <cellStyle name="Comma 16 4 3 3 2" xfId="21798"/>
    <cellStyle name="Comma 16 4 3 3 2 2" xfId="35823"/>
    <cellStyle name="Comma 16 4 3 3 3" xfId="27812"/>
    <cellStyle name="Comma 16 4 3 4" xfId="15789"/>
    <cellStyle name="Comma 16 4 3 4 2" xfId="29814"/>
    <cellStyle name="Comma 16 4 3 5" xfId="17791"/>
    <cellStyle name="Comma 16 4 3 5 2" xfId="31816"/>
    <cellStyle name="Comma 16 4 3 6" xfId="23805"/>
    <cellStyle name="Comma 16 4 4" xfId="11765"/>
    <cellStyle name="Comma 16 4 4 2" xfId="19790"/>
    <cellStyle name="Comma 16 4 4 2 2" xfId="33815"/>
    <cellStyle name="Comma 16 4 4 3" xfId="25804"/>
    <cellStyle name="Comma 16 4 5" xfId="13780"/>
    <cellStyle name="Comma 16 4 5 2" xfId="21795"/>
    <cellStyle name="Comma 16 4 5 2 2" xfId="35820"/>
    <cellStyle name="Comma 16 4 5 3" xfId="27809"/>
    <cellStyle name="Comma 16 4 6" xfId="15786"/>
    <cellStyle name="Comma 16 4 6 2" xfId="29811"/>
    <cellStyle name="Comma 16 4 7" xfId="17788"/>
    <cellStyle name="Comma 16 4 7 2" xfId="31813"/>
    <cellStyle name="Comma 16 4 8" xfId="23802"/>
    <cellStyle name="Comma 16 5" xfId="1010"/>
    <cellStyle name="Comma 16 5 2" xfId="1011"/>
    <cellStyle name="Comma 16 5 2 2" xfId="11770"/>
    <cellStyle name="Comma 16 5 2 2 2" xfId="19795"/>
    <cellStyle name="Comma 16 5 2 2 2 2" xfId="33820"/>
    <cellStyle name="Comma 16 5 2 2 3" xfId="25809"/>
    <cellStyle name="Comma 16 5 2 3" xfId="13785"/>
    <cellStyle name="Comma 16 5 2 3 2" xfId="21800"/>
    <cellStyle name="Comma 16 5 2 3 2 2" xfId="35825"/>
    <cellStyle name="Comma 16 5 2 3 3" xfId="27814"/>
    <cellStyle name="Comma 16 5 2 4" xfId="15791"/>
    <cellStyle name="Comma 16 5 2 4 2" xfId="29816"/>
    <cellStyle name="Comma 16 5 2 5" xfId="17793"/>
    <cellStyle name="Comma 16 5 2 5 2" xfId="31818"/>
    <cellStyle name="Comma 16 5 2 6" xfId="23807"/>
    <cellStyle name="Comma 16 5 3" xfId="11769"/>
    <cellStyle name="Comma 16 5 3 2" xfId="19794"/>
    <cellStyle name="Comma 16 5 3 2 2" xfId="33819"/>
    <cellStyle name="Comma 16 5 3 3" xfId="25808"/>
    <cellStyle name="Comma 16 5 4" xfId="13784"/>
    <cellStyle name="Comma 16 5 4 2" xfId="21799"/>
    <cellStyle name="Comma 16 5 4 2 2" xfId="35824"/>
    <cellStyle name="Comma 16 5 4 3" xfId="27813"/>
    <cellStyle name="Comma 16 5 5" xfId="15790"/>
    <cellStyle name="Comma 16 5 5 2" xfId="29815"/>
    <cellStyle name="Comma 16 5 6" xfId="17792"/>
    <cellStyle name="Comma 16 5 6 2" xfId="31817"/>
    <cellStyle name="Comma 16 5 7" xfId="23806"/>
    <cellStyle name="Comma 16 6" xfId="1012"/>
    <cellStyle name="Comma 16 6 2" xfId="1013"/>
    <cellStyle name="Comma 16 6 2 2" xfId="11772"/>
    <cellStyle name="Comma 16 6 2 2 2" xfId="19797"/>
    <cellStyle name="Comma 16 6 2 2 2 2" xfId="33822"/>
    <cellStyle name="Comma 16 6 2 2 3" xfId="25811"/>
    <cellStyle name="Comma 16 6 2 3" xfId="13787"/>
    <cellStyle name="Comma 16 6 2 3 2" xfId="21802"/>
    <cellStyle name="Comma 16 6 2 3 2 2" xfId="35827"/>
    <cellStyle name="Comma 16 6 2 3 3" xfId="27816"/>
    <cellStyle name="Comma 16 6 2 4" xfId="15793"/>
    <cellStyle name="Comma 16 6 2 4 2" xfId="29818"/>
    <cellStyle name="Comma 16 6 2 5" xfId="17795"/>
    <cellStyle name="Comma 16 6 2 5 2" xfId="31820"/>
    <cellStyle name="Comma 16 6 2 6" xfId="23809"/>
    <cellStyle name="Comma 16 6 3" xfId="11771"/>
    <cellStyle name="Comma 16 6 3 2" xfId="19796"/>
    <cellStyle name="Comma 16 6 3 2 2" xfId="33821"/>
    <cellStyle name="Comma 16 6 3 3" xfId="25810"/>
    <cellStyle name="Comma 16 6 4" xfId="13786"/>
    <cellStyle name="Comma 16 6 4 2" xfId="21801"/>
    <cellStyle name="Comma 16 6 4 2 2" xfId="35826"/>
    <cellStyle name="Comma 16 6 4 3" xfId="27815"/>
    <cellStyle name="Comma 16 6 5" xfId="15792"/>
    <cellStyle name="Comma 16 6 5 2" xfId="29817"/>
    <cellStyle name="Comma 16 6 6" xfId="17794"/>
    <cellStyle name="Comma 16 6 6 2" xfId="31819"/>
    <cellStyle name="Comma 16 6 7" xfId="23808"/>
    <cellStyle name="Comma 16 7" xfId="1014"/>
    <cellStyle name="Comma 16 7 2" xfId="11773"/>
    <cellStyle name="Comma 16 7 2 2" xfId="19798"/>
    <cellStyle name="Comma 16 7 2 2 2" xfId="33823"/>
    <cellStyle name="Comma 16 7 2 3" xfId="25812"/>
    <cellStyle name="Comma 16 7 3" xfId="13788"/>
    <cellStyle name="Comma 16 7 3 2" xfId="21803"/>
    <cellStyle name="Comma 16 7 3 2 2" xfId="35828"/>
    <cellStyle name="Comma 16 7 3 3" xfId="27817"/>
    <cellStyle name="Comma 16 7 4" xfId="15794"/>
    <cellStyle name="Comma 16 7 4 2" xfId="29819"/>
    <cellStyle name="Comma 16 7 5" xfId="17796"/>
    <cellStyle name="Comma 16 7 5 2" xfId="31821"/>
    <cellStyle name="Comma 16 7 6" xfId="23810"/>
    <cellStyle name="Comma 16 8" xfId="11734"/>
    <cellStyle name="Comma 16 8 2" xfId="19759"/>
    <cellStyle name="Comma 16 8 2 2" xfId="33784"/>
    <cellStyle name="Comma 16 8 3" xfId="25773"/>
    <cellStyle name="Comma 16 9" xfId="13749"/>
    <cellStyle name="Comma 16 9 2" xfId="21764"/>
    <cellStyle name="Comma 16 9 2 2" xfId="35789"/>
    <cellStyle name="Comma 16 9 3" xfId="27778"/>
    <cellStyle name="Comma 17" xfId="1015"/>
    <cellStyle name="Comma 17 2" xfId="1016"/>
    <cellStyle name="Comma 18" xfId="1017"/>
    <cellStyle name="Comma 18 2" xfId="1018"/>
    <cellStyle name="Comma 19" xfId="1019"/>
    <cellStyle name="Comma 19 2" xfId="1020"/>
    <cellStyle name="Comma 2" xfId="402"/>
    <cellStyle name="Comma 2 2" xfId="403"/>
    <cellStyle name="Comma 2 2 2" xfId="404"/>
    <cellStyle name="Comma 2 2 2 2" xfId="1021"/>
    <cellStyle name="Comma 2 2 3" xfId="1022"/>
    <cellStyle name="Comma 2 3" xfId="405"/>
    <cellStyle name="Comma 2 3 2" xfId="1023"/>
    <cellStyle name="Comma 2 3 2 10" xfId="17797"/>
    <cellStyle name="Comma 2 3 2 10 2" xfId="31822"/>
    <cellStyle name="Comma 2 3 2 11" xfId="23811"/>
    <cellStyle name="Comma 2 3 2 2" xfId="1024"/>
    <cellStyle name="Comma 2 3 2 2 10" xfId="23812"/>
    <cellStyle name="Comma 2 3 2 2 2" xfId="1025"/>
    <cellStyle name="Comma 2 3 2 2 2 2" xfId="1026"/>
    <cellStyle name="Comma 2 3 2 2 2 2 2" xfId="1027"/>
    <cellStyle name="Comma 2 3 2 2 2 2 2 2" xfId="11778"/>
    <cellStyle name="Comma 2 3 2 2 2 2 2 2 2" xfId="19803"/>
    <cellStyle name="Comma 2 3 2 2 2 2 2 2 2 2" xfId="33828"/>
    <cellStyle name="Comma 2 3 2 2 2 2 2 2 3" xfId="25817"/>
    <cellStyle name="Comma 2 3 2 2 2 2 2 3" xfId="13793"/>
    <cellStyle name="Comma 2 3 2 2 2 2 2 3 2" xfId="21808"/>
    <cellStyle name="Comma 2 3 2 2 2 2 2 3 2 2" xfId="35833"/>
    <cellStyle name="Comma 2 3 2 2 2 2 2 3 3" xfId="27822"/>
    <cellStyle name="Comma 2 3 2 2 2 2 2 4" xfId="15799"/>
    <cellStyle name="Comma 2 3 2 2 2 2 2 4 2" xfId="29824"/>
    <cellStyle name="Comma 2 3 2 2 2 2 2 5" xfId="17801"/>
    <cellStyle name="Comma 2 3 2 2 2 2 2 5 2" xfId="31826"/>
    <cellStyle name="Comma 2 3 2 2 2 2 2 6" xfId="23815"/>
    <cellStyle name="Comma 2 3 2 2 2 2 3" xfId="11777"/>
    <cellStyle name="Comma 2 3 2 2 2 2 3 2" xfId="19802"/>
    <cellStyle name="Comma 2 3 2 2 2 2 3 2 2" xfId="33827"/>
    <cellStyle name="Comma 2 3 2 2 2 2 3 3" xfId="25816"/>
    <cellStyle name="Comma 2 3 2 2 2 2 4" xfId="13792"/>
    <cellStyle name="Comma 2 3 2 2 2 2 4 2" xfId="21807"/>
    <cellStyle name="Comma 2 3 2 2 2 2 4 2 2" xfId="35832"/>
    <cellStyle name="Comma 2 3 2 2 2 2 4 3" xfId="27821"/>
    <cellStyle name="Comma 2 3 2 2 2 2 5" xfId="15798"/>
    <cellStyle name="Comma 2 3 2 2 2 2 5 2" xfId="29823"/>
    <cellStyle name="Comma 2 3 2 2 2 2 6" xfId="17800"/>
    <cellStyle name="Comma 2 3 2 2 2 2 6 2" xfId="31825"/>
    <cellStyle name="Comma 2 3 2 2 2 2 7" xfId="23814"/>
    <cellStyle name="Comma 2 3 2 2 2 3" xfId="1028"/>
    <cellStyle name="Comma 2 3 2 2 2 3 2" xfId="11779"/>
    <cellStyle name="Comma 2 3 2 2 2 3 2 2" xfId="19804"/>
    <cellStyle name="Comma 2 3 2 2 2 3 2 2 2" xfId="33829"/>
    <cellStyle name="Comma 2 3 2 2 2 3 2 3" xfId="25818"/>
    <cellStyle name="Comma 2 3 2 2 2 3 3" xfId="13794"/>
    <cellStyle name="Comma 2 3 2 2 2 3 3 2" xfId="21809"/>
    <cellStyle name="Comma 2 3 2 2 2 3 3 2 2" xfId="35834"/>
    <cellStyle name="Comma 2 3 2 2 2 3 3 3" xfId="27823"/>
    <cellStyle name="Comma 2 3 2 2 2 3 4" xfId="15800"/>
    <cellStyle name="Comma 2 3 2 2 2 3 4 2" xfId="29825"/>
    <cellStyle name="Comma 2 3 2 2 2 3 5" xfId="17802"/>
    <cellStyle name="Comma 2 3 2 2 2 3 5 2" xfId="31827"/>
    <cellStyle name="Comma 2 3 2 2 2 3 6" xfId="23816"/>
    <cellStyle name="Comma 2 3 2 2 2 4" xfId="11776"/>
    <cellStyle name="Comma 2 3 2 2 2 4 2" xfId="19801"/>
    <cellStyle name="Comma 2 3 2 2 2 4 2 2" xfId="33826"/>
    <cellStyle name="Comma 2 3 2 2 2 4 3" xfId="25815"/>
    <cellStyle name="Comma 2 3 2 2 2 5" xfId="13791"/>
    <cellStyle name="Comma 2 3 2 2 2 5 2" xfId="21806"/>
    <cellStyle name="Comma 2 3 2 2 2 5 2 2" xfId="35831"/>
    <cellStyle name="Comma 2 3 2 2 2 5 3" xfId="27820"/>
    <cellStyle name="Comma 2 3 2 2 2 6" xfId="15797"/>
    <cellStyle name="Comma 2 3 2 2 2 6 2" xfId="29822"/>
    <cellStyle name="Comma 2 3 2 2 2 7" xfId="17799"/>
    <cellStyle name="Comma 2 3 2 2 2 7 2" xfId="31824"/>
    <cellStyle name="Comma 2 3 2 2 2 8" xfId="23813"/>
    <cellStyle name="Comma 2 3 2 2 3" xfId="1029"/>
    <cellStyle name="Comma 2 3 2 2 3 2" xfId="1030"/>
    <cellStyle name="Comma 2 3 2 2 3 2 2" xfId="11781"/>
    <cellStyle name="Comma 2 3 2 2 3 2 2 2" xfId="19806"/>
    <cellStyle name="Comma 2 3 2 2 3 2 2 2 2" xfId="33831"/>
    <cellStyle name="Comma 2 3 2 2 3 2 2 3" xfId="25820"/>
    <cellStyle name="Comma 2 3 2 2 3 2 3" xfId="13796"/>
    <cellStyle name="Comma 2 3 2 2 3 2 3 2" xfId="21811"/>
    <cellStyle name="Comma 2 3 2 2 3 2 3 2 2" xfId="35836"/>
    <cellStyle name="Comma 2 3 2 2 3 2 3 3" xfId="27825"/>
    <cellStyle name="Comma 2 3 2 2 3 2 4" xfId="15802"/>
    <cellStyle name="Comma 2 3 2 2 3 2 4 2" xfId="29827"/>
    <cellStyle name="Comma 2 3 2 2 3 2 5" xfId="17804"/>
    <cellStyle name="Comma 2 3 2 2 3 2 5 2" xfId="31829"/>
    <cellStyle name="Comma 2 3 2 2 3 2 6" xfId="23818"/>
    <cellStyle name="Comma 2 3 2 2 3 3" xfId="11780"/>
    <cellStyle name="Comma 2 3 2 2 3 3 2" xfId="19805"/>
    <cellStyle name="Comma 2 3 2 2 3 3 2 2" xfId="33830"/>
    <cellStyle name="Comma 2 3 2 2 3 3 3" xfId="25819"/>
    <cellStyle name="Comma 2 3 2 2 3 4" xfId="13795"/>
    <cellStyle name="Comma 2 3 2 2 3 4 2" xfId="21810"/>
    <cellStyle name="Comma 2 3 2 2 3 4 2 2" xfId="35835"/>
    <cellStyle name="Comma 2 3 2 2 3 4 3" xfId="27824"/>
    <cellStyle name="Comma 2 3 2 2 3 5" xfId="15801"/>
    <cellStyle name="Comma 2 3 2 2 3 5 2" xfId="29826"/>
    <cellStyle name="Comma 2 3 2 2 3 6" xfId="17803"/>
    <cellStyle name="Comma 2 3 2 2 3 6 2" xfId="31828"/>
    <cellStyle name="Comma 2 3 2 2 3 7" xfId="23817"/>
    <cellStyle name="Comma 2 3 2 2 4" xfId="1031"/>
    <cellStyle name="Comma 2 3 2 2 4 2" xfId="1032"/>
    <cellStyle name="Comma 2 3 2 2 4 2 2" xfId="11783"/>
    <cellStyle name="Comma 2 3 2 2 4 2 2 2" xfId="19808"/>
    <cellStyle name="Comma 2 3 2 2 4 2 2 2 2" xfId="33833"/>
    <cellStyle name="Comma 2 3 2 2 4 2 2 3" xfId="25822"/>
    <cellStyle name="Comma 2 3 2 2 4 2 3" xfId="13798"/>
    <cellStyle name="Comma 2 3 2 2 4 2 3 2" xfId="21813"/>
    <cellStyle name="Comma 2 3 2 2 4 2 3 2 2" xfId="35838"/>
    <cellStyle name="Comma 2 3 2 2 4 2 3 3" xfId="27827"/>
    <cellStyle name="Comma 2 3 2 2 4 2 4" xfId="15804"/>
    <cellStyle name="Comma 2 3 2 2 4 2 4 2" xfId="29829"/>
    <cellStyle name="Comma 2 3 2 2 4 2 5" xfId="17806"/>
    <cellStyle name="Comma 2 3 2 2 4 2 5 2" xfId="31831"/>
    <cellStyle name="Comma 2 3 2 2 4 2 6" xfId="23820"/>
    <cellStyle name="Comma 2 3 2 2 4 3" xfId="11782"/>
    <cellStyle name="Comma 2 3 2 2 4 3 2" xfId="19807"/>
    <cellStyle name="Comma 2 3 2 2 4 3 2 2" xfId="33832"/>
    <cellStyle name="Comma 2 3 2 2 4 3 3" xfId="25821"/>
    <cellStyle name="Comma 2 3 2 2 4 4" xfId="13797"/>
    <cellStyle name="Comma 2 3 2 2 4 4 2" xfId="21812"/>
    <cellStyle name="Comma 2 3 2 2 4 4 2 2" xfId="35837"/>
    <cellStyle name="Comma 2 3 2 2 4 4 3" xfId="27826"/>
    <cellStyle name="Comma 2 3 2 2 4 5" xfId="15803"/>
    <cellStyle name="Comma 2 3 2 2 4 5 2" xfId="29828"/>
    <cellStyle name="Comma 2 3 2 2 4 6" xfId="17805"/>
    <cellStyle name="Comma 2 3 2 2 4 6 2" xfId="31830"/>
    <cellStyle name="Comma 2 3 2 2 4 7" xfId="23819"/>
    <cellStyle name="Comma 2 3 2 2 5" xfId="1033"/>
    <cellStyle name="Comma 2 3 2 2 5 2" xfId="11784"/>
    <cellStyle name="Comma 2 3 2 2 5 2 2" xfId="19809"/>
    <cellStyle name="Comma 2 3 2 2 5 2 2 2" xfId="33834"/>
    <cellStyle name="Comma 2 3 2 2 5 2 3" xfId="25823"/>
    <cellStyle name="Comma 2 3 2 2 5 3" xfId="13799"/>
    <cellStyle name="Comma 2 3 2 2 5 3 2" xfId="21814"/>
    <cellStyle name="Comma 2 3 2 2 5 3 2 2" xfId="35839"/>
    <cellStyle name="Comma 2 3 2 2 5 3 3" xfId="27828"/>
    <cellStyle name="Comma 2 3 2 2 5 4" xfId="15805"/>
    <cellStyle name="Comma 2 3 2 2 5 4 2" xfId="29830"/>
    <cellStyle name="Comma 2 3 2 2 5 5" xfId="17807"/>
    <cellStyle name="Comma 2 3 2 2 5 5 2" xfId="31832"/>
    <cellStyle name="Comma 2 3 2 2 5 6" xfId="23821"/>
    <cellStyle name="Comma 2 3 2 2 6" xfId="11775"/>
    <cellStyle name="Comma 2 3 2 2 6 2" xfId="19800"/>
    <cellStyle name="Comma 2 3 2 2 6 2 2" xfId="33825"/>
    <cellStyle name="Comma 2 3 2 2 6 3" xfId="25814"/>
    <cellStyle name="Comma 2 3 2 2 7" xfId="13790"/>
    <cellStyle name="Comma 2 3 2 2 7 2" xfId="21805"/>
    <cellStyle name="Comma 2 3 2 2 7 2 2" xfId="35830"/>
    <cellStyle name="Comma 2 3 2 2 7 3" xfId="27819"/>
    <cellStyle name="Comma 2 3 2 2 8" xfId="15796"/>
    <cellStyle name="Comma 2 3 2 2 8 2" xfId="29821"/>
    <cellStyle name="Comma 2 3 2 2 9" xfId="17798"/>
    <cellStyle name="Comma 2 3 2 2 9 2" xfId="31823"/>
    <cellStyle name="Comma 2 3 2 3" xfId="1034"/>
    <cellStyle name="Comma 2 3 2 3 2" xfId="1035"/>
    <cellStyle name="Comma 2 3 2 3 2 2" xfId="1036"/>
    <cellStyle name="Comma 2 3 2 3 2 2 2" xfId="11787"/>
    <cellStyle name="Comma 2 3 2 3 2 2 2 2" xfId="19812"/>
    <cellStyle name="Comma 2 3 2 3 2 2 2 2 2" xfId="33837"/>
    <cellStyle name="Comma 2 3 2 3 2 2 2 3" xfId="25826"/>
    <cellStyle name="Comma 2 3 2 3 2 2 3" xfId="13802"/>
    <cellStyle name="Comma 2 3 2 3 2 2 3 2" xfId="21817"/>
    <cellStyle name="Comma 2 3 2 3 2 2 3 2 2" xfId="35842"/>
    <cellStyle name="Comma 2 3 2 3 2 2 3 3" xfId="27831"/>
    <cellStyle name="Comma 2 3 2 3 2 2 4" xfId="15808"/>
    <cellStyle name="Comma 2 3 2 3 2 2 4 2" xfId="29833"/>
    <cellStyle name="Comma 2 3 2 3 2 2 5" xfId="17810"/>
    <cellStyle name="Comma 2 3 2 3 2 2 5 2" xfId="31835"/>
    <cellStyle name="Comma 2 3 2 3 2 2 6" xfId="23824"/>
    <cellStyle name="Comma 2 3 2 3 2 3" xfId="11786"/>
    <cellStyle name="Comma 2 3 2 3 2 3 2" xfId="19811"/>
    <cellStyle name="Comma 2 3 2 3 2 3 2 2" xfId="33836"/>
    <cellStyle name="Comma 2 3 2 3 2 3 3" xfId="25825"/>
    <cellStyle name="Comma 2 3 2 3 2 4" xfId="13801"/>
    <cellStyle name="Comma 2 3 2 3 2 4 2" xfId="21816"/>
    <cellStyle name="Comma 2 3 2 3 2 4 2 2" xfId="35841"/>
    <cellStyle name="Comma 2 3 2 3 2 4 3" xfId="27830"/>
    <cellStyle name="Comma 2 3 2 3 2 5" xfId="15807"/>
    <cellStyle name="Comma 2 3 2 3 2 5 2" xfId="29832"/>
    <cellStyle name="Comma 2 3 2 3 2 6" xfId="17809"/>
    <cellStyle name="Comma 2 3 2 3 2 6 2" xfId="31834"/>
    <cellStyle name="Comma 2 3 2 3 2 7" xfId="23823"/>
    <cellStyle name="Comma 2 3 2 3 3" xfId="1037"/>
    <cellStyle name="Comma 2 3 2 3 3 2" xfId="11788"/>
    <cellStyle name="Comma 2 3 2 3 3 2 2" xfId="19813"/>
    <cellStyle name="Comma 2 3 2 3 3 2 2 2" xfId="33838"/>
    <cellStyle name="Comma 2 3 2 3 3 2 3" xfId="25827"/>
    <cellStyle name="Comma 2 3 2 3 3 3" xfId="13803"/>
    <cellStyle name="Comma 2 3 2 3 3 3 2" xfId="21818"/>
    <cellStyle name="Comma 2 3 2 3 3 3 2 2" xfId="35843"/>
    <cellStyle name="Comma 2 3 2 3 3 3 3" xfId="27832"/>
    <cellStyle name="Comma 2 3 2 3 3 4" xfId="15809"/>
    <cellStyle name="Comma 2 3 2 3 3 4 2" xfId="29834"/>
    <cellStyle name="Comma 2 3 2 3 3 5" xfId="17811"/>
    <cellStyle name="Comma 2 3 2 3 3 5 2" xfId="31836"/>
    <cellStyle name="Comma 2 3 2 3 3 6" xfId="23825"/>
    <cellStyle name="Comma 2 3 2 3 4" xfId="11785"/>
    <cellStyle name="Comma 2 3 2 3 4 2" xfId="19810"/>
    <cellStyle name="Comma 2 3 2 3 4 2 2" xfId="33835"/>
    <cellStyle name="Comma 2 3 2 3 4 3" xfId="25824"/>
    <cellStyle name="Comma 2 3 2 3 5" xfId="13800"/>
    <cellStyle name="Comma 2 3 2 3 5 2" xfId="21815"/>
    <cellStyle name="Comma 2 3 2 3 5 2 2" xfId="35840"/>
    <cellStyle name="Comma 2 3 2 3 5 3" xfId="27829"/>
    <cellStyle name="Comma 2 3 2 3 6" xfId="15806"/>
    <cellStyle name="Comma 2 3 2 3 6 2" xfId="29831"/>
    <cellStyle name="Comma 2 3 2 3 7" xfId="17808"/>
    <cellStyle name="Comma 2 3 2 3 7 2" xfId="31833"/>
    <cellStyle name="Comma 2 3 2 3 8" xfId="23822"/>
    <cellStyle name="Comma 2 3 2 4" xfId="1038"/>
    <cellStyle name="Comma 2 3 2 4 2" xfId="1039"/>
    <cellStyle name="Comma 2 3 2 4 2 2" xfId="11790"/>
    <cellStyle name="Comma 2 3 2 4 2 2 2" xfId="19815"/>
    <cellStyle name="Comma 2 3 2 4 2 2 2 2" xfId="33840"/>
    <cellStyle name="Comma 2 3 2 4 2 2 3" xfId="25829"/>
    <cellStyle name="Comma 2 3 2 4 2 3" xfId="13805"/>
    <cellStyle name="Comma 2 3 2 4 2 3 2" xfId="21820"/>
    <cellStyle name="Comma 2 3 2 4 2 3 2 2" xfId="35845"/>
    <cellStyle name="Comma 2 3 2 4 2 3 3" xfId="27834"/>
    <cellStyle name="Comma 2 3 2 4 2 4" xfId="15811"/>
    <cellStyle name="Comma 2 3 2 4 2 4 2" xfId="29836"/>
    <cellStyle name="Comma 2 3 2 4 2 5" xfId="17813"/>
    <cellStyle name="Comma 2 3 2 4 2 5 2" xfId="31838"/>
    <cellStyle name="Comma 2 3 2 4 2 6" xfId="23827"/>
    <cellStyle name="Comma 2 3 2 4 3" xfId="11789"/>
    <cellStyle name="Comma 2 3 2 4 3 2" xfId="19814"/>
    <cellStyle name="Comma 2 3 2 4 3 2 2" xfId="33839"/>
    <cellStyle name="Comma 2 3 2 4 3 3" xfId="25828"/>
    <cellStyle name="Comma 2 3 2 4 4" xfId="13804"/>
    <cellStyle name="Comma 2 3 2 4 4 2" xfId="21819"/>
    <cellStyle name="Comma 2 3 2 4 4 2 2" xfId="35844"/>
    <cellStyle name="Comma 2 3 2 4 4 3" xfId="27833"/>
    <cellStyle name="Comma 2 3 2 4 5" xfId="15810"/>
    <cellStyle name="Comma 2 3 2 4 5 2" xfId="29835"/>
    <cellStyle name="Comma 2 3 2 4 6" xfId="17812"/>
    <cellStyle name="Comma 2 3 2 4 6 2" xfId="31837"/>
    <cellStyle name="Comma 2 3 2 4 7" xfId="23826"/>
    <cellStyle name="Comma 2 3 2 5" xfId="1040"/>
    <cellStyle name="Comma 2 3 2 5 2" xfId="1041"/>
    <cellStyle name="Comma 2 3 2 5 2 2" xfId="11792"/>
    <cellStyle name="Comma 2 3 2 5 2 2 2" xfId="19817"/>
    <cellStyle name="Comma 2 3 2 5 2 2 2 2" xfId="33842"/>
    <cellStyle name="Comma 2 3 2 5 2 2 3" xfId="25831"/>
    <cellStyle name="Comma 2 3 2 5 2 3" xfId="13807"/>
    <cellStyle name="Comma 2 3 2 5 2 3 2" xfId="21822"/>
    <cellStyle name="Comma 2 3 2 5 2 3 2 2" xfId="35847"/>
    <cellStyle name="Comma 2 3 2 5 2 3 3" xfId="27836"/>
    <cellStyle name="Comma 2 3 2 5 2 4" xfId="15813"/>
    <cellStyle name="Comma 2 3 2 5 2 4 2" xfId="29838"/>
    <cellStyle name="Comma 2 3 2 5 2 5" xfId="17815"/>
    <cellStyle name="Comma 2 3 2 5 2 5 2" xfId="31840"/>
    <cellStyle name="Comma 2 3 2 5 2 6" xfId="23829"/>
    <cellStyle name="Comma 2 3 2 5 3" xfId="11791"/>
    <cellStyle name="Comma 2 3 2 5 3 2" xfId="19816"/>
    <cellStyle name="Comma 2 3 2 5 3 2 2" xfId="33841"/>
    <cellStyle name="Comma 2 3 2 5 3 3" xfId="25830"/>
    <cellStyle name="Comma 2 3 2 5 4" xfId="13806"/>
    <cellStyle name="Comma 2 3 2 5 4 2" xfId="21821"/>
    <cellStyle name="Comma 2 3 2 5 4 2 2" xfId="35846"/>
    <cellStyle name="Comma 2 3 2 5 4 3" xfId="27835"/>
    <cellStyle name="Comma 2 3 2 5 5" xfId="15812"/>
    <cellStyle name="Comma 2 3 2 5 5 2" xfId="29837"/>
    <cellStyle name="Comma 2 3 2 5 6" xfId="17814"/>
    <cellStyle name="Comma 2 3 2 5 6 2" xfId="31839"/>
    <cellStyle name="Comma 2 3 2 5 7" xfId="23828"/>
    <cellStyle name="Comma 2 3 2 6" xfId="1042"/>
    <cellStyle name="Comma 2 3 2 6 2" xfId="11793"/>
    <cellStyle name="Comma 2 3 2 6 2 2" xfId="19818"/>
    <cellStyle name="Comma 2 3 2 6 2 2 2" xfId="33843"/>
    <cellStyle name="Comma 2 3 2 6 2 3" xfId="25832"/>
    <cellStyle name="Comma 2 3 2 6 3" xfId="13808"/>
    <cellStyle name="Comma 2 3 2 6 3 2" xfId="21823"/>
    <cellStyle name="Comma 2 3 2 6 3 2 2" xfId="35848"/>
    <cellStyle name="Comma 2 3 2 6 3 3" xfId="27837"/>
    <cellStyle name="Comma 2 3 2 6 4" xfId="15814"/>
    <cellStyle name="Comma 2 3 2 6 4 2" xfId="29839"/>
    <cellStyle name="Comma 2 3 2 6 5" xfId="17816"/>
    <cellStyle name="Comma 2 3 2 6 5 2" xfId="31841"/>
    <cellStyle name="Comma 2 3 2 6 6" xfId="23830"/>
    <cellStyle name="Comma 2 3 2 7" xfId="11774"/>
    <cellStyle name="Comma 2 3 2 7 2" xfId="19799"/>
    <cellStyle name="Comma 2 3 2 7 2 2" xfId="33824"/>
    <cellStyle name="Comma 2 3 2 7 3" xfId="25813"/>
    <cellStyle name="Comma 2 3 2 8" xfId="13789"/>
    <cellStyle name="Comma 2 3 2 8 2" xfId="21804"/>
    <cellStyle name="Comma 2 3 2 8 2 2" xfId="35829"/>
    <cellStyle name="Comma 2 3 2 8 3" xfId="27818"/>
    <cellStyle name="Comma 2 3 2 9" xfId="15795"/>
    <cellStyle name="Comma 2 3 2 9 2" xfId="29820"/>
    <cellStyle name="Comma 2 3 3" xfId="1043"/>
    <cellStyle name="Comma 2 3 3 10" xfId="23831"/>
    <cellStyle name="Comma 2 3 3 2" xfId="1044"/>
    <cellStyle name="Comma 2 3 3 2 2" xfId="1045"/>
    <cellStyle name="Comma 2 3 3 2 2 2" xfId="1046"/>
    <cellStyle name="Comma 2 3 3 2 2 2 2" xfId="11797"/>
    <cellStyle name="Comma 2 3 3 2 2 2 2 2" xfId="19822"/>
    <cellStyle name="Comma 2 3 3 2 2 2 2 2 2" xfId="33847"/>
    <cellStyle name="Comma 2 3 3 2 2 2 2 3" xfId="25836"/>
    <cellStyle name="Comma 2 3 3 2 2 2 3" xfId="13812"/>
    <cellStyle name="Comma 2 3 3 2 2 2 3 2" xfId="21827"/>
    <cellStyle name="Comma 2 3 3 2 2 2 3 2 2" xfId="35852"/>
    <cellStyle name="Comma 2 3 3 2 2 2 3 3" xfId="27841"/>
    <cellStyle name="Comma 2 3 3 2 2 2 4" xfId="15818"/>
    <cellStyle name="Comma 2 3 3 2 2 2 4 2" xfId="29843"/>
    <cellStyle name="Comma 2 3 3 2 2 2 5" xfId="17820"/>
    <cellStyle name="Comma 2 3 3 2 2 2 5 2" xfId="31845"/>
    <cellStyle name="Comma 2 3 3 2 2 2 6" xfId="23834"/>
    <cellStyle name="Comma 2 3 3 2 2 3" xfId="11796"/>
    <cellStyle name="Comma 2 3 3 2 2 3 2" xfId="19821"/>
    <cellStyle name="Comma 2 3 3 2 2 3 2 2" xfId="33846"/>
    <cellStyle name="Comma 2 3 3 2 2 3 3" xfId="25835"/>
    <cellStyle name="Comma 2 3 3 2 2 4" xfId="13811"/>
    <cellStyle name="Comma 2 3 3 2 2 4 2" xfId="21826"/>
    <cellStyle name="Comma 2 3 3 2 2 4 2 2" xfId="35851"/>
    <cellStyle name="Comma 2 3 3 2 2 4 3" xfId="27840"/>
    <cellStyle name="Comma 2 3 3 2 2 5" xfId="15817"/>
    <cellStyle name="Comma 2 3 3 2 2 5 2" xfId="29842"/>
    <cellStyle name="Comma 2 3 3 2 2 6" xfId="17819"/>
    <cellStyle name="Comma 2 3 3 2 2 6 2" xfId="31844"/>
    <cellStyle name="Comma 2 3 3 2 2 7" xfId="23833"/>
    <cellStyle name="Comma 2 3 3 2 3" xfId="1047"/>
    <cellStyle name="Comma 2 3 3 2 3 2" xfId="11798"/>
    <cellStyle name="Comma 2 3 3 2 3 2 2" xfId="19823"/>
    <cellStyle name="Comma 2 3 3 2 3 2 2 2" xfId="33848"/>
    <cellStyle name="Comma 2 3 3 2 3 2 3" xfId="25837"/>
    <cellStyle name="Comma 2 3 3 2 3 3" xfId="13813"/>
    <cellStyle name="Comma 2 3 3 2 3 3 2" xfId="21828"/>
    <cellStyle name="Comma 2 3 3 2 3 3 2 2" xfId="35853"/>
    <cellStyle name="Comma 2 3 3 2 3 3 3" xfId="27842"/>
    <cellStyle name="Comma 2 3 3 2 3 4" xfId="15819"/>
    <cellStyle name="Comma 2 3 3 2 3 4 2" xfId="29844"/>
    <cellStyle name="Comma 2 3 3 2 3 5" xfId="17821"/>
    <cellStyle name="Comma 2 3 3 2 3 5 2" xfId="31846"/>
    <cellStyle name="Comma 2 3 3 2 3 6" xfId="23835"/>
    <cellStyle name="Comma 2 3 3 2 4" xfId="11795"/>
    <cellStyle name="Comma 2 3 3 2 4 2" xfId="19820"/>
    <cellStyle name="Comma 2 3 3 2 4 2 2" xfId="33845"/>
    <cellStyle name="Comma 2 3 3 2 4 3" xfId="25834"/>
    <cellStyle name="Comma 2 3 3 2 5" xfId="13810"/>
    <cellStyle name="Comma 2 3 3 2 5 2" xfId="21825"/>
    <cellStyle name="Comma 2 3 3 2 5 2 2" xfId="35850"/>
    <cellStyle name="Comma 2 3 3 2 5 3" xfId="27839"/>
    <cellStyle name="Comma 2 3 3 2 6" xfId="15816"/>
    <cellStyle name="Comma 2 3 3 2 6 2" xfId="29841"/>
    <cellStyle name="Comma 2 3 3 2 7" xfId="17818"/>
    <cellStyle name="Comma 2 3 3 2 7 2" xfId="31843"/>
    <cellStyle name="Comma 2 3 3 2 8" xfId="23832"/>
    <cellStyle name="Comma 2 3 3 3" xfId="1048"/>
    <cellStyle name="Comma 2 3 3 3 2" xfId="1049"/>
    <cellStyle name="Comma 2 3 3 3 2 2" xfId="11800"/>
    <cellStyle name="Comma 2 3 3 3 2 2 2" xfId="19825"/>
    <cellStyle name="Comma 2 3 3 3 2 2 2 2" xfId="33850"/>
    <cellStyle name="Comma 2 3 3 3 2 2 3" xfId="25839"/>
    <cellStyle name="Comma 2 3 3 3 2 3" xfId="13815"/>
    <cellStyle name="Comma 2 3 3 3 2 3 2" xfId="21830"/>
    <cellStyle name="Comma 2 3 3 3 2 3 2 2" xfId="35855"/>
    <cellStyle name="Comma 2 3 3 3 2 3 3" xfId="27844"/>
    <cellStyle name="Comma 2 3 3 3 2 4" xfId="15821"/>
    <cellStyle name="Comma 2 3 3 3 2 4 2" xfId="29846"/>
    <cellStyle name="Comma 2 3 3 3 2 5" xfId="17823"/>
    <cellStyle name="Comma 2 3 3 3 2 5 2" xfId="31848"/>
    <cellStyle name="Comma 2 3 3 3 2 6" xfId="23837"/>
    <cellStyle name="Comma 2 3 3 3 3" xfId="11799"/>
    <cellStyle name="Comma 2 3 3 3 3 2" xfId="19824"/>
    <cellStyle name="Comma 2 3 3 3 3 2 2" xfId="33849"/>
    <cellStyle name="Comma 2 3 3 3 3 3" xfId="25838"/>
    <cellStyle name="Comma 2 3 3 3 4" xfId="13814"/>
    <cellStyle name="Comma 2 3 3 3 4 2" xfId="21829"/>
    <cellStyle name="Comma 2 3 3 3 4 2 2" xfId="35854"/>
    <cellStyle name="Comma 2 3 3 3 4 3" xfId="27843"/>
    <cellStyle name="Comma 2 3 3 3 5" xfId="15820"/>
    <cellStyle name="Comma 2 3 3 3 5 2" xfId="29845"/>
    <cellStyle name="Comma 2 3 3 3 6" xfId="17822"/>
    <cellStyle name="Comma 2 3 3 3 6 2" xfId="31847"/>
    <cellStyle name="Comma 2 3 3 3 7" xfId="23836"/>
    <cellStyle name="Comma 2 3 3 4" xfId="1050"/>
    <cellStyle name="Comma 2 3 3 4 2" xfId="1051"/>
    <cellStyle name="Comma 2 3 3 4 2 2" xfId="11802"/>
    <cellStyle name="Comma 2 3 3 4 2 2 2" xfId="19827"/>
    <cellStyle name="Comma 2 3 3 4 2 2 2 2" xfId="33852"/>
    <cellStyle name="Comma 2 3 3 4 2 2 3" xfId="25841"/>
    <cellStyle name="Comma 2 3 3 4 2 3" xfId="13817"/>
    <cellStyle name="Comma 2 3 3 4 2 3 2" xfId="21832"/>
    <cellStyle name="Comma 2 3 3 4 2 3 2 2" xfId="35857"/>
    <cellStyle name="Comma 2 3 3 4 2 3 3" xfId="27846"/>
    <cellStyle name="Comma 2 3 3 4 2 4" xfId="15823"/>
    <cellStyle name="Comma 2 3 3 4 2 4 2" xfId="29848"/>
    <cellStyle name="Comma 2 3 3 4 2 5" xfId="17825"/>
    <cellStyle name="Comma 2 3 3 4 2 5 2" xfId="31850"/>
    <cellStyle name="Comma 2 3 3 4 2 6" xfId="23839"/>
    <cellStyle name="Comma 2 3 3 4 3" xfId="11801"/>
    <cellStyle name="Comma 2 3 3 4 3 2" xfId="19826"/>
    <cellStyle name="Comma 2 3 3 4 3 2 2" xfId="33851"/>
    <cellStyle name="Comma 2 3 3 4 3 3" xfId="25840"/>
    <cellStyle name="Comma 2 3 3 4 4" xfId="13816"/>
    <cellStyle name="Comma 2 3 3 4 4 2" xfId="21831"/>
    <cellStyle name="Comma 2 3 3 4 4 2 2" xfId="35856"/>
    <cellStyle name="Comma 2 3 3 4 4 3" xfId="27845"/>
    <cellStyle name="Comma 2 3 3 4 5" xfId="15822"/>
    <cellStyle name="Comma 2 3 3 4 5 2" xfId="29847"/>
    <cellStyle name="Comma 2 3 3 4 6" xfId="17824"/>
    <cellStyle name="Comma 2 3 3 4 6 2" xfId="31849"/>
    <cellStyle name="Comma 2 3 3 4 7" xfId="23838"/>
    <cellStyle name="Comma 2 3 3 5" xfId="1052"/>
    <cellStyle name="Comma 2 3 3 5 2" xfId="11803"/>
    <cellStyle name="Comma 2 3 3 5 2 2" xfId="19828"/>
    <cellStyle name="Comma 2 3 3 5 2 2 2" xfId="33853"/>
    <cellStyle name="Comma 2 3 3 5 2 3" xfId="25842"/>
    <cellStyle name="Comma 2 3 3 5 3" xfId="13818"/>
    <cellStyle name="Comma 2 3 3 5 3 2" xfId="21833"/>
    <cellStyle name="Comma 2 3 3 5 3 2 2" xfId="35858"/>
    <cellStyle name="Comma 2 3 3 5 3 3" xfId="27847"/>
    <cellStyle name="Comma 2 3 3 5 4" xfId="15824"/>
    <cellStyle name="Comma 2 3 3 5 4 2" xfId="29849"/>
    <cellStyle name="Comma 2 3 3 5 5" xfId="17826"/>
    <cellStyle name="Comma 2 3 3 5 5 2" xfId="31851"/>
    <cellStyle name="Comma 2 3 3 5 6" xfId="23840"/>
    <cellStyle name="Comma 2 3 3 6" xfId="11794"/>
    <cellStyle name="Comma 2 3 3 6 2" xfId="19819"/>
    <cellStyle name="Comma 2 3 3 6 2 2" xfId="33844"/>
    <cellStyle name="Comma 2 3 3 6 3" xfId="25833"/>
    <cellStyle name="Comma 2 3 3 7" xfId="13809"/>
    <cellStyle name="Comma 2 3 3 7 2" xfId="21824"/>
    <cellStyle name="Comma 2 3 3 7 2 2" xfId="35849"/>
    <cellStyle name="Comma 2 3 3 7 3" xfId="27838"/>
    <cellStyle name="Comma 2 3 3 8" xfId="15815"/>
    <cellStyle name="Comma 2 3 3 8 2" xfId="29840"/>
    <cellStyle name="Comma 2 3 3 9" xfId="17817"/>
    <cellStyle name="Comma 2 3 3 9 2" xfId="31842"/>
    <cellStyle name="Comma 2 3 4" xfId="1053"/>
    <cellStyle name="Comma 2 3 4 2" xfId="1054"/>
    <cellStyle name="Comma 2 3 4 2 2" xfId="1055"/>
    <cellStyle name="Comma 2 3 4 2 2 2" xfId="11806"/>
    <cellStyle name="Comma 2 3 4 2 2 2 2" xfId="19831"/>
    <cellStyle name="Comma 2 3 4 2 2 2 2 2" xfId="33856"/>
    <cellStyle name="Comma 2 3 4 2 2 2 3" xfId="25845"/>
    <cellStyle name="Comma 2 3 4 2 2 3" xfId="13821"/>
    <cellStyle name="Comma 2 3 4 2 2 3 2" xfId="21836"/>
    <cellStyle name="Comma 2 3 4 2 2 3 2 2" xfId="35861"/>
    <cellStyle name="Comma 2 3 4 2 2 3 3" xfId="27850"/>
    <cellStyle name="Comma 2 3 4 2 2 4" xfId="15827"/>
    <cellStyle name="Comma 2 3 4 2 2 4 2" xfId="29852"/>
    <cellStyle name="Comma 2 3 4 2 2 5" xfId="17829"/>
    <cellStyle name="Comma 2 3 4 2 2 5 2" xfId="31854"/>
    <cellStyle name="Comma 2 3 4 2 2 6" xfId="23843"/>
    <cellStyle name="Comma 2 3 4 2 3" xfId="11805"/>
    <cellStyle name="Comma 2 3 4 2 3 2" xfId="19830"/>
    <cellStyle name="Comma 2 3 4 2 3 2 2" xfId="33855"/>
    <cellStyle name="Comma 2 3 4 2 3 3" xfId="25844"/>
    <cellStyle name="Comma 2 3 4 2 4" xfId="13820"/>
    <cellStyle name="Comma 2 3 4 2 4 2" xfId="21835"/>
    <cellStyle name="Comma 2 3 4 2 4 2 2" xfId="35860"/>
    <cellStyle name="Comma 2 3 4 2 4 3" xfId="27849"/>
    <cellStyle name="Comma 2 3 4 2 5" xfId="15826"/>
    <cellStyle name="Comma 2 3 4 2 5 2" xfId="29851"/>
    <cellStyle name="Comma 2 3 4 2 6" xfId="17828"/>
    <cellStyle name="Comma 2 3 4 2 6 2" xfId="31853"/>
    <cellStyle name="Comma 2 3 4 2 7" xfId="23842"/>
    <cellStyle name="Comma 2 3 4 3" xfId="1056"/>
    <cellStyle name="Comma 2 3 4 3 2" xfId="11807"/>
    <cellStyle name="Comma 2 3 4 3 2 2" xfId="19832"/>
    <cellStyle name="Comma 2 3 4 3 2 2 2" xfId="33857"/>
    <cellStyle name="Comma 2 3 4 3 2 3" xfId="25846"/>
    <cellStyle name="Comma 2 3 4 3 3" xfId="13822"/>
    <cellStyle name="Comma 2 3 4 3 3 2" xfId="21837"/>
    <cellStyle name="Comma 2 3 4 3 3 2 2" xfId="35862"/>
    <cellStyle name="Comma 2 3 4 3 3 3" xfId="27851"/>
    <cellStyle name="Comma 2 3 4 3 4" xfId="15828"/>
    <cellStyle name="Comma 2 3 4 3 4 2" xfId="29853"/>
    <cellStyle name="Comma 2 3 4 3 5" xfId="17830"/>
    <cellStyle name="Comma 2 3 4 3 5 2" xfId="31855"/>
    <cellStyle name="Comma 2 3 4 3 6" xfId="23844"/>
    <cellStyle name="Comma 2 3 4 4" xfId="11804"/>
    <cellStyle name="Comma 2 3 4 4 2" xfId="19829"/>
    <cellStyle name="Comma 2 3 4 4 2 2" xfId="33854"/>
    <cellStyle name="Comma 2 3 4 4 3" xfId="25843"/>
    <cellStyle name="Comma 2 3 4 5" xfId="13819"/>
    <cellStyle name="Comma 2 3 4 5 2" xfId="21834"/>
    <cellStyle name="Comma 2 3 4 5 2 2" xfId="35859"/>
    <cellStyle name="Comma 2 3 4 5 3" xfId="27848"/>
    <cellStyle name="Comma 2 3 4 6" xfId="15825"/>
    <cellStyle name="Comma 2 3 4 6 2" xfId="29850"/>
    <cellStyle name="Comma 2 3 4 7" xfId="17827"/>
    <cellStyle name="Comma 2 3 4 7 2" xfId="31852"/>
    <cellStyle name="Comma 2 3 4 8" xfId="23841"/>
    <cellStyle name="Comma 2 3 5" xfId="1057"/>
    <cellStyle name="Comma 2 3 5 2" xfId="1058"/>
    <cellStyle name="Comma 2 3 5 2 2" xfId="11809"/>
    <cellStyle name="Comma 2 3 5 2 2 2" xfId="19834"/>
    <cellStyle name="Comma 2 3 5 2 2 2 2" xfId="33859"/>
    <cellStyle name="Comma 2 3 5 2 2 3" xfId="25848"/>
    <cellStyle name="Comma 2 3 5 2 3" xfId="13824"/>
    <cellStyle name="Comma 2 3 5 2 3 2" xfId="21839"/>
    <cellStyle name="Comma 2 3 5 2 3 2 2" xfId="35864"/>
    <cellStyle name="Comma 2 3 5 2 3 3" xfId="27853"/>
    <cellStyle name="Comma 2 3 5 2 4" xfId="15830"/>
    <cellStyle name="Comma 2 3 5 2 4 2" xfId="29855"/>
    <cellStyle name="Comma 2 3 5 2 5" xfId="17832"/>
    <cellStyle name="Comma 2 3 5 2 5 2" xfId="31857"/>
    <cellStyle name="Comma 2 3 5 2 6" xfId="23846"/>
    <cellStyle name="Comma 2 3 5 3" xfId="11808"/>
    <cellStyle name="Comma 2 3 5 3 2" xfId="19833"/>
    <cellStyle name="Comma 2 3 5 3 2 2" xfId="33858"/>
    <cellStyle name="Comma 2 3 5 3 3" xfId="25847"/>
    <cellStyle name="Comma 2 3 5 4" xfId="13823"/>
    <cellStyle name="Comma 2 3 5 4 2" xfId="21838"/>
    <cellStyle name="Comma 2 3 5 4 2 2" xfId="35863"/>
    <cellStyle name="Comma 2 3 5 4 3" xfId="27852"/>
    <cellStyle name="Comma 2 3 5 5" xfId="15829"/>
    <cellStyle name="Comma 2 3 5 5 2" xfId="29854"/>
    <cellStyle name="Comma 2 3 5 6" xfId="17831"/>
    <cellStyle name="Comma 2 3 5 6 2" xfId="31856"/>
    <cellStyle name="Comma 2 3 5 7" xfId="23845"/>
    <cellStyle name="Comma 2 3 6" xfId="1059"/>
    <cellStyle name="Comma 2 3 6 2" xfId="1060"/>
    <cellStyle name="Comma 2 3 6 2 2" xfId="11811"/>
    <cellStyle name="Comma 2 3 6 2 2 2" xfId="19836"/>
    <cellStyle name="Comma 2 3 6 2 2 2 2" xfId="33861"/>
    <cellStyle name="Comma 2 3 6 2 2 3" xfId="25850"/>
    <cellStyle name="Comma 2 3 6 2 3" xfId="13826"/>
    <cellStyle name="Comma 2 3 6 2 3 2" xfId="21841"/>
    <cellStyle name="Comma 2 3 6 2 3 2 2" xfId="35866"/>
    <cellStyle name="Comma 2 3 6 2 3 3" xfId="27855"/>
    <cellStyle name="Comma 2 3 6 2 4" xfId="15832"/>
    <cellStyle name="Comma 2 3 6 2 4 2" xfId="29857"/>
    <cellStyle name="Comma 2 3 6 2 5" xfId="17834"/>
    <cellStyle name="Comma 2 3 6 2 5 2" xfId="31859"/>
    <cellStyle name="Comma 2 3 6 2 6" xfId="23848"/>
    <cellStyle name="Comma 2 3 6 3" xfId="11810"/>
    <cellStyle name="Comma 2 3 6 3 2" xfId="19835"/>
    <cellStyle name="Comma 2 3 6 3 2 2" xfId="33860"/>
    <cellStyle name="Comma 2 3 6 3 3" xfId="25849"/>
    <cellStyle name="Comma 2 3 6 4" xfId="13825"/>
    <cellStyle name="Comma 2 3 6 4 2" xfId="21840"/>
    <cellStyle name="Comma 2 3 6 4 2 2" xfId="35865"/>
    <cellStyle name="Comma 2 3 6 4 3" xfId="27854"/>
    <cellStyle name="Comma 2 3 6 5" xfId="15831"/>
    <cellStyle name="Comma 2 3 6 5 2" xfId="29856"/>
    <cellStyle name="Comma 2 3 6 6" xfId="17833"/>
    <cellStyle name="Comma 2 3 6 6 2" xfId="31858"/>
    <cellStyle name="Comma 2 3 6 7" xfId="23847"/>
    <cellStyle name="Comma 2 3 7" xfId="1061"/>
    <cellStyle name="Comma 2 3 7 2" xfId="11812"/>
    <cellStyle name="Comma 2 3 7 2 2" xfId="19837"/>
    <cellStyle name="Comma 2 3 7 2 2 2" xfId="33862"/>
    <cellStyle name="Comma 2 3 7 2 3" xfId="25851"/>
    <cellStyle name="Comma 2 3 7 3" xfId="13827"/>
    <cellStyle name="Comma 2 3 7 3 2" xfId="21842"/>
    <cellStyle name="Comma 2 3 7 3 2 2" xfId="35867"/>
    <cellStyle name="Comma 2 3 7 3 3" xfId="27856"/>
    <cellStyle name="Comma 2 3 7 4" xfId="15833"/>
    <cellStyle name="Comma 2 3 7 4 2" xfId="29858"/>
    <cellStyle name="Comma 2 3 7 5" xfId="17835"/>
    <cellStyle name="Comma 2 3 7 5 2" xfId="31860"/>
    <cellStyle name="Comma 2 3 7 6" xfId="23849"/>
    <cellStyle name="Comma 2 4" xfId="406"/>
    <cellStyle name="Comma 2 4 2" xfId="1062"/>
    <cellStyle name="Comma 2 4 2 10" xfId="17836"/>
    <cellStyle name="Comma 2 4 2 10 2" xfId="31861"/>
    <cellStyle name="Comma 2 4 2 11" xfId="23850"/>
    <cellStyle name="Comma 2 4 2 2" xfId="1063"/>
    <cellStyle name="Comma 2 4 2 2 10" xfId="23851"/>
    <cellStyle name="Comma 2 4 2 2 2" xfId="1064"/>
    <cellStyle name="Comma 2 4 2 2 2 2" xfId="1065"/>
    <cellStyle name="Comma 2 4 2 2 2 2 2" xfId="1066"/>
    <cellStyle name="Comma 2 4 2 2 2 2 2 2" xfId="11817"/>
    <cellStyle name="Comma 2 4 2 2 2 2 2 2 2" xfId="19842"/>
    <cellStyle name="Comma 2 4 2 2 2 2 2 2 2 2" xfId="33867"/>
    <cellStyle name="Comma 2 4 2 2 2 2 2 2 3" xfId="25856"/>
    <cellStyle name="Comma 2 4 2 2 2 2 2 3" xfId="13832"/>
    <cellStyle name="Comma 2 4 2 2 2 2 2 3 2" xfId="21847"/>
    <cellStyle name="Comma 2 4 2 2 2 2 2 3 2 2" xfId="35872"/>
    <cellStyle name="Comma 2 4 2 2 2 2 2 3 3" xfId="27861"/>
    <cellStyle name="Comma 2 4 2 2 2 2 2 4" xfId="15838"/>
    <cellStyle name="Comma 2 4 2 2 2 2 2 4 2" xfId="29863"/>
    <cellStyle name="Comma 2 4 2 2 2 2 2 5" xfId="17840"/>
    <cellStyle name="Comma 2 4 2 2 2 2 2 5 2" xfId="31865"/>
    <cellStyle name="Comma 2 4 2 2 2 2 2 6" xfId="23854"/>
    <cellStyle name="Comma 2 4 2 2 2 2 3" xfId="11816"/>
    <cellStyle name="Comma 2 4 2 2 2 2 3 2" xfId="19841"/>
    <cellStyle name="Comma 2 4 2 2 2 2 3 2 2" xfId="33866"/>
    <cellStyle name="Comma 2 4 2 2 2 2 3 3" xfId="25855"/>
    <cellStyle name="Comma 2 4 2 2 2 2 4" xfId="13831"/>
    <cellStyle name="Comma 2 4 2 2 2 2 4 2" xfId="21846"/>
    <cellStyle name="Comma 2 4 2 2 2 2 4 2 2" xfId="35871"/>
    <cellStyle name="Comma 2 4 2 2 2 2 4 3" xfId="27860"/>
    <cellStyle name="Comma 2 4 2 2 2 2 5" xfId="15837"/>
    <cellStyle name="Comma 2 4 2 2 2 2 5 2" xfId="29862"/>
    <cellStyle name="Comma 2 4 2 2 2 2 6" xfId="17839"/>
    <cellStyle name="Comma 2 4 2 2 2 2 6 2" xfId="31864"/>
    <cellStyle name="Comma 2 4 2 2 2 2 7" xfId="23853"/>
    <cellStyle name="Comma 2 4 2 2 2 3" xfId="1067"/>
    <cellStyle name="Comma 2 4 2 2 2 3 2" xfId="11818"/>
    <cellStyle name="Comma 2 4 2 2 2 3 2 2" xfId="19843"/>
    <cellStyle name="Comma 2 4 2 2 2 3 2 2 2" xfId="33868"/>
    <cellStyle name="Comma 2 4 2 2 2 3 2 3" xfId="25857"/>
    <cellStyle name="Comma 2 4 2 2 2 3 3" xfId="13833"/>
    <cellStyle name="Comma 2 4 2 2 2 3 3 2" xfId="21848"/>
    <cellStyle name="Comma 2 4 2 2 2 3 3 2 2" xfId="35873"/>
    <cellStyle name="Comma 2 4 2 2 2 3 3 3" xfId="27862"/>
    <cellStyle name="Comma 2 4 2 2 2 3 4" xfId="15839"/>
    <cellStyle name="Comma 2 4 2 2 2 3 4 2" xfId="29864"/>
    <cellStyle name="Comma 2 4 2 2 2 3 5" xfId="17841"/>
    <cellStyle name="Comma 2 4 2 2 2 3 5 2" xfId="31866"/>
    <cellStyle name="Comma 2 4 2 2 2 3 6" xfId="23855"/>
    <cellStyle name="Comma 2 4 2 2 2 4" xfId="11815"/>
    <cellStyle name="Comma 2 4 2 2 2 4 2" xfId="19840"/>
    <cellStyle name="Comma 2 4 2 2 2 4 2 2" xfId="33865"/>
    <cellStyle name="Comma 2 4 2 2 2 4 3" xfId="25854"/>
    <cellStyle name="Comma 2 4 2 2 2 5" xfId="13830"/>
    <cellStyle name="Comma 2 4 2 2 2 5 2" xfId="21845"/>
    <cellStyle name="Comma 2 4 2 2 2 5 2 2" xfId="35870"/>
    <cellStyle name="Comma 2 4 2 2 2 5 3" xfId="27859"/>
    <cellStyle name="Comma 2 4 2 2 2 6" xfId="15836"/>
    <cellStyle name="Comma 2 4 2 2 2 6 2" xfId="29861"/>
    <cellStyle name="Comma 2 4 2 2 2 7" xfId="17838"/>
    <cellStyle name="Comma 2 4 2 2 2 7 2" xfId="31863"/>
    <cellStyle name="Comma 2 4 2 2 2 8" xfId="23852"/>
    <cellStyle name="Comma 2 4 2 2 3" xfId="1068"/>
    <cellStyle name="Comma 2 4 2 2 3 2" xfId="1069"/>
    <cellStyle name="Comma 2 4 2 2 3 2 2" xfId="11820"/>
    <cellStyle name="Comma 2 4 2 2 3 2 2 2" xfId="19845"/>
    <cellStyle name="Comma 2 4 2 2 3 2 2 2 2" xfId="33870"/>
    <cellStyle name="Comma 2 4 2 2 3 2 2 3" xfId="25859"/>
    <cellStyle name="Comma 2 4 2 2 3 2 3" xfId="13835"/>
    <cellStyle name="Comma 2 4 2 2 3 2 3 2" xfId="21850"/>
    <cellStyle name="Comma 2 4 2 2 3 2 3 2 2" xfId="35875"/>
    <cellStyle name="Comma 2 4 2 2 3 2 3 3" xfId="27864"/>
    <cellStyle name="Comma 2 4 2 2 3 2 4" xfId="15841"/>
    <cellStyle name="Comma 2 4 2 2 3 2 4 2" xfId="29866"/>
    <cellStyle name="Comma 2 4 2 2 3 2 5" xfId="17843"/>
    <cellStyle name="Comma 2 4 2 2 3 2 5 2" xfId="31868"/>
    <cellStyle name="Comma 2 4 2 2 3 2 6" xfId="23857"/>
    <cellStyle name="Comma 2 4 2 2 3 3" xfId="11819"/>
    <cellStyle name="Comma 2 4 2 2 3 3 2" xfId="19844"/>
    <cellStyle name="Comma 2 4 2 2 3 3 2 2" xfId="33869"/>
    <cellStyle name="Comma 2 4 2 2 3 3 3" xfId="25858"/>
    <cellStyle name="Comma 2 4 2 2 3 4" xfId="13834"/>
    <cellStyle name="Comma 2 4 2 2 3 4 2" xfId="21849"/>
    <cellStyle name="Comma 2 4 2 2 3 4 2 2" xfId="35874"/>
    <cellStyle name="Comma 2 4 2 2 3 4 3" xfId="27863"/>
    <cellStyle name="Comma 2 4 2 2 3 5" xfId="15840"/>
    <cellStyle name="Comma 2 4 2 2 3 5 2" xfId="29865"/>
    <cellStyle name="Comma 2 4 2 2 3 6" xfId="17842"/>
    <cellStyle name="Comma 2 4 2 2 3 6 2" xfId="31867"/>
    <cellStyle name="Comma 2 4 2 2 3 7" xfId="23856"/>
    <cellStyle name="Comma 2 4 2 2 4" xfId="1070"/>
    <cellStyle name="Comma 2 4 2 2 4 2" xfId="1071"/>
    <cellStyle name="Comma 2 4 2 2 4 2 2" xfId="11822"/>
    <cellStyle name="Comma 2 4 2 2 4 2 2 2" xfId="19847"/>
    <cellStyle name="Comma 2 4 2 2 4 2 2 2 2" xfId="33872"/>
    <cellStyle name="Comma 2 4 2 2 4 2 2 3" xfId="25861"/>
    <cellStyle name="Comma 2 4 2 2 4 2 3" xfId="13837"/>
    <cellStyle name="Comma 2 4 2 2 4 2 3 2" xfId="21852"/>
    <cellStyle name="Comma 2 4 2 2 4 2 3 2 2" xfId="35877"/>
    <cellStyle name="Comma 2 4 2 2 4 2 3 3" xfId="27866"/>
    <cellStyle name="Comma 2 4 2 2 4 2 4" xfId="15843"/>
    <cellStyle name="Comma 2 4 2 2 4 2 4 2" xfId="29868"/>
    <cellStyle name="Comma 2 4 2 2 4 2 5" xfId="17845"/>
    <cellStyle name="Comma 2 4 2 2 4 2 5 2" xfId="31870"/>
    <cellStyle name="Comma 2 4 2 2 4 2 6" xfId="23859"/>
    <cellStyle name="Comma 2 4 2 2 4 3" xfId="11821"/>
    <cellStyle name="Comma 2 4 2 2 4 3 2" xfId="19846"/>
    <cellStyle name="Comma 2 4 2 2 4 3 2 2" xfId="33871"/>
    <cellStyle name="Comma 2 4 2 2 4 3 3" xfId="25860"/>
    <cellStyle name="Comma 2 4 2 2 4 4" xfId="13836"/>
    <cellStyle name="Comma 2 4 2 2 4 4 2" xfId="21851"/>
    <cellStyle name="Comma 2 4 2 2 4 4 2 2" xfId="35876"/>
    <cellStyle name="Comma 2 4 2 2 4 4 3" xfId="27865"/>
    <cellStyle name="Comma 2 4 2 2 4 5" xfId="15842"/>
    <cellStyle name="Comma 2 4 2 2 4 5 2" xfId="29867"/>
    <cellStyle name="Comma 2 4 2 2 4 6" xfId="17844"/>
    <cellStyle name="Comma 2 4 2 2 4 6 2" xfId="31869"/>
    <cellStyle name="Comma 2 4 2 2 4 7" xfId="23858"/>
    <cellStyle name="Comma 2 4 2 2 5" xfId="1072"/>
    <cellStyle name="Comma 2 4 2 2 5 2" xfId="11823"/>
    <cellStyle name="Comma 2 4 2 2 5 2 2" xfId="19848"/>
    <cellStyle name="Comma 2 4 2 2 5 2 2 2" xfId="33873"/>
    <cellStyle name="Comma 2 4 2 2 5 2 3" xfId="25862"/>
    <cellStyle name="Comma 2 4 2 2 5 3" xfId="13838"/>
    <cellStyle name="Comma 2 4 2 2 5 3 2" xfId="21853"/>
    <cellStyle name="Comma 2 4 2 2 5 3 2 2" xfId="35878"/>
    <cellStyle name="Comma 2 4 2 2 5 3 3" xfId="27867"/>
    <cellStyle name="Comma 2 4 2 2 5 4" xfId="15844"/>
    <cellStyle name="Comma 2 4 2 2 5 4 2" xfId="29869"/>
    <cellStyle name="Comma 2 4 2 2 5 5" xfId="17846"/>
    <cellStyle name="Comma 2 4 2 2 5 5 2" xfId="31871"/>
    <cellStyle name="Comma 2 4 2 2 5 6" xfId="23860"/>
    <cellStyle name="Comma 2 4 2 2 6" xfId="11814"/>
    <cellStyle name="Comma 2 4 2 2 6 2" xfId="19839"/>
    <cellStyle name="Comma 2 4 2 2 6 2 2" xfId="33864"/>
    <cellStyle name="Comma 2 4 2 2 6 3" xfId="25853"/>
    <cellStyle name="Comma 2 4 2 2 7" xfId="13829"/>
    <cellStyle name="Comma 2 4 2 2 7 2" xfId="21844"/>
    <cellStyle name="Comma 2 4 2 2 7 2 2" xfId="35869"/>
    <cellStyle name="Comma 2 4 2 2 7 3" xfId="27858"/>
    <cellStyle name="Comma 2 4 2 2 8" xfId="15835"/>
    <cellStyle name="Comma 2 4 2 2 8 2" xfId="29860"/>
    <cellStyle name="Comma 2 4 2 2 9" xfId="17837"/>
    <cellStyle name="Comma 2 4 2 2 9 2" xfId="31862"/>
    <cellStyle name="Comma 2 4 2 3" xfId="1073"/>
    <cellStyle name="Comma 2 4 2 3 2" xfId="1074"/>
    <cellStyle name="Comma 2 4 2 3 2 2" xfId="1075"/>
    <cellStyle name="Comma 2 4 2 3 2 2 2" xfId="11826"/>
    <cellStyle name="Comma 2 4 2 3 2 2 2 2" xfId="19851"/>
    <cellStyle name="Comma 2 4 2 3 2 2 2 2 2" xfId="33876"/>
    <cellStyle name="Comma 2 4 2 3 2 2 2 3" xfId="25865"/>
    <cellStyle name="Comma 2 4 2 3 2 2 3" xfId="13841"/>
    <cellStyle name="Comma 2 4 2 3 2 2 3 2" xfId="21856"/>
    <cellStyle name="Comma 2 4 2 3 2 2 3 2 2" xfId="35881"/>
    <cellStyle name="Comma 2 4 2 3 2 2 3 3" xfId="27870"/>
    <cellStyle name="Comma 2 4 2 3 2 2 4" xfId="15847"/>
    <cellStyle name="Comma 2 4 2 3 2 2 4 2" xfId="29872"/>
    <cellStyle name="Comma 2 4 2 3 2 2 5" xfId="17849"/>
    <cellStyle name="Comma 2 4 2 3 2 2 5 2" xfId="31874"/>
    <cellStyle name="Comma 2 4 2 3 2 2 6" xfId="23863"/>
    <cellStyle name="Comma 2 4 2 3 2 3" xfId="11825"/>
    <cellStyle name="Comma 2 4 2 3 2 3 2" xfId="19850"/>
    <cellStyle name="Comma 2 4 2 3 2 3 2 2" xfId="33875"/>
    <cellStyle name="Comma 2 4 2 3 2 3 3" xfId="25864"/>
    <cellStyle name="Comma 2 4 2 3 2 4" xfId="13840"/>
    <cellStyle name="Comma 2 4 2 3 2 4 2" xfId="21855"/>
    <cellStyle name="Comma 2 4 2 3 2 4 2 2" xfId="35880"/>
    <cellStyle name="Comma 2 4 2 3 2 4 3" xfId="27869"/>
    <cellStyle name="Comma 2 4 2 3 2 5" xfId="15846"/>
    <cellStyle name="Comma 2 4 2 3 2 5 2" xfId="29871"/>
    <cellStyle name="Comma 2 4 2 3 2 6" xfId="17848"/>
    <cellStyle name="Comma 2 4 2 3 2 6 2" xfId="31873"/>
    <cellStyle name="Comma 2 4 2 3 2 7" xfId="23862"/>
    <cellStyle name="Comma 2 4 2 3 3" xfId="1076"/>
    <cellStyle name="Comma 2 4 2 3 3 2" xfId="11827"/>
    <cellStyle name="Comma 2 4 2 3 3 2 2" xfId="19852"/>
    <cellStyle name="Comma 2 4 2 3 3 2 2 2" xfId="33877"/>
    <cellStyle name="Comma 2 4 2 3 3 2 3" xfId="25866"/>
    <cellStyle name="Comma 2 4 2 3 3 3" xfId="13842"/>
    <cellStyle name="Comma 2 4 2 3 3 3 2" xfId="21857"/>
    <cellStyle name="Comma 2 4 2 3 3 3 2 2" xfId="35882"/>
    <cellStyle name="Comma 2 4 2 3 3 3 3" xfId="27871"/>
    <cellStyle name="Comma 2 4 2 3 3 4" xfId="15848"/>
    <cellStyle name="Comma 2 4 2 3 3 4 2" xfId="29873"/>
    <cellStyle name="Comma 2 4 2 3 3 5" xfId="17850"/>
    <cellStyle name="Comma 2 4 2 3 3 5 2" xfId="31875"/>
    <cellStyle name="Comma 2 4 2 3 3 6" xfId="23864"/>
    <cellStyle name="Comma 2 4 2 3 4" xfId="11824"/>
    <cellStyle name="Comma 2 4 2 3 4 2" xfId="19849"/>
    <cellStyle name="Comma 2 4 2 3 4 2 2" xfId="33874"/>
    <cellStyle name="Comma 2 4 2 3 4 3" xfId="25863"/>
    <cellStyle name="Comma 2 4 2 3 5" xfId="13839"/>
    <cellStyle name="Comma 2 4 2 3 5 2" xfId="21854"/>
    <cellStyle name="Comma 2 4 2 3 5 2 2" xfId="35879"/>
    <cellStyle name="Comma 2 4 2 3 5 3" xfId="27868"/>
    <cellStyle name="Comma 2 4 2 3 6" xfId="15845"/>
    <cellStyle name="Comma 2 4 2 3 6 2" xfId="29870"/>
    <cellStyle name="Comma 2 4 2 3 7" xfId="17847"/>
    <cellStyle name="Comma 2 4 2 3 7 2" xfId="31872"/>
    <cellStyle name="Comma 2 4 2 3 8" xfId="23861"/>
    <cellStyle name="Comma 2 4 2 4" xfId="1077"/>
    <cellStyle name="Comma 2 4 2 4 2" xfId="1078"/>
    <cellStyle name="Comma 2 4 2 4 2 2" xfId="11829"/>
    <cellStyle name="Comma 2 4 2 4 2 2 2" xfId="19854"/>
    <cellStyle name="Comma 2 4 2 4 2 2 2 2" xfId="33879"/>
    <cellStyle name="Comma 2 4 2 4 2 2 3" xfId="25868"/>
    <cellStyle name="Comma 2 4 2 4 2 3" xfId="13844"/>
    <cellStyle name="Comma 2 4 2 4 2 3 2" xfId="21859"/>
    <cellStyle name="Comma 2 4 2 4 2 3 2 2" xfId="35884"/>
    <cellStyle name="Comma 2 4 2 4 2 3 3" xfId="27873"/>
    <cellStyle name="Comma 2 4 2 4 2 4" xfId="15850"/>
    <cellStyle name="Comma 2 4 2 4 2 4 2" xfId="29875"/>
    <cellStyle name="Comma 2 4 2 4 2 5" xfId="17852"/>
    <cellStyle name="Comma 2 4 2 4 2 5 2" xfId="31877"/>
    <cellStyle name="Comma 2 4 2 4 2 6" xfId="23866"/>
    <cellStyle name="Comma 2 4 2 4 3" xfId="11828"/>
    <cellStyle name="Comma 2 4 2 4 3 2" xfId="19853"/>
    <cellStyle name="Comma 2 4 2 4 3 2 2" xfId="33878"/>
    <cellStyle name="Comma 2 4 2 4 3 3" xfId="25867"/>
    <cellStyle name="Comma 2 4 2 4 4" xfId="13843"/>
    <cellStyle name="Comma 2 4 2 4 4 2" xfId="21858"/>
    <cellStyle name="Comma 2 4 2 4 4 2 2" xfId="35883"/>
    <cellStyle name="Comma 2 4 2 4 4 3" xfId="27872"/>
    <cellStyle name="Comma 2 4 2 4 5" xfId="15849"/>
    <cellStyle name="Comma 2 4 2 4 5 2" xfId="29874"/>
    <cellStyle name="Comma 2 4 2 4 6" xfId="17851"/>
    <cellStyle name="Comma 2 4 2 4 6 2" xfId="31876"/>
    <cellStyle name="Comma 2 4 2 4 7" xfId="23865"/>
    <cellStyle name="Comma 2 4 2 5" xfId="1079"/>
    <cellStyle name="Comma 2 4 2 5 2" xfId="1080"/>
    <cellStyle name="Comma 2 4 2 5 2 2" xfId="11831"/>
    <cellStyle name="Comma 2 4 2 5 2 2 2" xfId="19856"/>
    <cellStyle name="Comma 2 4 2 5 2 2 2 2" xfId="33881"/>
    <cellStyle name="Comma 2 4 2 5 2 2 3" xfId="25870"/>
    <cellStyle name="Comma 2 4 2 5 2 3" xfId="13846"/>
    <cellStyle name="Comma 2 4 2 5 2 3 2" xfId="21861"/>
    <cellStyle name="Comma 2 4 2 5 2 3 2 2" xfId="35886"/>
    <cellStyle name="Comma 2 4 2 5 2 3 3" xfId="27875"/>
    <cellStyle name="Comma 2 4 2 5 2 4" xfId="15852"/>
    <cellStyle name="Comma 2 4 2 5 2 4 2" xfId="29877"/>
    <cellStyle name="Comma 2 4 2 5 2 5" xfId="17854"/>
    <cellStyle name="Comma 2 4 2 5 2 5 2" xfId="31879"/>
    <cellStyle name="Comma 2 4 2 5 2 6" xfId="23868"/>
    <cellStyle name="Comma 2 4 2 5 3" xfId="11830"/>
    <cellStyle name="Comma 2 4 2 5 3 2" xfId="19855"/>
    <cellStyle name="Comma 2 4 2 5 3 2 2" xfId="33880"/>
    <cellStyle name="Comma 2 4 2 5 3 3" xfId="25869"/>
    <cellStyle name="Comma 2 4 2 5 4" xfId="13845"/>
    <cellStyle name="Comma 2 4 2 5 4 2" xfId="21860"/>
    <cellStyle name="Comma 2 4 2 5 4 2 2" xfId="35885"/>
    <cellStyle name="Comma 2 4 2 5 4 3" xfId="27874"/>
    <cellStyle name="Comma 2 4 2 5 5" xfId="15851"/>
    <cellStyle name="Comma 2 4 2 5 5 2" xfId="29876"/>
    <cellStyle name="Comma 2 4 2 5 6" xfId="17853"/>
    <cellStyle name="Comma 2 4 2 5 6 2" xfId="31878"/>
    <cellStyle name="Comma 2 4 2 5 7" xfId="23867"/>
    <cellStyle name="Comma 2 4 2 6" xfId="1081"/>
    <cellStyle name="Comma 2 4 2 6 2" xfId="11832"/>
    <cellStyle name="Comma 2 4 2 6 2 2" xfId="19857"/>
    <cellStyle name="Comma 2 4 2 6 2 2 2" xfId="33882"/>
    <cellStyle name="Comma 2 4 2 6 2 3" xfId="25871"/>
    <cellStyle name="Comma 2 4 2 6 3" xfId="13847"/>
    <cellStyle name="Comma 2 4 2 6 3 2" xfId="21862"/>
    <cellStyle name="Comma 2 4 2 6 3 2 2" xfId="35887"/>
    <cellStyle name="Comma 2 4 2 6 3 3" xfId="27876"/>
    <cellStyle name="Comma 2 4 2 6 4" xfId="15853"/>
    <cellStyle name="Comma 2 4 2 6 4 2" xfId="29878"/>
    <cellStyle name="Comma 2 4 2 6 5" xfId="17855"/>
    <cellStyle name="Comma 2 4 2 6 5 2" xfId="31880"/>
    <cellStyle name="Comma 2 4 2 6 6" xfId="23869"/>
    <cellStyle name="Comma 2 4 2 7" xfId="11813"/>
    <cellStyle name="Comma 2 4 2 7 2" xfId="19838"/>
    <cellStyle name="Comma 2 4 2 7 2 2" xfId="33863"/>
    <cellStyle name="Comma 2 4 2 7 3" xfId="25852"/>
    <cellStyle name="Comma 2 4 2 8" xfId="13828"/>
    <cellStyle name="Comma 2 4 2 8 2" xfId="21843"/>
    <cellStyle name="Comma 2 4 2 8 2 2" xfId="35868"/>
    <cellStyle name="Comma 2 4 2 8 3" xfId="27857"/>
    <cellStyle name="Comma 2 4 2 9" xfId="15834"/>
    <cellStyle name="Comma 2 4 2 9 2" xfId="29859"/>
    <cellStyle name="Comma 2 4 3" xfId="1082"/>
    <cellStyle name="Comma 2 4 3 10" xfId="23870"/>
    <cellStyle name="Comma 2 4 3 2" xfId="1083"/>
    <cellStyle name="Comma 2 4 3 2 2" xfId="1084"/>
    <cellStyle name="Comma 2 4 3 2 2 2" xfId="1085"/>
    <cellStyle name="Comma 2 4 3 2 2 2 2" xfId="11836"/>
    <cellStyle name="Comma 2 4 3 2 2 2 2 2" xfId="19861"/>
    <cellStyle name="Comma 2 4 3 2 2 2 2 2 2" xfId="33886"/>
    <cellStyle name="Comma 2 4 3 2 2 2 2 3" xfId="25875"/>
    <cellStyle name="Comma 2 4 3 2 2 2 3" xfId="13851"/>
    <cellStyle name="Comma 2 4 3 2 2 2 3 2" xfId="21866"/>
    <cellStyle name="Comma 2 4 3 2 2 2 3 2 2" xfId="35891"/>
    <cellStyle name="Comma 2 4 3 2 2 2 3 3" xfId="27880"/>
    <cellStyle name="Comma 2 4 3 2 2 2 4" xfId="15857"/>
    <cellStyle name="Comma 2 4 3 2 2 2 4 2" xfId="29882"/>
    <cellStyle name="Comma 2 4 3 2 2 2 5" xfId="17859"/>
    <cellStyle name="Comma 2 4 3 2 2 2 5 2" xfId="31884"/>
    <cellStyle name="Comma 2 4 3 2 2 2 6" xfId="23873"/>
    <cellStyle name="Comma 2 4 3 2 2 3" xfId="11835"/>
    <cellStyle name="Comma 2 4 3 2 2 3 2" xfId="19860"/>
    <cellStyle name="Comma 2 4 3 2 2 3 2 2" xfId="33885"/>
    <cellStyle name="Comma 2 4 3 2 2 3 3" xfId="25874"/>
    <cellStyle name="Comma 2 4 3 2 2 4" xfId="13850"/>
    <cellStyle name="Comma 2 4 3 2 2 4 2" xfId="21865"/>
    <cellStyle name="Comma 2 4 3 2 2 4 2 2" xfId="35890"/>
    <cellStyle name="Comma 2 4 3 2 2 4 3" xfId="27879"/>
    <cellStyle name="Comma 2 4 3 2 2 5" xfId="15856"/>
    <cellStyle name="Comma 2 4 3 2 2 5 2" xfId="29881"/>
    <cellStyle name="Comma 2 4 3 2 2 6" xfId="17858"/>
    <cellStyle name="Comma 2 4 3 2 2 6 2" xfId="31883"/>
    <cellStyle name="Comma 2 4 3 2 2 7" xfId="23872"/>
    <cellStyle name="Comma 2 4 3 2 3" xfId="1086"/>
    <cellStyle name="Comma 2 4 3 2 3 2" xfId="11837"/>
    <cellStyle name="Comma 2 4 3 2 3 2 2" xfId="19862"/>
    <cellStyle name="Comma 2 4 3 2 3 2 2 2" xfId="33887"/>
    <cellStyle name="Comma 2 4 3 2 3 2 3" xfId="25876"/>
    <cellStyle name="Comma 2 4 3 2 3 3" xfId="13852"/>
    <cellStyle name="Comma 2 4 3 2 3 3 2" xfId="21867"/>
    <cellStyle name="Comma 2 4 3 2 3 3 2 2" xfId="35892"/>
    <cellStyle name="Comma 2 4 3 2 3 3 3" xfId="27881"/>
    <cellStyle name="Comma 2 4 3 2 3 4" xfId="15858"/>
    <cellStyle name="Comma 2 4 3 2 3 4 2" xfId="29883"/>
    <cellStyle name="Comma 2 4 3 2 3 5" xfId="17860"/>
    <cellStyle name="Comma 2 4 3 2 3 5 2" xfId="31885"/>
    <cellStyle name="Comma 2 4 3 2 3 6" xfId="23874"/>
    <cellStyle name="Comma 2 4 3 2 4" xfId="11834"/>
    <cellStyle name="Comma 2 4 3 2 4 2" xfId="19859"/>
    <cellStyle name="Comma 2 4 3 2 4 2 2" xfId="33884"/>
    <cellStyle name="Comma 2 4 3 2 4 3" xfId="25873"/>
    <cellStyle name="Comma 2 4 3 2 5" xfId="13849"/>
    <cellStyle name="Comma 2 4 3 2 5 2" xfId="21864"/>
    <cellStyle name="Comma 2 4 3 2 5 2 2" xfId="35889"/>
    <cellStyle name="Comma 2 4 3 2 5 3" xfId="27878"/>
    <cellStyle name="Comma 2 4 3 2 6" xfId="15855"/>
    <cellStyle name="Comma 2 4 3 2 6 2" xfId="29880"/>
    <cellStyle name="Comma 2 4 3 2 7" xfId="17857"/>
    <cellStyle name="Comma 2 4 3 2 7 2" xfId="31882"/>
    <cellStyle name="Comma 2 4 3 2 8" xfId="23871"/>
    <cellStyle name="Comma 2 4 3 3" xfId="1087"/>
    <cellStyle name="Comma 2 4 3 3 2" xfId="1088"/>
    <cellStyle name="Comma 2 4 3 3 2 2" xfId="11839"/>
    <cellStyle name="Comma 2 4 3 3 2 2 2" xfId="19864"/>
    <cellStyle name="Comma 2 4 3 3 2 2 2 2" xfId="33889"/>
    <cellStyle name="Comma 2 4 3 3 2 2 3" xfId="25878"/>
    <cellStyle name="Comma 2 4 3 3 2 3" xfId="13854"/>
    <cellStyle name="Comma 2 4 3 3 2 3 2" xfId="21869"/>
    <cellStyle name="Comma 2 4 3 3 2 3 2 2" xfId="35894"/>
    <cellStyle name="Comma 2 4 3 3 2 3 3" xfId="27883"/>
    <cellStyle name="Comma 2 4 3 3 2 4" xfId="15860"/>
    <cellStyle name="Comma 2 4 3 3 2 4 2" xfId="29885"/>
    <cellStyle name="Comma 2 4 3 3 2 5" xfId="17862"/>
    <cellStyle name="Comma 2 4 3 3 2 5 2" xfId="31887"/>
    <cellStyle name="Comma 2 4 3 3 2 6" xfId="23876"/>
    <cellStyle name="Comma 2 4 3 3 3" xfId="11838"/>
    <cellStyle name="Comma 2 4 3 3 3 2" xfId="19863"/>
    <cellStyle name="Comma 2 4 3 3 3 2 2" xfId="33888"/>
    <cellStyle name="Comma 2 4 3 3 3 3" xfId="25877"/>
    <cellStyle name="Comma 2 4 3 3 4" xfId="13853"/>
    <cellStyle name="Comma 2 4 3 3 4 2" xfId="21868"/>
    <cellStyle name="Comma 2 4 3 3 4 2 2" xfId="35893"/>
    <cellStyle name="Comma 2 4 3 3 4 3" xfId="27882"/>
    <cellStyle name="Comma 2 4 3 3 5" xfId="15859"/>
    <cellStyle name="Comma 2 4 3 3 5 2" xfId="29884"/>
    <cellStyle name="Comma 2 4 3 3 6" xfId="17861"/>
    <cellStyle name="Comma 2 4 3 3 6 2" xfId="31886"/>
    <cellStyle name="Comma 2 4 3 3 7" xfId="23875"/>
    <cellStyle name="Comma 2 4 3 4" xfId="1089"/>
    <cellStyle name="Comma 2 4 3 4 2" xfId="1090"/>
    <cellStyle name="Comma 2 4 3 4 2 2" xfId="11841"/>
    <cellStyle name="Comma 2 4 3 4 2 2 2" xfId="19866"/>
    <cellStyle name="Comma 2 4 3 4 2 2 2 2" xfId="33891"/>
    <cellStyle name="Comma 2 4 3 4 2 2 3" xfId="25880"/>
    <cellStyle name="Comma 2 4 3 4 2 3" xfId="13856"/>
    <cellStyle name="Comma 2 4 3 4 2 3 2" xfId="21871"/>
    <cellStyle name="Comma 2 4 3 4 2 3 2 2" xfId="35896"/>
    <cellStyle name="Comma 2 4 3 4 2 3 3" xfId="27885"/>
    <cellStyle name="Comma 2 4 3 4 2 4" xfId="15862"/>
    <cellStyle name="Comma 2 4 3 4 2 4 2" xfId="29887"/>
    <cellStyle name="Comma 2 4 3 4 2 5" xfId="17864"/>
    <cellStyle name="Comma 2 4 3 4 2 5 2" xfId="31889"/>
    <cellStyle name="Comma 2 4 3 4 2 6" xfId="23878"/>
    <cellStyle name="Comma 2 4 3 4 3" xfId="11840"/>
    <cellStyle name="Comma 2 4 3 4 3 2" xfId="19865"/>
    <cellStyle name="Comma 2 4 3 4 3 2 2" xfId="33890"/>
    <cellStyle name="Comma 2 4 3 4 3 3" xfId="25879"/>
    <cellStyle name="Comma 2 4 3 4 4" xfId="13855"/>
    <cellStyle name="Comma 2 4 3 4 4 2" xfId="21870"/>
    <cellStyle name="Comma 2 4 3 4 4 2 2" xfId="35895"/>
    <cellStyle name="Comma 2 4 3 4 4 3" xfId="27884"/>
    <cellStyle name="Comma 2 4 3 4 5" xfId="15861"/>
    <cellStyle name="Comma 2 4 3 4 5 2" xfId="29886"/>
    <cellStyle name="Comma 2 4 3 4 6" xfId="17863"/>
    <cellStyle name="Comma 2 4 3 4 6 2" xfId="31888"/>
    <cellStyle name="Comma 2 4 3 4 7" xfId="23877"/>
    <cellStyle name="Comma 2 4 3 5" xfId="1091"/>
    <cellStyle name="Comma 2 4 3 5 2" xfId="11842"/>
    <cellStyle name="Comma 2 4 3 5 2 2" xfId="19867"/>
    <cellStyle name="Comma 2 4 3 5 2 2 2" xfId="33892"/>
    <cellStyle name="Comma 2 4 3 5 2 3" xfId="25881"/>
    <cellStyle name="Comma 2 4 3 5 3" xfId="13857"/>
    <cellStyle name="Comma 2 4 3 5 3 2" xfId="21872"/>
    <cellStyle name="Comma 2 4 3 5 3 2 2" xfId="35897"/>
    <cellStyle name="Comma 2 4 3 5 3 3" xfId="27886"/>
    <cellStyle name="Comma 2 4 3 5 4" xfId="15863"/>
    <cellStyle name="Comma 2 4 3 5 4 2" xfId="29888"/>
    <cellStyle name="Comma 2 4 3 5 5" xfId="17865"/>
    <cellStyle name="Comma 2 4 3 5 5 2" xfId="31890"/>
    <cellStyle name="Comma 2 4 3 5 6" xfId="23879"/>
    <cellStyle name="Comma 2 4 3 6" xfId="11833"/>
    <cellStyle name="Comma 2 4 3 6 2" xfId="19858"/>
    <cellStyle name="Comma 2 4 3 6 2 2" xfId="33883"/>
    <cellStyle name="Comma 2 4 3 6 3" xfId="25872"/>
    <cellStyle name="Comma 2 4 3 7" xfId="13848"/>
    <cellStyle name="Comma 2 4 3 7 2" xfId="21863"/>
    <cellStyle name="Comma 2 4 3 7 2 2" xfId="35888"/>
    <cellStyle name="Comma 2 4 3 7 3" xfId="27877"/>
    <cellStyle name="Comma 2 4 3 8" xfId="15854"/>
    <cellStyle name="Comma 2 4 3 8 2" xfId="29879"/>
    <cellStyle name="Comma 2 4 3 9" xfId="17856"/>
    <cellStyle name="Comma 2 4 3 9 2" xfId="31881"/>
    <cellStyle name="Comma 2 4 4" xfId="1092"/>
    <cellStyle name="Comma 2 4 4 2" xfId="1093"/>
    <cellStyle name="Comma 2 4 4 2 2" xfId="1094"/>
    <cellStyle name="Comma 2 4 4 2 2 2" xfId="11845"/>
    <cellStyle name="Comma 2 4 4 2 2 2 2" xfId="19870"/>
    <cellStyle name="Comma 2 4 4 2 2 2 2 2" xfId="33895"/>
    <cellStyle name="Comma 2 4 4 2 2 2 3" xfId="25884"/>
    <cellStyle name="Comma 2 4 4 2 2 3" xfId="13860"/>
    <cellStyle name="Comma 2 4 4 2 2 3 2" xfId="21875"/>
    <cellStyle name="Comma 2 4 4 2 2 3 2 2" xfId="35900"/>
    <cellStyle name="Comma 2 4 4 2 2 3 3" xfId="27889"/>
    <cellStyle name="Comma 2 4 4 2 2 4" xfId="15866"/>
    <cellStyle name="Comma 2 4 4 2 2 4 2" xfId="29891"/>
    <cellStyle name="Comma 2 4 4 2 2 5" xfId="17868"/>
    <cellStyle name="Comma 2 4 4 2 2 5 2" xfId="31893"/>
    <cellStyle name="Comma 2 4 4 2 2 6" xfId="23882"/>
    <cellStyle name="Comma 2 4 4 2 3" xfId="11844"/>
    <cellStyle name="Comma 2 4 4 2 3 2" xfId="19869"/>
    <cellStyle name="Comma 2 4 4 2 3 2 2" xfId="33894"/>
    <cellStyle name="Comma 2 4 4 2 3 3" xfId="25883"/>
    <cellStyle name="Comma 2 4 4 2 4" xfId="13859"/>
    <cellStyle name="Comma 2 4 4 2 4 2" xfId="21874"/>
    <cellStyle name="Comma 2 4 4 2 4 2 2" xfId="35899"/>
    <cellStyle name="Comma 2 4 4 2 4 3" xfId="27888"/>
    <cellStyle name="Comma 2 4 4 2 5" xfId="15865"/>
    <cellStyle name="Comma 2 4 4 2 5 2" xfId="29890"/>
    <cellStyle name="Comma 2 4 4 2 6" xfId="17867"/>
    <cellStyle name="Comma 2 4 4 2 6 2" xfId="31892"/>
    <cellStyle name="Comma 2 4 4 2 7" xfId="23881"/>
    <cellStyle name="Comma 2 4 4 3" xfId="1095"/>
    <cellStyle name="Comma 2 4 4 3 2" xfId="11846"/>
    <cellStyle name="Comma 2 4 4 3 2 2" xfId="19871"/>
    <cellStyle name="Comma 2 4 4 3 2 2 2" xfId="33896"/>
    <cellStyle name="Comma 2 4 4 3 2 3" xfId="25885"/>
    <cellStyle name="Comma 2 4 4 3 3" xfId="13861"/>
    <cellStyle name="Comma 2 4 4 3 3 2" xfId="21876"/>
    <cellStyle name="Comma 2 4 4 3 3 2 2" xfId="35901"/>
    <cellStyle name="Comma 2 4 4 3 3 3" xfId="27890"/>
    <cellStyle name="Comma 2 4 4 3 4" xfId="15867"/>
    <cellStyle name="Comma 2 4 4 3 4 2" xfId="29892"/>
    <cellStyle name="Comma 2 4 4 3 5" xfId="17869"/>
    <cellStyle name="Comma 2 4 4 3 5 2" xfId="31894"/>
    <cellStyle name="Comma 2 4 4 3 6" xfId="23883"/>
    <cellStyle name="Comma 2 4 4 4" xfId="11843"/>
    <cellStyle name="Comma 2 4 4 4 2" xfId="19868"/>
    <cellStyle name="Comma 2 4 4 4 2 2" xfId="33893"/>
    <cellStyle name="Comma 2 4 4 4 3" xfId="25882"/>
    <cellStyle name="Comma 2 4 4 5" xfId="13858"/>
    <cellStyle name="Comma 2 4 4 5 2" xfId="21873"/>
    <cellStyle name="Comma 2 4 4 5 2 2" xfId="35898"/>
    <cellStyle name="Comma 2 4 4 5 3" xfId="27887"/>
    <cellStyle name="Comma 2 4 4 6" xfId="15864"/>
    <cellStyle name="Comma 2 4 4 6 2" xfId="29889"/>
    <cellStyle name="Comma 2 4 4 7" xfId="17866"/>
    <cellStyle name="Comma 2 4 4 7 2" xfId="31891"/>
    <cellStyle name="Comma 2 4 4 8" xfId="23880"/>
    <cellStyle name="Comma 2 4 5" xfId="1096"/>
    <cellStyle name="Comma 2 4 5 2" xfId="1097"/>
    <cellStyle name="Comma 2 4 5 2 2" xfId="11848"/>
    <cellStyle name="Comma 2 4 5 2 2 2" xfId="19873"/>
    <cellStyle name="Comma 2 4 5 2 2 2 2" xfId="33898"/>
    <cellStyle name="Comma 2 4 5 2 2 3" xfId="25887"/>
    <cellStyle name="Comma 2 4 5 2 3" xfId="13863"/>
    <cellStyle name="Comma 2 4 5 2 3 2" xfId="21878"/>
    <cellStyle name="Comma 2 4 5 2 3 2 2" xfId="35903"/>
    <cellStyle name="Comma 2 4 5 2 3 3" xfId="27892"/>
    <cellStyle name="Comma 2 4 5 2 4" xfId="15869"/>
    <cellStyle name="Comma 2 4 5 2 4 2" xfId="29894"/>
    <cellStyle name="Comma 2 4 5 2 5" xfId="17871"/>
    <cellStyle name="Comma 2 4 5 2 5 2" xfId="31896"/>
    <cellStyle name="Comma 2 4 5 2 6" xfId="23885"/>
    <cellStyle name="Comma 2 4 5 3" xfId="11847"/>
    <cellStyle name="Comma 2 4 5 3 2" xfId="19872"/>
    <cellStyle name="Comma 2 4 5 3 2 2" xfId="33897"/>
    <cellStyle name="Comma 2 4 5 3 3" xfId="25886"/>
    <cellStyle name="Comma 2 4 5 4" xfId="13862"/>
    <cellStyle name="Comma 2 4 5 4 2" xfId="21877"/>
    <cellStyle name="Comma 2 4 5 4 2 2" xfId="35902"/>
    <cellStyle name="Comma 2 4 5 4 3" xfId="27891"/>
    <cellStyle name="Comma 2 4 5 5" xfId="15868"/>
    <cellStyle name="Comma 2 4 5 5 2" xfId="29893"/>
    <cellStyle name="Comma 2 4 5 6" xfId="17870"/>
    <cellStyle name="Comma 2 4 5 6 2" xfId="31895"/>
    <cellStyle name="Comma 2 4 5 7" xfId="23884"/>
    <cellStyle name="Comma 2 4 6" xfId="1098"/>
    <cellStyle name="Comma 2 4 6 2" xfId="1099"/>
    <cellStyle name="Comma 2 4 6 2 2" xfId="11850"/>
    <cellStyle name="Comma 2 4 6 2 2 2" xfId="19875"/>
    <cellStyle name="Comma 2 4 6 2 2 2 2" xfId="33900"/>
    <cellStyle name="Comma 2 4 6 2 2 3" xfId="25889"/>
    <cellStyle name="Comma 2 4 6 2 3" xfId="13865"/>
    <cellStyle name="Comma 2 4 6 2 3 2" xfId="21880"/>
    <cellStyle name="Comma 2 4 6 2 3 2 2" xfId="35905"/>
    <cellStyle name="Comma 2 4 6 2 3 3" xfId="27894"/>
    <cellStyle name="Comma 2 4 6 2 4" xfId="15871"/>
    <cellStyle name="Comma 2 4 6 2 4 2" xfId="29896"/>
    <cellStyle name="Comma 2 4 6 2 5" xfId="17873"/>
    <cellStyle name="Comma 2 4 6 2 5 2" xfId="31898"/>
    <cellStyle name="Comma 2 4 6 2 6" xfId="23887"/>
    <cellStyle name="Comma 2 4 6 3" xfId="11849"/>
    <cellStyle name="Comma 2 4 6 3 2" xfId="19874"/>
    <cellStyle name="Comma 2 4 6 3 2 2" xfId="33899"/>
    <cellStyle name="Comma 2 4 6 3 3" xfId="25888"/>
    <cellStyle name="Comma 2 4 6 4" xfId="13864"/>
    <cellStyle name="Comma 2 4 6 4 2" xfId="21879"/>
    <cellStyle name="Comma 2 4 6 4 2 2" xfId="35904"/>
    <cellStyle name="Comma 2 4 6 4 3" xfId="27893"/>
    <cellStyle name="Comma 2 4 6 5" xfId="15870"/>
    <cellStyle name="Comma 2 4 6 5 2" xfId="29895"/>
    <cellStyle name="Comma 2 4 6 6" xfId="17872"/>
    <cellStyle name="Comma 2 4 6 6 2" xfId="31897"/>
    <cellStyle name="Comma 2 4 6 7" xfId="23886"/>
    <cellStyle name="Comma 2 4 7" xfId="1100"/>
    <cellStyle name="Comma 2 4 7 2" xfId="11851"/>
    <cellStyle name="Comma 2 4 7 2 2" xfId="19876"/>
    <cellStyle name="Comma 2 4 7 2 2 2" xfId="33901"/>
    <cellStyle name="Comma 2 4 7 2 3" xfId="25890"/>
    <cellStyle name="Comma 2 4 7 3" xfId="13866"/>
    <cellStyle name="Comma 2 4 7 3 2" xfId="21881"/>
    <cellStyle name="Comma 2 4 7 3 2 2" xfId="35906"/>
    <cellStyle name="Comma 2 4 7 3 3" xfId="27895"/>
    <cellStyle name="Comma 2 4 7 4" xfId="15872"/>
    <cellStyle name="Comma 2 4 7 4 2" xfId="29897"/>
    <cellStyle name="Comma 2 4 7 5" xfId="17874"/>
    <cellStyle name="Comma 2 4 7 5 2" xfId="31899"/>
    <cellStyle name="Comma 2 4 7 6" xfId="23888"/>
    <cellStyle name="Comma 2 4 8" xfId="1101"/>
    <cellStyle name="Comma 2 5" xfId="1102"/>
    <cellStyle name="Comma 2 5 10" xfId="15873"/>
    <cellStyle name="Comma 2 5 10 2" xfId="29898"/>
    <cellStyle name="Comma 2 5 11" xfId="17875"/>
    <cellStyle name="Comma 2 5 11 2" xfId="31900"/>
    <cellStyle name="Comma 2 5 12" xfId="23889"/>
    <cellStyle name="Comma 2 5 2" xfId="1103"/>
    <cellStyle name="Comma 2 5 2 10" xfId="17876"/>
    <cellStyle name="Comma 2 5 2 10 2" xfId="31901"/>
    <cellStyle name="Comma 2 5 2 11" xfId="23890"/>
    <cellStyle name="Comma 2 5 2 2" xfId="1104"/>
    <cellStyle name="Comma 2 5 2 2 10" xfId="23891"/>
    <cellStyle name="Comma 2 5 2 2 2" xfId="1105"/>
    <cellStyle name="Comma 2 5 2 2 2 2" xfId="1106"/>
    <cellStyle name="Comma 2 5 2 2 2 2 2" xfId="1107"/>
    <cellStyle name="Comma 2 5 2 2 2 2 2 2" xfId="11857"/>
    <cellStyle name="Comma 2 5 2 2 2 2 2 2 2" xfId="19882"/>
    <cellStyle name="Comma 2 5 2 2 2 2 2 2 2 2" xfId="33907"/>
    <cellStyle name="Comma 2 5 2 2 2 2 2 2 3" xfId="25896"/>
    <cellStyle name="Comma 2 5 2 2 2 2 2 3" xfId="13872"/>
    <cellStyle name="Comma 2 5 2 2 2 2 2 3 2" xfId="21887"/>
    <cellStyle name="Comma 2 5 2 2 2 2 2 3 2 2" xfId="35912"/>
    <cellStyle name="Comma 2 5 2 2 2 2 2 3 3" xfId="27901"/>
    <cellStyle name="Comma 2 5 2 2 2 2 2 4" xfId="15878"/>
    <cellStyle name="Comma 2 5 2 2 2 2 2 4 2" xfId="29903"/>
    <cellStyle name="Comma 2 5 2 2 2 2 2 5" xfId="17880"/>
    <cellStyle name="Comma 2 5 2 2 2 2 2 5 2" xfId="31905"/>
    <cellStyle name="Comma 2 5 2 2 2 2 2 6" xfId="23894"/>
    <cellStyle name="Comma 2 5 2 2 2 2 3" xfId="11856"/>
    <cellStyle name="Comma 2 5 2 2 2 2 3 2" xfId="19881"/>
    <cellStyle name="Comma 2 5 2 2 2 2 3 2 2" xfId="33906"/>
    <cellStyle name="Comma 2 5 2 2 2 2 3 3" xfId="25895"/>
    <cellStyle name="Comma 2 5 2 2 2 2 4" xfId="13871"/>
    <cellStyle name="Comma 2 5 2 2 2 2 4 2" xfId="21886"/>
    <cellStyle name="Comma 2 5 2 2 2 2 4 2 2" xfId="35911"/>
    <cellStyle name="Comma 2 5 2 2 2 2 4 3" xfId="27900"/>
    <cellStyle name="Comma 2 5 2 2 2 2 5" xfId="15877"/>
    <cellStyle name="Comma 2 5 2 2 2 2 5 2" xfId="29902"/>
    <cellStyle name="Comma 2 5 2 2 2 2 6" xfId="17879"/>
    <cellStyle name="Comma 2 5 2 2 2 2 6 2" xfId="31904"/>
    <cellStyle name="Comma 2 5 2 2 2 2 7" xfId="23893"/>
    <cellStyle name="Comma 2 5 2 2 2 3" xfId="1108"/>
    <cellStyle name="Comma 2 5 2 2 2 3 2" xfId="11858"/>
    <cellStyle name="Comma 2 5 2 2 2 3 2 2" xfId="19883"/>
    <cellStyle name="Comma 2 5 2 2 2 3 2 2 2" xfId="33908"/>
    <cellStyle name="Comma 2 5 2 2 2 3 2 3" xfId="25897"/>
    <cellStyle name="Comma 2 5 2 2 2 3 3" xfId="13873"/>
    <cellStyle name="Comma 2 5 2 2 2 3 3 2" xfId="21888"/>
    <cellStyle name="Comma 2 5 2 2 2 3 3 2 2" xfId="35913"/>
    <cellStyle name="Comma 2 5 2 2 2 3 3 3" xfId="27902"/>
    <cellStyle name="Comma 2 5 2 2 2 3 4" xfId="15879"/>
    <cellStyle name="Comma 2 5 2 2 2 3 4 2" xfId="29904"/>
    <cellStyle name="Comma 2 5 2 2 2 3 5" xfId="17881"/>
    <cellStyle name="Comma 2 5 2 2 2 3 5 2" xfId="31906"/>
    <cellStyle name="Comma 2 5 2 2 2 3 6" xfId="23895"/>
    <cellStyle name="Comma 2 5 2 2 2 4" xfId="11855"/>
    <cellStyle name="Comma 2 5 2 2 2 4 2" xfId="19880"/>
    <cellStyle name="Comma 2 5 2 2 2 4 2 2" xfId="33905"/>
    <cellStyle name="Comma 2 5 2 2 2 4 3" xfId="25894"/>
    <cellStyle name="Comma 2 5 2 2 2 5" xfId="13870"/>
    <cellStyle name="Comma 2 5 2 2 2 5 2" xfId="21885"/>
    <cellStyle name="Comma 2 5 2 2 2 5 2 2" xfId="35910"/>
    <cellStyle name="Comma 2 5 2 2 2 5 3" xfId="27899"/>
    <cellStyle name="Comma 2 5 2 2 2 6" xfId="15876"/>
    <cellStyle name="Comma 2 5 2 2 2 6 2" xfId="29901"/>
    <cellStyle name="Comma 2 5 2 2 2 7" xfId="17878"/>
    <cellStyle name="Comma 2 5 2 2 2 7 2" xfId="31903"/>
    <cellStyle name="Comma 2 5 2 2 2 8" xfId="23892"/>
    <cellStyle name="Comma 2 5 2 2 3" xfId="1109"/>
    <cellStyle name="Comma 2 5 2 2 3 2" xfId="1110"/>
    <cellStyle name="Comma 2 5 2 2 3 2 2" xfId="11860"/>
    <cellStyle name="Comma 2 5 2 2 3 2 2 2" xfId="19885"/>
    <cellStyle name="Comma 2 5 2 2 3 2 2 2 2" xfId="33910"/>
    <cellStyle name="Comma 2 5 2 2 3 2 2 3" xfId="25899"/>
    <cellStyle name="Comma 2 5 2 2 3 2 3" xfId="13875"/>
    <cellStyle name="Comma 2 5 2 2 3 2 3 2" xfId="21890"/>
    <cellStyle name="Comma 2 5 2 2 3 2 3 2 2" xfId="35915"/>
    <cellStyle name="Comma 2 5 2 2 3 2 3 3" xfId="27904"/>
    <cellStyle name="Comma 2 5 2 2 3 2 4" xfId="15881"/>
    <cellStyle name="Comma 2 5 2 2 3 2 4 2" xfId="29906"/>
    <cellStyle name="Comma 2 5 2 2 3 2 5" xfId="17883"/>
    <cellStyle name="Comma 2 5 2 2 3 2 5 2" xfId="31908"/>
    <cellStyle name="Comma 2 5 2 2 3 2 6" xfId="23897"/>
    <cellStyle name="Comma 2 5 2 2 3 3" xfId="11859"/>
    <cellStyle name="Comma 2 5 2 2 3 3 2" xfId="19884"/>
    <cellStyle name="Comma 2 5 2 2 3 3 2 2" xfId="33909"/>
    <cellStyle name="Comma 2 5 2 2 3 3 3" xfId="25898"/>
    <cellStyle name="Comma 2 5 2 2 3 4" xfId="13874"/>
    <cellStyle name="Comma 2 5 2 2 3 4 2" xfId="21889"/>
    <cellStyle name="Comma 2 5 2 2 3 4 2 2" xfId="35914"/>
    <cellStyle name="Comma 2 5 2 2 3 4 3" xfId="27903"/>
    <cellStyle name="Comma 2 5 2 2 3 5" xfId="15880"/>
    <cellStyle name="Comma 2 5 2 2 3 5 2" xfId="29905"/>
    <cellStyle name="Comma 2 5 2 2 3 6" xfId="17882"/>
    <cellStyle name="Comma 2 5 2 2 3 6 2" xfId="31907"/>
    <cellStyle name="Comma 2 5 2 2 3 7" xfId="23896"/>
    <cellStyle name="Comma 2 5 2 2 4" xfId="1111"/>
    <cellStyle name="Comma 2 5 2 2 4 2" xfId="1112"/>
    <cellStyle name="Comma 2 5 2 2 4 2 2" xfId="11862"/>
    <cellStyle name="Comma 2 5 2 2 4 2 2 2" xfId="19887"/>
    <cellStyle name="Comma 2 5 2 2 4 2 2 2 2" xfId="33912"/>
    <cellStyle name="Comma 2 5 2 2 4 2 2 3" xfId="25901"/>
    <cellStyle name="Comma 2 5 2 2 4 2 3" xfId="13877"/>
    <cellStyle name="Comma 2 5 2 2 4 2 3 2" xfId="21892"/>
    <cellStyle name="Comma 2 5 2 2 4 2 3 2 2" xfId="35917"/>
    <cellStyle name="Comma 2 5 2 2 4 2 3 3" xfId="27906"/>
    <cellStyle name="Comma 2 5 2 2 4 2 4" xfId="15883"/>
    <cellStyle name="Comma 2 5 2 2 4 2 4 2" xfId="29908"/>
    <cellStyle name="Comma 2 5 2 2 4 2 5" xfId="17885"/>
    <cellStyle name="Comma 2 5 2 2 4 2 5 2" xfId="31910"/>
    <cellStyle name="Comma 2 5 2 2 4 2 6" xfId="23899"/>
    <cellStyle name="Comma 2 5 2 2 4 3" xfId="11861"/>
    <cellStyle name="Comma 2 5 2 2 4 3 2" xfId="19886"/>
    <cellStyle name="Comma 2 5 2 2 4 3 2 2" xfId="33911"/>
    <cellStyle name="Comma 2 5 2 2 4 3 3" xfId="25900"/>
    <cellStyle name="Comma 2 5 2 2 4 4" xfId="13876"/>
    <cellStyle name="Comma 2 5 2 2 4 4 2" xfId="21891"/>
    <cellStyle name="Comma 2 5 2 2 4 4 2 2" xfId="35916"/>
    <cellStyle name="Comma 2 5 2 2 4 4 3" xfId="27905"/>
    <cellStyle name="Comma 2 5 2 2 4 5" xfId="15882"/>
    <cellStyle name="Comma 2 5 2 2 4 5 2" xfId="29907"/>
    <cellStyle name="Comma 2 5 2 2 4 6" xfId="17884"/>
    <cellStyle name="Comma 2 5 2 2 4 6 2" xfId="31909"/>
    <cellStyle name="Comma 2 5 2 2 4 7" xfId="23898"/>
    <cellStyle name="Comma 2 5 2 2 5" xfId="1113"/>
    <cellStyle name="Comma 2 5 2 2 5 2" xfId="11863"/>
    <cellStyle name="Comma 2 5 2 2 5 2 2" xfId="19888"/>
    <cellStyle name="Comma 2 5 2 2 5 2 2 2" xfId="33913"/>
    <cellStyle name="Comma 2 5 2 2 5 2 3" xfId="25902"/>
    <cellStyle name="Comma 2 5 2 2 5 3" xfId="13878"/>
    <cellStyle name="Comma 2 5 2 2 5 3 2" xfId="21893"/>
    <cellStyle name="Comma 2 5 2 2 5 3 2 2" xfId="35918"/>
    <cellStyle name="Comma 2 5 2 2 5 3 3" xfId="27907"/>
    <cellStyle name="Comma 2 5 2 2 5 4" xfId="15884"/>
    <cellStyle name="Comma 2 5 2 2 5 4 2" xfId="29909"/>
    <cellStyle name="Comma 2 5 2 2 5 5" xfId="17886"/>
    <cellStyle name="Comma 2 5 2 2 5 5 2" xfId="31911"/>
    <cellStyle name="Comma 2 5 2 2 5 6" xfId="23900"/>
    <cellStyle name="Comma 2 5 2 2 6" xfId="11854"/>
    <cellStyle name="Comma 2 5 2 2 6 2" xfId="19879"/>
    <cellStyle name="Comma 2 5 2 2 6 2 2" xfId="33904"/>
    <cellStyle name="Comma 2 5 2 2 6 3" xfId="25893"/>
    <cellStyle name="Comma 2 5 2 2 7" xfId="13869"/>
    <cellStyle name="Comma 2 5 2 2 7 2" xfId="21884"/>
    <cellStyle name="Comma 2 5 2 2 7 2 2" xfId="35909"/>
    <cellStyle name="Comma 2 5 2 2 7 3" xfId="27898"/>
    <cellStyle name="Comma 2 5 2 2 8" xfId="15875"/>
    <cellStyle name="Comma 2 5 2 2 8 2" xfId="29900"/>
    <cellStyle name="Comma 2 5 2 2 9" xfId="17877"/>
    <cellStyle name="Comma 2 5 2 2 9 2" xfId="31902"/>
    <cellStyle name="Comma 2 5 2 3" xfId="1114"/>
    <cellStyle name="Comma 2 5 2 3 2" xfId="1115"/>
    <cellStyle name="Comma 2 5 2 3 2 2" xfId="1116"/>
    <cellStyle name="Comma 2 5 2 3 2 2 2" xfId="11866"/>
    <cellStyle name="Comma 2 5 2 3 2 2 2 2" xfId="19891"/>
    <cellStyle name="Comma 2 5 2 3 2 2 2 2 2" xfId="33916"/>
    <cellStyle name="Comma 2 5 2 3 2 2 2 3" xfId="25905"/>
    <cellStyle name="Comma 2 5 2 3 2 2 3" xfId="13881"/>
    <cellStyle name="Comma 2 5 2 3 2 2 3 2" xfId="21896"/>
    <cellStyle name="Comma 2 5 2 3 2 2 3 2 2" xfId="35921"/>
    <cellStyle name="Comma 2 5 2 3 2 2 3 3" xfId="27910"/>
    <cellStyle name="Comma 2 5 2 3 2 2 4" xfId="15887"/>
    <cellStyle name="Comma 2 5 2 3 2 2 4 2" xfId="29912"/>
    <cellStyle name="Comma 2 5 2 3 2 2 5" xfId="17889"/>
    <cellStyle name="Comma 2 5 2 3 2 2 5 2" xfId="31914"/>
    <cellStyle name="Comma 2 5 2 3 2 2 6" xfId="23903"/>
    <cellStyle name="Comma 2 5 2 3 2 3" xfId="11865"/>
    <cellStyle name="Comma 2 5 2 3 2 3 2" xfId="19890"/>
    <cellStyle name="Comma 2 5 2 3 2 3 2 2" xfId="33915"/>
    <cellStyle name="Comma 2 5 2 3 2 3 3" xfId="25904"/>
    <cellStyle name="Comma 2 5 2 3 2 4" xfId="13880"/>
    <cellStyle name="Comma 2 5 2 3 2 4 2" xfId="21895"/>
    <cellStyle name="Comma 2 5 2 3 2 4 2 2" xfId="35920"/>
    <cellStyle name="Comma 2 5 2 3 2 4 3" xfId="27909"/>
    <cellStyle name="Comma 2 5 2 3 2 5" xfId="15886"/>
    <cellStyle name="Comma 2 5 2 3 2 5 2" xfId="29911"/>
    <cellStyle name="Comma 2 5 2 3 2 6" xfId="17888"/>
    <cellStyle name="Comma 2 5 2 3 2 6 2" xfId="31913"/>
    <cellStyle name="Comma 2 5 2 3 2 7" xfId="23902"/>
    <cellStyle name="Comma 2 5 2 3 3" xfId="1117"/>
    <cellStyle name="Comma 2 5 2 3 3 2" xfId="11867"/>
    <cellStyle name="Comma 2 5 2 3 3 2 2" xfId="19892"/>
    <cellStyle name="Comma 2 5 2 3 3 2 2 2" xfId="33917"/>
    <cellStyle name="Comma 2 5 2 3 3 2 3" xfId="25906"/>
    <cellStyle name="Comma 2 5 2 3 3 3" xfId="13882"/>
    <cellStyle name="Comma 2 5 2 3 3 3 2" xfId="21897"/>
    <cellStyle name="Comma 2 5 2 3 3 3 2 2" xfId="35922"/>
    <cellStyle name="Comma 2 5 2 3 3 3 3" xfId="27911"/>
    <cellStyle name="Comma 2 5 2 3 3 4" xfId="15888"/>
    <cellStyle name="Comma 2 5 2 3 3 4 2" xfId="29913"/>
    <cellStyle name="Comma 2 5 2 3 3 5" xfId="17890"/>
    <cellStyle name="Comma 2 5 2 3 3 5 2" xfId="31915"/>
    <cellStyle name="Comma 2 5 2 3 3 6" xfId="23904"/>
    <cellStyle name="Comma 2 5 2 3 4" xfId="11864"/>
    <cellStyle name="Comma 2 5 2 3 4 2" xfId="19889"/>
    <cellStyle name="Comma 2 5 2 3 4 2 2" xfId="33914"/>
    <cellStyle name="Comma 2 5 2 3 4 3" xfId="25903"/>
    <cellStyle name="Comma 2 5 2 3 5" xfId="13879"/>
    <cellStyle name="Comma 2 5 2 3 5 2" xfId="21894"/>
    <cellStyle name="Comma 2 5 2 3 5 2 2" xfId="35919"/>
    <cellStyle name="Comma 2 5 2 3 5 3" xfId="27908"/>
    <cellStyle name="Comma 2 5 2 3 6" xfId="15885"/>
    <cellStyle name="Comma 2 5 2 3 6 2" xfId="29910"/>
    <cellStyle name="Comma 2 5 2 3 7" xfId="17887"/>
    <cellStyle name="Comma 2 5 2 3 7 2" xfId="31912"/>
    <cellStyle name="Comma 2 5 2 3 8" xfId="23901"/>
    <cellStyle name="Comma 2 5 2 4" xfId="1118"/>
    <cellStyle name="Comma 2 5 2 4 2" xfId="1119"/>
    <cellStyle name="Comma 2 5 2 4 2 2" xfId="11869"/>
    <cellStyle name="Comma 2 5 2 4 2 2 2" xfId="19894"/>
    <cellStyle name="Comma 2 5 2 4 2 2 2 2" xfId="33919"/>
    <cellStyle name="Comma 2 5 2 4 2 2 3" xfId="25908"/>
    <cellStyle name="Comma 2 5 2 4 2 3" xfId="13884"/>
    <cellStyle name="Comma 2 5 2 4 2 3 2" xfId="21899"/>
    <cellStyle name="Comma 2 5 2 4 2 3 2 2" xfId="35924"/>
    <cellStyle name="Comma 2 5 2 4 2 3 3" xfId="27913"/>
    <cellStyle name="Comma 2 5 2 4 2 4" xfId="15890"/>
    <cellStyle name="Comma 2 5 2 4 2 4 2" xfId="29915"/>
    <cellStyle name="Comma 2 5 2 4 2 5" xfId="17892"/>
    <cellStyle name="Comma 2 5 2 4 2 5 2" xfId="31917"/>
    <cellStyle name="Comma 2 5 2 4 2 6" xfId="23906"/>
    <cellStyle name="Comma 2 5 2 4 3" xfId="11868"/>
    <cellStyle name="Comma 2 5 2 4 3 2" xfId="19893"/>
    <cellStyle name="Comma 2 5 2 4 3 2 2" xfId="33918"/>
    <cellStyle name="Comma 2 5 2 4 3 3" xfId="25907"/>
    <cellStyle name="Comma 2 5 2 4 4" xfId="13883"/>
    <cellStyle name="Comma 2 5 2 4 4 2" xfId="21898"/>
    <cellStyle name="Comma 2 5 2 4 4 2 2" xfId="35923"/>
    <cellStyle name="Comma 2 5 2 4 4 3" xfId="27912"/>
    <cellStyle name="Comma 2 5 2 4 5" xfId="15889"/>
    <cellStyle name="Comma 2 5 2 4 5 2" xfId="29914"/>
    <cellStyle name="Comma 2 5 2 4 6" xfId="17891"/>
    <cellStyle name="Comma 2 5 2 4 6 2" xfId="31916"/>
    <cellStyle name="Comma 2 5 2 4 7" xfId="23905"/>
    <cellStyle name="Comma 2 5 2 5" xfId="1120"/>
    <cellStyle name="Comma 2 5 2 5 2" xfId="1121"/>
    <cellStyle name="Comma 2 5 2 5 2 2" xfId="11871"/>
    <cellStyle name="Comma 2 5 2 5 2 2 2" xfId="19896"/>
    <cellStyle name="Comma 2 5 2 5 2 2 2 2" xfId="33921"/>
    <cellStyle name="Comma 2 5 2 5 2 2 3" xfId="25910"/>
    <cellStyle name="Comma 2 5 2 5 2 3" xfId="13886"/>
    <cellStyle name="Comma 2 5 2 5 2 3 2" xfId="21901"/>
    <cellStyle name="Comma 2 5 2 5 2 3 2 2" xfId="35926"/>
    <cellStyle name="Comma 2 5 2 5 2 3 3" xfId="27915"/>
    <cellStyle name="Comma 2 5 2 5 2 4" xfId="15892"/>
    <cellStyle name="Comma 2 5 2 5 2 4 2" xfId="29917"/>
    <cellStyle name="Comma 2 5 2 5 2 5" xfId="17894"/>
    <cellStyle name="Comma 2 5 2 5 2 5 2" xfId="31919"/>
    <cellStyle name="Comma 2 5 2 5 2 6" xfId="23908"/>
    <cellStyle name="Comma 2 5 2 5 3" xfId="11870"/>
    <cellStyle name="Comma 2 5 2 5 3 2" xfId="19895"/>
    <cellStyle name="Comma 2 5 2 5 3 2 2" xfId="33920"/>
    <cellStyle name="Comma 2 5 2 5 3 3" xfId="25909"/>
    <cellStyle name="Comma 2 5 2 5 4" xfId="13885"/>
    <cellStyle name="Comma 2 5 2 5 4 2" xfId="21900"/>
    <cellStyle name="Comma 2 5 2 5 4 2 2" xfId="35925"/>
    <cellStyle name="Comma 2 5 2 5 4 3" xfId="27914"/>
    <cellStyle name="Comma 2 5 2 5 5" xfId="15891"/>
    <cellStyle name="Comma 2 5 2 5 5 2" xfId="29916"/>
    <cellStyle name="Comma 2 5 2 5 6" xfId="17893"/>
    <cellStyle name="Comma 2 5 2 5 6 2" xfId="31918"/>
    <cellStyle name="Comma 2 5 2 5 7" xfId="23907"/>
    <cellStyle name="Comma 2 5 2 6" xfId="1122"/>
    <cellStyle name="Comma 2 5 2 6 2" xfId="11872"/>
    <cellStyle name="Comma 2 5 2 6 2 2" xfId="19897"/>
    <cellStyle name="Comma 2 5 2 6 2 2 2" xfId="33922"/>
    <cellStyle name="Comma 2 5 2 6 2 3" xfId="25911"/>
    <cellStyle name="Comma 2 5 2 6 3" xfId="13887"/>
    <cellStyle name="Comma 2 5 2 6 3 2" xfId="21902"/>
    <cellStyle name="Comma 2 5 2 6 3 2 2" xfId="35927"/>
    <cellStyle name="Comma 2 5 2 6 3 3" xfId="27916"/>
    <cellStyle name="Comma 2 5 2 6 4" xfId="15893"/>
    <cellStyle name="Comma 2 5 2 6 4 2" xfId="29918"/>
    <cellStyle name="Comma 2 5 2 6 5" xfId="17895"/>
    <cellStyle name="Comma 2 5 2 6 5 2" xfId="31920"/>
    <cellStyle name="Comma 2 5 2 6 6" xfId="23909"/>
    <cellStyle name="Comma 2 5 2 7" xfId="11853"/>
    <cellStyle name="Comma 2 5 2 7 2" xfId="19878"/>
    <cellStyle name="Comma 2 5 2 7 2 2" xfId="33903"/>
    <cellStyle name="Comma 2 5 2 7 3" xfId="25892"/>
    <cellStyle name="Comma 2 5 2 8" xfId="13868"/>
    <cellStyle name="Comma 2 5 2 8 2" xfId="21883"/>
    <cellStyle name="Comma 2 5 2 8 2 2" xfId="35908"/>
    <cellStyle name="Comma 2 5 2 8 3" xfId="27897"/>
    <cellStyle name="Comma 2 5 2 9" xfId="15874"/>
    <cellStyle name="Comma 2 5 2 9 2" xfId="29899"/>
    <cellStyle name="Comma 2 5 3" xfId="1123"/>
    <cellStyle name="Comma 2 5 3 10" xfId="23910"/>
    <cellStyle name="Comma 2 5 3 2" xfId="1124"/>
    <cellStyle name="Comma 2 5 3 2 2" xfId="1125"/>
    <cellStyle name="Comma 2 5 3 2 2 2" xfId="1126"/>
    <cellStyle name="Comma 2 5 3 2 2 2 2" xfId="11876"/>
    <cellStyle name="Comma 2 5 3 2 2 2 2 2" xfId="19901"/>
    <cellStyle name="Comma 2 5 3 2 2 2 2 2 2" xfId="33926"/>
    <cellStyle name="Comma 2 5 3 2 2 2 2 3" xfId="25915"/>
    <cellStyle name="Comma 2 5 3 2 2 2 3" xfId="13891"/>
    <cellStyle name="Comma 2 5 3 2 2 2 3 2" xfId="21906"/>
    <cellStyle name="Comma 2 5 3 2 2 2 3 2 2" xfId="35931"/>
    <cellStyle name="Comma 2 5 3 2 2 2 3 3" xfId="27920"/>
    <cellStyle name="Comma 2 5 3 2 2 2 4" xfId="15897"/>
    <cellStyle name="Comma 2 5 3 2 2 2 4 2" xfId="29922"/>
    <cellStyle name="Comma 2 5 3 2 2 2 5" xfId="17899"/>
    <cellStyle name="Comma 2 5 3 2 2 2 5 2" xfId="31924"/>
    <cellStyle name="Comma 2 5 3 2 2 2 6" xfId="23913"/>
    <cellStyle name="Comma 2 5 3 2 2 3" xfId="11875"/>
    <cellStyle name="Comma 2 5 3 2 2 3 2" xfId="19900"/>
    <cellStyle name="Comma 2 5 3 2 2 3 2 2" xfId="33925"/>
    <cellStyle name="Comma 2 5 3 2 2 3 3" xfId="25914"/>
    <cellStyle name="Comma 2 5 3 2 2 4" xfId="13890"/>
    <cellStyle name="Comma 2 5 3 2 2 4 2" xfId="21905"/>
    <cellStyle name="Comma 2 5 3 2 2 4 2 2" xfId="35930"/>
    <cellStyle name="Comma 2 5 3 2 2 4 3" xfId="27919"/>
    <cellStyle name="Comma 2 5 3 2 2 5" xfId="15896"/>
    <cellStyle name="Comma 2 5 3 2 2 5 2" xfId="29921"/>
    <cellStyle name="Comma 2 5 3 2 2 6" xfId="17898"/>
    <cellStyle name="Comma 2 5 3 2 2 6 2" xfId="31923"/>
    <cellStyle name="Comma 2 5 3 2 2 7" xfId="23912"/>
    <cellStyle name="Comma 2 5 3 2 3" xfId="1127"/>
    <cellStyle name="Comma 2 5 3 2 3 2" xfId="11877"/>
    <cellStyle name="Comma 2 5 3 2 3 2 2" xfId="19902"/>
    <cellStyle name="Comma 2 5 3 2 3 2 2 2" xfId="33927"/>
    <cellStyle name="Comma 2 5 3 2 3 2 3" xfId="25916"/>
    <cellStyle name="Comma 2 5 3 2 3 3" xfId="13892"/>
    <cellStyle name="Comma 2 5 3 2 3 3 2" xfId="21907"/>
    <cellStyle name="Comma 2 5 3 2 3 3 2 2" xfId="35932"/>
    <cellStyle name="Comma 2 5 3 2 3 3 3" xfId="27921"/>
    <cellStyle name="Comma 2 5 3 2 3 4" xfId="15898"/>
    <cellStyle name="Comma 2 5 3 2 3 4 2" xfId="29923"/>
    <cellStyle name="Comma 2 5 3 2 3 5" xfId="17900"/>
    <cellStyle name="Comma 2 5 3 2 3 5 2" xfId="31925"/>
    <cellStyle name="Comma 2 5 3 2 3 6" xfId="23914"/>
    <cellStyle name="Comma 2 5 3 2 4" xfId="11874"/>
    <cellStyle name="Comma 2 5 3 2 4 2" xfId="19899"/>
    <cellStyle name="Comma 2 5 3 2 4 2 2" xfId="33924"/>
    <cellStyle name="Comma 2 5 3 2 4 3" xfId="25913"/>
    <cellStyle name="Comma 2 5 3 2 5" xfId="13889"/>
    <cellStyle name="Comma 2 5 3 2 5 2" xfId="21904"/>
    <cellStyle name="Comma 2 5 3 2 5 2 2" xfId="35929"/>
    <cellStyle name="Comma 2 5 3 2 5 3" xfId="27918"/>
    <cellStyle name="Comma 2 5 3 2 6" xfId="15895"/>
    <cellStyle name="Comma 2 5 3 2 6 2" xfId="29920"/>
    <cellStyle name="Comma 2 5 3 2 7" xfId="17897"/>
    <cellStyle name="Comma 2 5 3 2 7 2" xfId="31922"/>
    <cellStyle name="Comma 2 5 3 2 8" xfId="23911"/>
    <cellStyle name="Comma 2 5 3 3" xfId="1128"/>
    <cellStyle name="Comma 2 5 3 3 2" xfId="1129"/>
    <cellStyle name="Comma 2 5 3 3 2 2" xfId="11879"/>
    <cellStyle name="Comma 2 5 3 3 2 2 2" xfId="19904"/>
    <cellStyle name="Comma 2 5 3 3 2 2 2 2" xfId="33929"/>
    <cellStyle name="Comma 2 5 3 3 2 2 3" xfId="25918"/>
    <cellStyle name="Comma 2 5 3 3 2 3" xfId="13894"/>
    <cellStyle name="Comma 2 5 3 3 2 3 2" xfId="21909"/>
    <cellStyle name="Comma 2 5 3 3 2 3 2 2" xfId="35934"/>
    <cellStyle name="Comma 2 5 3 3 2 3 3" xfId="27923"/>
    <cellStyle name="Comma 2 5 3 3 2 4" xfId="15900"/>
    <cellStyle name="Comma 2 5 3 3 2 4 2" xfId="29925"/>
    <cellStyle name="Comma 2 5 3 3 2 5" xfId="17902"/>
    <cellStyle name="Comma 2 5 3 3 2 5 2" xfId="31927"/>
    <cellStyle name="Comma 2 5 3 3 2 6" xfId="23916"/>
    <cellStyle name="Comma 2 5 3 3 3" xfId="11878"/>
    <cellStyle name="Comma 2 5 3 3 3 2" xfId="19903"/>
    <cellStyle name="Comma 2 5 3 3 3 2 2" xfId="33928"/>
    <cellStyle name="Comma 2 5 3 3 3 3" xfId="25917"/>
    <cellStyle name="Comma 2 5 3 3 4" xfId="13893"/>
    <cellStyle name="Comma 2 5 3 3 4 2" xfId="21908"/>
    <cellStyle name="Comma 2 5 3 3 4 2 2" xfId="35933"/>
    <cellStyle name="Comma 2 5 3 3 4 3" xfId="27922"/>
    <cellStyle name="Comma 2 5 3 3 5" xfId="15899"/>
    <cellStyle name="Comma 2 5 3 3 5 2" xfId="29924"/>
    <cellStyle name="Comma 2 5 3 3 6" xfId="17901"/>
    <cellStyle name="Comma 2 5 3 3 6 2" xfId="31926"/>
    <cellStyle name="Comma 2 5 3 3 7" xfId="23915"/>
    <cellStyle name="Comma 2 5 3 4" xfId="1130"/>
    <cellStyle name="Comma 2 5 3 4 2" xfId="1131"/>
    <cellStyle name="Comma 2 5 3 4 2 2" xfId="11881"/>
    <cellStyle name="Comma 2 5 3 4 2 2 2" xfId="19906"/>
    <cellStyle name="Comma 2 5 3 4 2 2 2 2" xfId="33931"/>
    <cellStyle name="Comma 2 5 3 4 2 2 3" xfId="25920"/>
    <cellStyle name="Comma 2 5 3 4 2 3" xfId="13896"/>
    <cellStyle name="Comma 2 5 3 4 2 3 2" xfId="21911"/>
    <cellStyle name="Comma 2 5 3 4 2 3 2 2" xfId="35936"/>
    <cellStyle name="Comma 2 5 3 4 2 3 3" xfId="27925"/>
    <cellStyle name="Comma 2 5 3 4 2 4" xfId="15902"/>
    <cellStyle name="Comma 2 5 3 4 2 4 2" xfId="29927"/>
    <cellStyle name="Comma 2 5 3 4 2 5" xfId="17904"/>
    <cellStyle name="Comma 2 5 3 4 2 5 2" xfId="31929"/>
    <cellStyle name="Comma 2 5 3 4 2 6" xfId="23918"/>
    <cellStyle name="Comma 2 5 3 4 3" xfId="11880"/>
    <cellStyle name="Comma 2 5 3 4 3 2" xfId="19905"/>
    <cellStyle name="Comma 2 5 3 4 3 2 2" xfId="33930"/>
    <cellStyle name="Comma 2 5 3 4 3 3" xfId="25919"/>
    <cellStyle name="Comma 2 5 3 4 4" xfId="13895"/>
    <cellStyle name="Comma 2 5 3 4 4 2" xfId="21910"/>
    <cellStyle name="Comma 2 5 3 4 4 2 2" xfId="35935"/>
    <cellStyle name="Comma 2 5 3 4 4 3" xfId="27924"/>
    <cellStyle name="Comma 2 5 3 4 5" xfId="15901"/>
    <cellStyle name="Comma 2 5 3 4 5 2" xfId="29926"/>
    <cellStyle name="Comma 2 5 3 4 6" xfId="17903"/>
    <cellStyle name="Comma 2 5 3 4 6 2" xfId="31928"/>
    <cellStyle name="Comma 2 5 3 4 7" xfId="23917"/>
    <cellStyle name="Comma 2 5 3 5" xfId="1132"/>
    <cellStyle name="Comma 2 5 3 5 2" xfId="11882"/>
    <cellStyle name="Comma 2 5 3 5 2 2" xfId="19907"/>
    <cellStyle name="Comma 2 5 3 5 2 2 2" xfId="33932"/>
    <cellStyle name="Comma 2 5 3 5 2 3" xfId="25921"/>
    <cellStyle name="Comma 2 5 3 5 3" xfId="13897"/>
    <cellStyle name="Comma 2 5 3 5 3 2" xfId="21912"/>
    <cellStyle name="Comma 2 5 3 5 3 2 2" xfId="35937"/>
    <cellStyle name="Comma 2 5 3 5 3 3" xfId="27926"/>
    <cellStyle name="Comma 2 5 3 5 4" xfId="15903"/>
    <cellStyle name="Comma 2 5 3 5 4 2" xfId="29928"/>
    <cellStyle name="Comma 2 5 3 5 5" xfId="17905"/>
    <cellStyle name="Comma 2 5 3 5 5 2" xfId="31930"/>
    <cellStyle name="Comma 2 5 3 5 6" xfId="23919"/>
    <cellStyle name="Comma 2 5 3 6" xfId="11873"/>
    <cellStyle name="Comma 2 5 3 6 2" xfId="19898"/>
    <cellStyle name="Comma 2 5 3 6 2 2" xfId="33923"/>
    <cellStyle name="Comma 2 5 3 6 3" xfId="25912"/>
    <cellStyle name="Comma 2 5 3 7" xfId="13888"/>
    <cellStyle name="Comma 2 5 3 7 2" xfId="21903"/>
    <cellStyle name="Comma 2 5 3 7 2 2" xfId="35928"/>
    <cellStyle name="Comma 2 5 3 7 3" xfId="27917"/>
    <cellStyle name="Comma 2 5 3 8" xfId="15894"/>
    <cellStyle name="Comma 2 5 3 8 2" xfId="29919"/>
    <cellStyle name="Comma 2 5 3 9" xfId="17896"/>
    <cellStyle name="Comma 2 5 3 9 2" xfId="31921"/>
    <cellStyle name="Comma 2 5 4" xfId="1133"/>
    <cellStyle name="Comma 2 5 4 2" xfId="1134"/>
    <cellStyle name="Comma 2 5 4 2 2" xfId="1135"/>
    <cellStyle name="Comma 2 5 4 2 2 2" xfId="11885"/>
    <cellStyle name="Comma 2 5 4 2 2 2 2" xfId="19910"/>
    <cellStyle name="Comma 2 5 4 2 2 2 2 2" xfId="33935"/>
    <cellStyle name="Comma 2 5 4 2 2 2 3" xfId="25924"/>
    <cellStyle name="Comma 2 5 4 2 2 3" xfId="13900"/>
    <cellStyle name="Comma 2 5 4 2 2 3 2" xfId="21915"/>
    <cellStyle name="Comma 2 5 4 2 2 3 2 2" xfId="35940"/>
    <cellStyle name="Comma 2 5 4 2 2 3 3" xfId="27929"/>
    <cellStyle name="Comma 2 5 4 2 2 4" xfId="15906"/>
    <cellStyle name="Comma 2 5 4 2 2 4 2" xfId="29931"/>
    <cellStyle name="Comma 2 5 4 2 2 5" xfId="17908"/>
    <cellStyle name="Comma 2 5 4 2 2 5 2" xfId="31933"/>
    <cellStyle name="Comma 2 5 4 2 2 6" xfId="23922"/>
    <cellStyle name="Comma 2 5 4 2 3" xfId="11884"/>
    <cellStyle name="Comma 2 5 4 2 3 2" xfId="19909"/>
    <cellStyle name="Comma 2 5 4 2 3 2 2" xfId="33934"/>
    <cellStyle name="Comma 2 5 4 2 3 3" xfId="25923"/>
    <cellStyle name="Comma 2 5 4 2 4" xfId="13899"/>
    <cellStyle name="Comma 2 5 4 2 4 2" xfId="21914"/>
    <cellStyle name="Comma 2 5 4 2 4 2 2" xfId="35939"/>
    <cellStyle name="Comma 2 5 4 2 4 3" xfId="27928"/>
    <cellStyle name="Comma 2 5 4 2 5" xfId="15905"/>
    <cellStyle name="Comma 2 5 4 2 5 2" xfId="29930"/>
    <cellStyle name="Comma 2 5 4 2 6" xfId="17907"/>
    <cellStyle name="Comma 2 5 4 2 6 2" xfId="31932"/>
    <cellStyle name="Comma 2 5 4 2 7" xfId="23921"/>
    <cellStyle name="Comma 2 5 4 3" xfId="1136"/>
    <cellStyle name="Comma 2 5 4 3 2" xfId="11886"/>
    <cellStyle name="Comma 2 5 4 3 2 2" xfId="19911"/>
    <cellStyle name="Comma 2 5 4 3 2 2 2" xfId="33936"/>
    <cellStyle name="Comma 2 5 4 3 2 3" xfId="25925"/>
    <cellStyle name="Comma 2 5 4 3 3" xfId="13901"/>
    <cellStyle name="Comma 2 5 4 3 3 2" xfId="21916"/>
    <cellStyle name="Comma 2 5 4 3 3 2 2" xfId="35941"/>
    <cellStyle name="Comma 2 5 4 3 3 3" xfId="27930"/>
    <cellStyle name="Comma 2 5 4 3 4" xfId="15907"/>
    <cellStyle name="Comma 2 5 4 3 4 2" xfId="29932"/>
    <cellStyle name="Comma 2 5 4 3 5" xfId="17909"/>
    <cellStyle name="Comma 2 5 4 3 5 2" xfId="31934"/>
    <cellStyle name="Comma 2 5 4 3 6" xfId="23923"/>
    <cellStyle name="Comma 2 5 4 4" xfId="11883"/>
    <cellStyle name="Comma 2 5 4 4 2" xfId="19908"/>
    <cellStyle name="Comma 2 5 4 4 2 2" xfId="33933"/>
    <cellStyle name="Comma 2 5 4 4 3" xfId="25922"/>
    <cellStyle name="Comma 2 5 4 5" xfId="13898"/>
    <cellStyle name="Comma 2 5 4 5 2" xfId="21913"/>
    <cellStyle name="Comma 2 5 4 5 2 2" xfId="35938"/>
    <cellStyle name="Comma 2 5 4 5 3" xfId="27927"/>
    <cellStyle name="Comma 2 5 4 6" xfId="15904"/>
    <cellStyle name="Comma 2 5 4 6 2" xfId="29929"/>
    <cellStyle name="Comma 2 5 4 7" xfId="17906"/>
    <cellStyle name="Comma 2 5 4 7 2" xfId="31931"/>
    <cellStyle name="Comma 2 5 4 8" xfId="23920"/>
    <cellStyle name="Comma 2 5 5" xfId="1137"/>
    <cellStyle name="Comma 2 5 5 2" xfId="1138"/>
    <cellStyle name="Comma 2 5 5 2 2" xfId="11888"/>
    <cellStyle name="Comma 2 5 5 2 2 2" xfId="19913"/>
    <cellStyle name="Comma 2 5 5 2 2 2 2" xfId="33938"/>
    <cellStyle name="Comma 2 5 5 2 2 3" xfId="25927"/>
    <cellStyle name="Comma 2 5 5 2 3" xfId="13903"/>
    <cellStyle name="Comma 2 5 5 2 3 2" xfId="21918"/>
    <cellStyle name="Comma 2 5 5 2 3 2 2" xfId="35943"/>
    <cellStyle name="Comma 2 5 5 2 3 3" xfId="27932"/>
    <cellStyle name="Comma 2 5 5 2 4" xfId="15909"/>
    <cellStyle name="Comma 2 5 5 2 4 2" xfId="29934"/>
    <cellStyle name="Comma 2 5 5 2 5" xfId="17911"/>
    <cellStyle name="Comma 2 5 5 2 5 2" xfId="31936"/>
    <cellStyle name="Comma 2 5 5 2 6" xfId="23925"/>
    <cellStyle name="Comma 2 5 5 3" xfId="11887"/>
    <cellStyle name="Comma 2 5 5 3 2" xfId="19912"/>
    <cellStyle name="Comma 2 5 5 3 2 2" xfId="33937"/>
    <cellStyle name="Comma 2 5 5 3 3" xfId="25926"/>
    <cellStyle name="Comma 2 5 5 4" xfId="13902"/>
    <cellStyle name="Comma 2 5 5 4 2" xfId="21917"/>
    <cellStyle name="Comma 2 5 5 4 2 2" xfId="35942"/>
    <cellStyle name="Comma 2 5 5 4 3" xfId="27931"/>
    <cellStyle name="Comma 2 5 5 5" xfId="15908"/>
    <cellStyle name="Comma 2 5 5 5 2" xfId="29933"/>
    <cellStyle name="Comma 2 5 5 6" xfId="17910"/>
    <cellStyle name="Comma 2 5 5 6 2" xfId="31935"/>
    <cellStyle name="Comma 2 5 5 7" xfId="23924"/>
    <cellStyle name="Comma 2 5 6" xfId="1139"/>
    <cellStyle name="Comma 2 5 6 2" xfId="1140"/>
    <cellStyle name="Comma 2 5 6 2 2" xfId="11890"/>
    <cellStyle name="Comma 2 5 6 2 2 2" xfId="19915"/>
    <cellStyle name="Comma 2 5 6 2 2 2 2" xfId="33940"/>
    <cellStyle name="Comma 2 5 6 2 2 3" xfId="25929"/>
    <cellStyle name="Comma 2 5 6 2 3" xfId="13905"/>
    <cellStyle name="Comma 2 5 6 2 3 2" xfId="21920"/>
    <cellStyle name="Comma 2 5 6 2 3 2 2" xfId="35945"/>
    <cellStyle name="Comma 2 5 6 2 3 3" xfId="27934"/>
    <cellStyle name="Comma 2 5 6 2 4" xfId="15911"/>
    <cellStyle name="Comma 2 5 6 2 4 2" xfId="29936"/>
    <cellStyle name="Comma 2 5 6 2 5" xfId="17913"/>
    <cellStyle name="Comma 2 5 6 2 5 2" xfId="31938"/>
    <cellStyle name="Comma 2 5 6 2 6" xfId="23927"/>
    <cellStyle name="Comma 2 5 6 3" xfId="11889"/>
    <cellStyle name="Comma 2 5 6 3 2" xfId="19914"/>
    <cellStyle name="Comma 2 5 6 3 2 2" xfId="33939"/>
    <cellStyle name="Comma 2 5 6 3 3" xfId="25928"/>
    <cellStyle name="Comma 2 5 6 4" xfId="13904"/>
    <cellStyle name="Comma 2 5 6 4 2" xfId="21919"/>
    <cellStyle name="Comma 2 5 6 4 2 2" xfId="35944"/>
    <cellStyle name="Comma 2 5 6 4 3" xfId="27933"/>
    <cellStyle name="Comma 2 5 6 5" xfId="15910"/>
    <cellStyle name="Comma 2 5 6 5 2" xfId="29935"/>
    <cellStyle name="Comma 2 5 6 6" xfId="17912"/>
    <cellStyle name="Comma 2 5 6 6 2" xfId="31937"/>
    <cellStyle name="Comma 2 5 6 7" xfId="23926"/>
    <cellStyle name="Comma 2 5 7" xfId="1141"/>
    <cellStyle name="Comma 2 5 7 2" xfId="11891"/>
    <cellStyle name="Comma 2 5 7 2 2" xfId="19916"/>
    <cellStyle name="Comma 2 5 7 2 2 2" xfId="33941"/>
    <cellStyle name="Comma 2 5 7 2 3" xfId="25930"/>
    <cellStyle name="Comma 2 5 7 3" xfId="13906"/>
    <cellStyle name="Comma 2 5 7 3 2" xfId="21921"/>
    <cellStyle name="Comma 2 5 7 3 2 2" xfId="35946"/>
    <cellStyle name="Comma 2 5 7 3 3" xfId="27935"/>
    <cellStyle name="Comma 2 5 7 4" xfId="15912"/>
    <cellStyle name="Comma 2 5 7 4 2" xfId="29937"/>
    <cellStyle name="Comma 2 5 7 5" xfId="17914"/>
    <cellStyle name="Comma 2 5 7 5 2" xfId="31939"/>
    <cellStyle name="Comma 2 5 7 6" xfId="23928"/>
    <cellStyle name="Comma 2 5 8" xfId="11852"/>
    <cellStyle name="Comma 2 5 8 2" xfId="19877"/>
    <cellStyle name="Comma 2 5 8 2 2" xfId="33902"/>
    <cellStyle name="Comma 2 5 8 3" xfId="25891"/>
    <cellStyle name="Comma 2 5 9" xfId="13867"/>
    <cellStyle name="Comma 2 5 9 2" xfId="21882"/>
    <cellStyle name="Comma 2 5 9 2 2" xfId="35907"/>
    <cellStyle name="Comma 2 5 9 3" xfId="27896"/>
    <cellStyle name="Comma 2 6" xfId="1142"/>
    <cellStyle name="Comma 2 6 10" xfId="15913"/>
    <cellStyle name="Comma 2 6 10 2" xfId="29938"/>
    <cellStyle name="Comma 2 6 11" xfId="17915"/>
    <cellStyle name="Comma 2 6 11 2" xfId="31940"/>
    <cellStyle name="Comma 2 6 12" xfId="23929"/>
    <cellStyle name="Comma 2 6 2" xfId="1143"/>
    <cellStyle name="Comma 2 6 2 10" xfId="17916"/>
    <cellStyle name="Comma 2 6 2 10 2" xfId="31941"/>
    <cellStyle name="Comma 2 6 2 11" xfId="23930"/>
    <cellStyle name="Comma 2 6 2 2" xfId="1144"/>
    <cellStyle name="Comma 2 6 2 2 10" xfId="23931"/>
    <cellStyle name="Comma 2 6 2 2 2" xfId="1145"/>
    <cellStyle name="Comma 2 6 2 2 2 2" xfId="1146"/>
    <cellStyle name="Comma 2 6 2 2 2 2 2" xfId="1147"/>
    <cellStyle name="Comma 2 6 2 2 2 2 2 2" xfId="11897"/>
    <cellStyle name="Comma 2 6 2 2 2 2 2 2 2" xfId="19922"/>
    <cellStyle name="Comma 2 6 2 2 2 2 2 2 2 2" xfId="33947"/>
    <cellStyle name="Comma 2 6 2 2 2 2 2 2 3" xfId="25936"/>
    <cellStyle name="Comma 2 6 2 2 2 2 2 3" xfId="13912"/>
    <cellStyle name="Comma 2 6 2 2 2 2 2 3 2" xfId="21927"/>
    <cellStyle name="Comma 2 6 2 2 2 2 2 3 2 2" xfId="35952"/>
    <cellStyle name="Comma 2 6 2 2 2 2 2 3 3" xfId="27941"/>
    <cellStyle name="Comma 2 6 2 2 2 2 2 4" xfId="15918"/>
    <cellStyle name="Comma 2 6 2 2 2 2 2 4 2" xfId="29943"/>
    <cellStyle name="Comma 2 6 2 2 2 2 2 5" xfId="17920"/>
    <cellStyle name="Comma 2 6 2 2 2 2 2 5 2" xfId="31945"/>
    <cellStyle name="Comma 2 6 2 2 2 2 2 6" xfId="23934"/>
    <cellStyle name="Comma 2 6 2 2 2 2 3" xfId="11896"/>
    <cellStyle name="Comma 2 6 2 2 2 2 3 2" xfId="19921"/>
    <cellStyle name="Comma 2 6 2 2 2 2 3 2 2" xfId="33946"/>
    <cellStyle name="Comma 2 6 2 2 2 2 3 3" xfId="25935"/>
    <cellStyle name="Comma 2 6 2 2 2 2 4" xfId="13911"/>
    <cellStyle name="Comma 2 6 2 2 2 2 4 2" xfId="21926"/>
    <cellStyle name="Comma 2 6 2 2 2 2 4 2 2" xfId="35951"/>
    <cellStyle name="Comma 2 6 2 2 2 2 4 3" xfId="27940"/>
    <cellStyle name="Comma 2 6 2 2 2 2 5" xfId="15917"/>
    <cellStyle name="Comma 2 6 2 2 2 2 5 2" xfId="29942"/>
    <cellStyle name="Comma 2 6 2 2 2 2 6" xfId="17919"/>
    <cellStyle name="Comma 2 6 2 2 2 2 6 2" xfId="31944"/>
    <cellStyle name="Comma 2 6 2 2 2 2 7" xfId="23933"/>
    <cellStyle name="Comma 2 6 2 2 2 3" xfId="1148"/>
    <cellStyle name="Comma 2 6 2 2 2 3 2" xfId="11898"/>
    <cellStyle name="Comma 2 6 2 2 2 3 2 2" xfId="19923"/>
    <cellStyle name="Comma 2 6 2 2 2 3 2 2 2" xfId="33948"/>
    <cellStyle name="Comma 2 6 2 2 2 3 2 3" xfId="25937"/>
    <cellStyle name="Comma 2 6 2 2 2 3 3" xfId="13913"/>
    <cellStyle name="Comma 2 6 2 2 2 3 3 2" xfId="21928"/>
    <cellStyle name="Comma 2 6 2 2 2 3 3 2 2" xfId="35953"/>
    <cellStyle name="Comma 2 6 2 2 2 3 3 3" xfId="27942"/>
    <cellStyle name="Comma 2 6 2 2 2 3 4" xfId="15919"/>
    <cellStyle name="Comma 2 6 2 2 2 3 4 2" xfId="29944"/>
    <cellStyle name="Comma 2 6 2 2 2 3 5" xfId="17921"/>
    <cellStyle name="Comma 2 6 2 2 2 3 5 2" xfId="31946"/>
    <cellStyle name="Comma 2 6 2 2 2 3 6" xfId="23935"/>
    <cellStyle name="Comma 2 6 2 2 2 4" xfId="11895"/>
    <cellStyle name="Comma 2 6 2 2 2 4 2" xfId="19920"/>
    <cellStyle name="Comma 2 6 2 2 2 4 2 2" xfId="33945"/>
    <cellStyle name="Comma 2 6 2 2 2 4 3" xfId="25934"/>
    <cellStyle name="Comma 2 6 2 2 2 5" xfId="13910"/>
    <cellStyle name="Comma 2 6 2 2 2 5 2" xfId="21925"/>
    <cellStyle name="Comma 2 6 2 2 2 5 2 2" xfId="35950"/>
    <cellStyle name="Comma 2 6 2 2 2 5 3" xfId="27939"/>
    <cellStyle name="Comma 2 6 2 2 2 6" xfId="15916"/>
    <cellStyle name="Comma 2 6 2 2 2 6 2" xfId="29941"/>
    <cellStyle name="Comma 2 6 2 2 2 7" xfId="17918"/>
    <cellStyle name="Comma 2 6 2 2 2 7 2" xfId="31943"/>
    <cellStyle name="Comma 2 6 2 2 2 8" xfId="23932"/>
    <cellStyle name="Comma 2 6 2 2 3" xfId="1149"/>
    <cellStyle name="Comma 2 6 2 2 3 2" xfId="1150"/>
    <cellStyle name="Comma 2 6 2 2 3 2 2" xfId="11900"/>
    <cellStyle name="Comma 2 6 2 2 3 2 2 2" xfId="19925"/>
    <cellStyle name="Comma 2 6 2 2 3 2 2 2 2" xfId="33950"/>
    <cellStyle name="Comma 2 6 2 2 3 2 2 3" xfId="25939"/>
    <cellStyle name="Comma 2 6 2 2 3 2 3" xfId="13915"/>
    <cellStyle name="Comma 2 6 2 2 3 2 3 2" xfId="21930"/>
    <cellStyle name="Comma 2 6 2 2 3 2 3 2 2" xfId="35955"/>
    <cellStyle name="Comma 2 6 2 2 3 2 3 3" xfId="27944"/>
    <cellStyle name="Comma 2 6 2 2 3 2 4" xfId="15921"/>
    <cellStyle name="Comma 2 6 2 2 3 2 4 2" xfId="29946"/>
    <cellStyle name="Comma 2 6 2 2 3 2 5" xfId="17923"/>
    <cellStyle name="Comma 2 6 2 2 3 2 5 2" xfId="31948"/>
    <cellStyle name="Comma 2 6 2 2 3 2 6" xfId="23937"/>
    <cellStyle name="Comma 2 6 2 2 3 3" xfId="11899"/>
    <cellStyle name="Comma 2 6 2 2 3 3 2" xfId="19924"/>
    <cellStyle name="Comma 2 6 2 2 3 3 2 2" xfId="33949"/>
    <cellStyle name="Comma 2 6 2 2 3 3 3" xfId="25938"/>
    <cellStyle name="Comma 2 6 2 2 3 4" xfId="13914"/>
    <cellStyle name="Comma 2 6 2 2 3 4 2" xfId="21929"/>
    <cellStyle name="Comma 2 6 2 2 3 4 2 2" xfId="35954"/>
    <cellStyle name="Comma 2 6 2 2 3 4 3" xfId="27943"/>
    <cellStyle name="Comma 2 6 2 2 3 5" xfId="15920"/>
    <cellStyle name="Comma 2 6 2 2 3 5 2" xfId="29945"/>
    <cellStyle name="Comma 2 6 2 2 3 6" xfId="17922"/>
    <cellStyle name="Comma 2 6 2 2 3 6 2" xfId="31947"/>
    <cellStyle name="Comma 2 6 2 2 3 7" xfId="23936"/>
    <cellStyle name="Comma 2 6 2 2 4" xfId="1151"/>
    <cellStyle name="Comma 2 6 2 2 4 2" xfId="1152"/>
    <cellStyle name="Comma 2 6 2 2 4 2 2" xfId="11902"/>
    <cellStyle name="Comma 2 6 2 2 4 2 2 2" xfId="19927"/>
    <cellStyle name="Comma 2 6 2 2 4 2 2 2 2" xfId="33952"/>
    <cellStyle name="Comma 2 6 2 2 4 2 2 3" xfId="25941"/>
    <cellStyle name="Comma 2 6 2 2 4 2 3" xfId="13917"/>
    <cellStyle name="Comma 2 6 2 2 4 2 3 2" xfId="21932"/>
    <cellStyle name="Comma 2 6 2 2 4 2 3 2 2" xfId="35957"/>
    <cellStyle name="Comma 2 6 2 2 4 2 3 3" xfId="27946"/>
    <cellStyle name="Comma 2 6 2 2 4 2 4" xfId="15923"/>
    <cellStyle name="Comma 2 6 2 2 4 2 4 2" xfId="29948"/>
    <cellStyle name="Comma 2 6 2 2 4 2 5" xfId="17925"/>
    <cellStyle name="Comma 2 6 2 2 4 2 5 2" xfId="31950"/>
    <cellStyle name="Comma 2 6 2 2 4 2 6" xfId="23939"/>
    <cellStyle name="Comma 2 6 2 2 4 3" xfId="11901"/>
    <cellStyle name="Comma 2 6 2 2 4 3 2" xfId="19926"/>
    <cellStyle name="Comma 2 6 2 2 4 3 2 2" xfId="33951"/>
    <cellStyle name="Comma 2 6 2 2 4 3 3" xfId="25940"/>
    <cellStyle name="Comma 2 6 2 2 4 4" xfId="13916"/>
    <cellStyle name="Comma 2 6 2 2 4 4 2" xfId="21931"/>
    <cellStyle name="Comma 2 6 2 2 4 4 2 2" xfId="35956"/>
    <cellStyle name="Comma 2 6 2 2 4 4 3" xfId="27945"/>
    <cellStyle name="Comma 2 6 2 2 4 5" xfId="15922"/>
    <cellStyle name="Comma 2 6 2 2 4 5 2" xfId="29947"/>
    <cellStyle name="Comma 2 6 2 2 4 6" xfId="17924"/>
    <cellStyle name="Comma 2 6 2 2 4 6 2" xfId="31949"/>
    <cellStyle name="Comma 2 6 2 2 4 7" xfId="23938"/>
    <cellStyle name="Comma 2 6 2 2 5" xfId="1153"/>
    <cellStyle name="Comma 2 6 2 2 5 2" xfId="11903"/>
    <cellStyle name="Comma 2 6 2 2 5 2 2" xfId="19928"/>
    <cellStyle name="Comma 2 6 2 2 5 2 2 2" xfId="33953"/>
    <cellStyle name="Comma 2 6 2 2 5 2 3" xfId="25942"/>
    <cellStyle name="Comma 2 6 2 2 5 3" xfId="13918"/>
    <cellStyle name="Comma 2 6 2 2 5 3 2" xfId="21933"/>
    <cellStyle name="Comma 2 6 2 2 5 3 2 2" xfId="35958"/>
    <cellStyle name="Comma 2 6 2 2 5 3 3" xfId="27947"/>
    <cellStyle name="Comma 2 6 2 2 5 4" xfId="15924"/>
    <cellStyle name="Comma 2 6 2 2 5 4 2" xfId="29949"/>
    <cellStyle name="Comma 2 6 2 2 5 5" xfId="17926"/>
    <cellStyle name="Comma 2 6 2 2 5 5 2" xfId="31951"/>
    <cellStyle name="Comma 2 6 2 2 5 6" xfId="23940"/>
    <cellStyle name="Comma 2 6 2 2 6" xfId="11894"/>
    <cellStyle name="Comma 2 6 2 2 6 2" xfId="19919"/>
    <cellStyle name="Comma 2 6 2 2 6 2 2" xfId="33944"/>
    <cellStyle name="Comma 2 6 2 2 6 3" xfId="25933"/>
    <cellStyle name="Comma 2 6 2 2 7" xfId="13909"/>
    <cellStyle name="Comma 2 6 2 2 7 2" xfId="21924"/>
    <cellStyle name="Comma 2 6 2 2 7 2 2" xfId="35949"/>
    <cellStyle name="Comma 2 6 2 2 7 3" xfId="27938"/>
    <cellStyle name="Comma 2 6 2 2 8" xfId="15915"/>
    <cellStyle name="Comma 2 6 2 2 8 2" xfId="29940"/>
    <cellStyle name="Comma 2 6 2 2 9" xfId="17917"/>
    <cellStyle name="Comma 2 6 2 2 9 2" xfId="31942"/>
    <cellStyle name="Comma 2 6 2 3" xfId="1154"/>
    <cellStyle name="Comma 2 6 2 3 2" xfId="1155"/>
    <cellStyle name="Comma 2 6 2 3 2 2" xfId="1156"/>
    <cellStyle name="Comma 2 6 2 3 2 2 2" xfId="11906"/>
    <cellStyle name="Comma 2 6 2 3 2 2 2 2" xfId="19931"/>
    <cellStyle name="Comma 2 6 2 3 2 2 2 2 2" xfId="33956"/>
    <cellStyle name="Comma 2 6 2 3 2 2 2 3" xfId="25945"/>
    <cellStyle name="Comma 2 6 2 3 2 2 3" xfId="13921"/>
    <cellStyle name="Comma 2 6 2 3 2 2 3 2" xfId="21936"/>
    <cellStyle name="Comma 2 6 2 3 2 2 3 2 2" xfId="35961"/>
    <cellStyle name="Comma 2 6 2 3 2 2 3 3" xfId="27950"/>
    <cellStyle name="Comma 2 6 2 3 2 2 4" xfId="15927"/>
    <cellStyle name="Comma 2 6 2 3 2 2 4 2" xfId="29952"/>
    <cellStyle name="Comma 2 6 2 3 2 2 5" xfId="17929"/>
    <cellStyle name="Comma 2 6 2 3 2 2 5 2" xfId="31954"/>
    <cellStyle name="Comma 2 6 2 3 2 2 6" xfId="23943"/>
    <cellStyle name="Comma 2 6 2 3 2 3" xfId="11905"/>
    <cellStyle name="Comma 2 6 2 3 2 3 2" xfId="19930"/>
    <cellStyle name="Comma 2 6 2 3 2 3 2 2" xfId="33955"/>
    <cellStyle name="Comma 2 6 2 3 2 3 3" xfId="25944"/>
    <cellStyle name="Comma 2 6 2 3 2 4" xfId="13920"/>
    <cellStyle name="Comma 2 6 2 3 2 4 2" xfId="21935"/>
    <cellStyle name="Comma 2 6 2 3 2 4 2 2" xfId="35960"/>
    <cellStyle name="Comma 2 6 2 3 2 4 3" xfId="27949"/>
    <cellStyle name="Comma 2 6 2 3 2 5" xfId="15926"/>
    <cellStyle name="Comma 2 6 2 3 2 5 2" xfId="29951"/>
    <cellStyle name="Comma 2 6 2 3 2 6" xfId="17928"/>
    <cellStyle name="Comma 2 6 2 3 2 6 2" xfId="31953"/>
    <cellStyle name="Comma 2 6 2 3 2 7" xfId="23942"/>
    <cellStyle name="Comma 2 6 2 3 3" xfId="1157"/>
    <cellStyle name="Comma 2 6 2 3 3 2" xfId="11907"/>
    <cellStyle name="Comma 2 6 2 3 3 2 2" xfId="19932"/>
    <cellStyle name="Comma 2 6 2 3 3 2 2 2" xfId="33957"/>
    <cellStyle name="Comma 2 6 2 3 3 2 3" xfId="25946"/>
    <cellStyle name="Comma 2 6 2 3 3 3" xfId="13922"/>
    <cellStyle name="Comma 2 6 2 3 3 3 2" xfId="21937"/>
    <cellStyle name="Comma 2 6 2 3 3 3 2 2" xfId="35962"/>
    <cellStyle name="Comma 2 6 2 3 3 3 3" xfId="27951"/>
    <cellStyle name="Comma 2 6 2 3 3 4" xfId="15928"/>
    <cellStyle name="Comma 2 6 2 3 3 4 2" xfId="29953"/>
    <cellStyle name="Comma 2 6 2 3 3 5" xfId="17930"/>
    <cellStyle name="Comma 2 6 2 3 3 5 2" xfId="31955"/>
    <cellStyle name="Comma 2 6 2 3 3 6" xfId="23944"/>
    <cellStyle name="Comma 2 6 2 3 4" xfId="11904"/>
    <cellStyle name="Comma 2 6 2 3 4 2" xfId="19929"/>
    <cellStyle name="Comma 2 6 2 3 4 2 2" xfId="33954"/>
    <cellStyle name="Comma 2 6 2 3 4 3" xfId="25943"/>
    <cellStyle name="Comma 2 6 2 3 5" xfId="13919"/>
    <cellStyle name="Comma 2 6 2 3 5 2" xfId="21934"/>
    <cellStyle name="Comma 2 6 2 3 5 2 2" xfId="35959"/>
    <cellStyle name="Comma 2 6 2 3 5 3" xfId="27948"/>
    <cellStyle name="Comma 2 6 2 3 6" xfId="15925"/>
    <cellStyle name="Comma 2 6 2 3 6 2" xfId="29950"/>
    <cellStyle name="Comma 2 6 2 3 7" xfId="17927"/>
    <cellStyle name="Comma 2 6 2 3 7 2" xfId="31952"/>
    <cellStyle name="Comma 2 6 2 3 8" xfId="23941"/>
    <cellStyle name="Comma 2 6 2 4" xfId="1158"/>
    <cellStyle name="Comma 2 6 2 4 2" xfId="1159"/>
    <cellStyle name="Comma 2 6 2 4 2 2" xfId="11909"/>
    <cellStyle name="Comma 2 6 2 4 2 2 2" xfId="19934"/>
    <cellStyle name="Comma 2 6 2 4 2 2 2 2" xfId="33959"/>
    <cellStyle name="Comma 2 6 2 4 2 2 3" xfId="25948"/>
    <cellStyle name="Comma 2 6 2 4 2 3" xfId="13924"/>
    <cellStyle name="Comma 2 6 2 4 2 3 2" xfId="21939"/>
    <cellStyle name="Comma 2 6 2 4 2 3 2 2" xfId="35964"/>
    <cellStyle name="Comma 2 6 2 4 2 3 3" xfId="27953"/>
    <cellStyle name="Comma 2 6 2 4 2 4" xfId="15930"/>
    <cellStyle name="Comma 2 6 2 4 2 4 2" xfId="29955"/>
    <cellStyle name="Comma 2 6 2 4 2 5" xfId="17932"/>
    <cellStyle name="Comma 2 6 2 4 2 5 2" xfId="31957"/>
    <cellStyle name="Comma 2 6 2 4 2 6" xfId="23946"/>
    <cellStyle name="Comma 2 6 2 4 3" xfId="11908"/>
    <cellStyle name="Comma 2 6 2 4 3 2" xfId="19933"/>
    <cellStyle name="Comma 2 6 2 4 3 2 2" xfId="33958"/>
    <cellStyle name="Comma 2 6 2 4 3 3" xfId="25947"/>
    <cellStyle name="Comma 2 6 2 4 4" xfId="13923"/>
    <cellStyle name="Comma 2 6 2 4 4 2" xfId="21938"/>
    <cellStyle name="Comma 2 6 2 4 4 2 2" xfId="35963"/>
    <cellStyle name="Comma 2 6 2 4 4 3" xfId="27952"/>
    <cellStyle name="Comma 2 6 2 4 5" xfId="15929"/>
    <cellStyle name="Comma 2 6 2 4 5 2" xfId="29954"/>
    <cellStyle name="Comma 2 6 2 4 6" xfId="17931"/>
    <cellStyle name="Comma 2 6 2 4 6 2" xfId="31956"/>
    <cellStyle name="Comma 2 6 2 4 7" xfId="23945"/>
    <cellStyle name="Comma 2 6 2 5" xfId="1160"/>
    <cellStyle name="Comma 2 6 2 5 2" xfId="1161"/>
    <cellStyle name="Comma 2 6 2 5 2 2" xfId="11911"/>
    <cellStyle name="Comma 2 6 2 5 2 2 2" xfId="19936"/>
    <cellStyle name="Comma 2 6 2 5 2 2 2 2" xfId="33961"/>
    <cellStyle name="Comma 2 6 2 5 2 2 3" xfId="25950"/>
    <cellStyle name="Comma 2 6 2 5 2 3" xfId="13926"/>
    <cellStyle name="Comma 2 6 2 5 2 3 2" xfId="21941"/>
    <cellStyle name="Comma 2 6 2 5 2 3 2 2" xfId="35966"/>
    <cellStyle name="Comma 2 6 2 5 2 3 3" xfId="27955"/>
    <cellStyle name="Comma 2 6 2 5 2 4" xfId="15932"/>
    <cellStyle name="Comma 2 6 2 5 2 4 2" xfId="29957"/>
    <cellStyle name="Comma 2 6 2 5 2 5" xfId="17934"/>
    <cellStyle name="Comma 2 6 2 5 2 5 2" xfId="31959"/>
    <cellStyle name="Comma 2 6 2 5 2 6" xfId="23948"/>
    <cellStyle name="Comma 2 6 2 5 3" xfId="11910"/>
    <cellStyle name="Comma 2 6 2 5 3 2" xfId="19935"/>
    <cellStyle name="Comma 2 6 2 5 3 2 2" xfId="33960"/>
    <cellStyle name="Comma 2 6 2 5 3 3" xfId="25949"/>
    <cellStyle name="Comma 2 6 2 5 4" xfId="13925"/>
    <cellStyle name="Comma 2 6 2 5 4 2" xfId="21940"/>
    <cellStyle name="Comma 2 6 2 5 4 2 2" xfId="35965"/>
    <cellStyle name="Comma 2 6 2 5 4 3" xfId="27954"/>
    <cellStyle name="Comma 2 6 2 5 5" xfId="15931"/>
    <cellStyle name="Comma 2 6 2 5 5 2" xfId="29956"/>
    <cellStyle name="Comma 2 6 2 5 6" xfId="17933"/>
    <cellStyle name="Comma 2 6 2 5 6 2" xfId="31958"/>
    <cellStyle name="Comma 2 6 2 5 7" xfId="23947"/>
    <cellStyle name="Comma 2 6 2 6" xfId="1162"/>
    <cellStyle name="Comma 2 6 2 6 2" xfId="11912"/>
    <cellStyle name="Comma 2 6 2 6 2 2" xfId="19937"/>
    <cellStyle name="Comma 2 6 2 6 2 2 2" xfId="33962"/>
    <cellStyle name="Comma 2 6 2 6 2 3" xfId="25951"/>
    <cellStyle name="Comma 2 6 2 6 3" xfId="13927"/>
    <cellStyle name="Comma 2 6 2 6 3 2" xfId="21942"/>
    <cellStyle name="Comma 2 6 2 6 3 2 2" xfId="35967"/>
    <cellStyle name="Comma 2 6 2 6 3 3" xfId="27956"/>
    <cellStyle name="Comma 2 6 2 6 4" xfId="15933"/>
    <cellStyle name="Comma 2 6 2 6 4 2" xfId="29958"/>
    <cellStyle name="Comma 2 6 2 6 5" xfId="17935"/>
    <cellStyle name="Comma 2 6 2 6 5 2" xfId="31960"/>
    <cellStyle name="Comma 2 6 2 6 6" xfId="23949"/>
    <cellStyle name="Comma 2 6 2 7" xfId="11893"/>
    <cellStyle name="Comma 2 6 2 7 2" xfId="19918"/>
    <cellStyle name="Comma 2 6 2 7 2 2" xfId="33943"/>
    <cellStyle name="Comma 2 6 2 7 3" xfId="25932"/>
    <cellStyle name="Comma 2 6 2 8" xfId="13908"/>
    <cellStyle name="Comma 2 6 2 8 2" xfId="21923"/>
    <cellStyle name="Comma 2 6 2 8 2 2" xfId="35948"/>
    <cellStyle name="Comma 2 6 2 8 3" xfId="27937"/>
    <cellStyle name="Comma 2 6 2 9" xfId="15914"/>
    <cellStyle name="Comma 2 6 2 9 2" xfId="29939"/>
    <cellStyle name="Comma 2 6 3" xfId="1163"/>
    <cellStyle name="Comma 2 6 3 10" xfId="23950"/>
    <cellStyle name="Comma 2 6 3 2" xfId="1164"/>
    <cellStyle name="Comma 2 6 3 2 2" xfId="1165"/>
    <cellStyle name="Comma 2 6 3 2 2 2" xfId="1166"/>
    <cellStyle name="Comma 2 6 3 2 2 2 2" xfId="11916"/>
    <cellStyle name="Comma 2 6 3 2 2 2 2 2" xfId="19941"/>
    <cellStyle name="Comma 2 6 3 2 2 2 2 2 2" xfId="33966"/>
    <cellStyle name="Comma 2 6 3 2 2 2 2 3" xfId="25955"/>
    <cellStyle name="Comma 2 6 3 2 2 2 3" xfId="13931"/>
    <cellStyle name="Comma 2 6 3 2 2 2 3 2" xfId="21946"/>
    <cellStyle name="Comma 2 6 3 2 2 2 3 2 2" xfId="35971"/>
    <cellStyle name="Comma 2 6 3 2 2 2 3 3" xfId="27960"/>
    <cellStyle name="Comma 2 6 3 2 2 2 4" xfId="15937"/>
    <cellStyle name="Comma 2 6 3 2 2 2 4 2" xfId="29962"/>
    <cellStyle name="Comma 2 6 3 2 2 2 5" xfId="17939"/>
    <cellStyle name="Comma 2 6 3 2 2 2 5 2" xfId="31964"/>
    <cellStyle name="Comma 2 6 3 2 2 2 6" xfId="23953"/>
    <cellStyle name="Comma 2 6 3 2 2 3" xfId="11915"/>
    <cellStyle name="Comma 2 6 3 2 2 3 2" xfId="19940"/>
    <cellStyle name="Comma 2 6 3 2 2 3 2 2" xfId="33965"/>
    <cellStyle name="Comma 2 6 3 2 2 3 3" xfId="25954"/>
    <cellStyle name="Comma 2 6 3 2 2 4" xfId="13930"/>
    <cellStyle name="Comma 2 6 3 2 2 4 2" xfId="21945"/>
    <cellStyle name="Comma 2 6 3 2 2 4 2 2" xfId="35970"/>
    <cellStyle name="Comma 2 6 3 2 2 4 3" xfId="27959"/>
    <cellStyle name="Comma 2 6 3 2 2 5" xfId="15936"/>
    <cellStyle name="Comma 2 6 3 2 2 5 2" xfId="29961"/>
    <cellStyle name="Comma 2 6 3 2 2 6" xfId="17938"/>
    <cellStyle name="Comma 2 6 3 2 2 6 2" xfId="31963"/>
    <cellStyle name="Comma 2 6 3 2 2 7" xfId="23952"/>
    <cellStyle name="Comma 2 6 3 2 3" xfId="1167"/>
    <cellStyle name="Comma 2 6 3 2 3 2" xfId="11917"/>
    <cellStyle name="Comma 2 6 3 2 3 2 2" xfId="19942"/>
    <cellStyle name="Comma 2 6 3 2 3 2 2 2" xfId="33967"/>
    <cellStyle name="Comma 2 6 3 2 3 2 3" xfId="25956"/>
    <cellStyle name="Comma 2 6 3 2 3 3" xfId="13932"/>
    <cellStyle name="Comma 2 6 3 2 3 3 2" xfId="21947"/>
    <cellStyle name="Comma 2 6 3 2 3 3 2 2" xfId="35972"/>
    <cellStyle name="Comma 2 6 3 2 3 3 3" xfId="27961"/>
    <cellStyle name="Comma 2 6 3 2 3 4" xfId="15938"/>
    <cellStyle name="Comma 2 6 3 2 3 4 2" xfId="29963"/>
    <cellStyle name="Comma 2 6 3 2 3 5" xfId="17940"/>
    <cellStyle name="Comma 2 6 3 2 3 5 2" xfId="31965"/>
    <cellStyle name="Comma 2 6 3 2 3 6" xfId="23954"/>
    <cellStyle name="Comma 2 6 3 2 4" xfId="11914"/>
    <cellStyle name="Comma 2 6 3 2 4 2" xfId="19939"/>
    <cellStyle name="Comma 2 6 3 2 4 2 2" xfId="33964"/>
    <cellStyle name="Comma 2 6 3 2 4 3" xfId="25953"/>
    <cellStyle name="Comma 2 6 3 2 5" xfId="13929"/>
    <cellStyle name="Comma 2 6 3 2 5 2" xfId="21944"/>
    <cellStyle name="Comma 2 6 3 2 5 2 2" xfId="35969"/>
    <cellStyle name="Comma 2 6 3 2 5 3" xfId="27958"/>
    <cellStyle name="Comma 2 6 3 2 6" xfId="15935"/>
    <cellStyle name="Comma 2 6 3 2 6 2" xfId="29960"/>
    <cellStyle name="Comma 2 6 3 2 7" xfId="17937"/>
    <cellStyle name="Comma 2 6 3 2 7 2" xfId="31962"/>
    <cellStyle name="Comma 2 6 3 2 8" xfId="23951"/>
    <cellStyle name="Comma 2 6 3 3" xfId="1168"/>
    <cellStyle name="Comma 2 6 3 3 2" xfId="1169"/>
    <cellStyle name="Comma 2 6 3 3 2 2" xfId="11919"/>
    <cellStyle name="Comma 2 6 3 3 2 2 2" xfId="19944"/>
    <cellStyle name="Comma 2 6 3 3 2 2 2 2" xfId="33969"/>
    <cellStyle name="Comma 2 6 3 3 2 2 3" xfId="25958"/>
    <cellStyle name="Comma 2 6 3 3 2 3" xfId="13934"/>
    <cellStyle name="Comma 2 6 3 3 2 3 2" xfId="21949"/>
    <cellStyle name="Comma 2 6 3 3 2 3 2 2" xfId="35974"/>
    <cellStyle name="Comma 2 6 3 3 2 3 3" xfId="27963"/>
    <cellStyle name="Comma 2 6 3 3 2 4" xfId="15940"/>
    <cellStyle name="Comma 2 6 3 3 2 4 2" xfId="29965"/>
    <cellStyle name="Comma 2 6 3 3 2 5" xfId="17942"/>
    <cellStyle name="Comma 2 6 3 3 2 5 2" xfId="31967"/>
    <cellStyle name="Comma 2 6 3 3 2 6" xfId="23956"/>
    <cellStyle name="Comma 2 6 3 3 3" xfId="11918"/>
    <cellStyle name="Comma 2 6 3 3 3 2" xfId="19943"/>
    <cellStyle name="Comma 2 6 3 3 3 2 2" xfId="33968"/>
    <cellStyle name="Comma 2 6 3 3 3 3" xfId="25957"/>
    <cellStyle name="Comma 2 6 3 3 4" xfId="13933"/>
    <cellStyle name="Comma 2 6 3 3 4 2" xfId="21948"/>
    <cellStyle name="Comma 2 6 3 3 4 2 2" xfId="35973"/>
    <cellStyle name="Comma 2 6 3 3 4 3" xfId="27962"/>
    <cellStyle name="Comma 2 6 3 3 5" xfId="15939"/>
    <cellStyle name="Comma 2 6 3 3 5 2" xfId="29964"/>
    <cellStyle name="Comma 2 6 3 3 6" xfId="17941"/>
    <cellStyle name="Comma 2 6 3 3 6 2" xfId="31966"/>
    <cellStyle name="Comma 2 6 3 3 7" xfId="23955"/>
    <cellStyle name="Comma 2 6 3 4" xfId="1170"/>
    <cellStyle name="Comma 2 6 3 4 2" xfId="1171"/>
    <cellStyle name="Comma 2 6 3 4 2 2" xfId="11921"/>
    <cellStyle name="Comma 2 6 3 4 2 2 2" xfId="19946"/>
    <cellStyle name="Comma 2 6 3 4 2 2 2 2" xfId="33971"/>
    <cellStyle name="Comma 2 6 3 4 2 2 3" xfId="25960"/>
    <cellStyle name="Comma 2 6 3 4 2 3" xfId="13936"/>
    <cellStyle name="Comma 2 6 3 4 2 3 2" xfId="21951"/>
    <cellStyle name="Comma 2 6 3 4 2 3 2 2" xfId="35976"/>
    <cellStyle name="Comma 2 6 3 4 2 3 3" xfId="27965"/>
    <cellStyle name="Comma 2 6 3 4 2 4" xfId="15942"/>
    <cellStyle name="Comma 2 6 3 4 2 4 2" xfId="29967"/>
    <cellStyle name="Comma 2 6 3 4 2 5" xfId="17944"/>
    <cellStyle name="Comma 2 6 3 4 2 5 2" xfId="31969"/>
    <cellStyle name="Comma 2 6 3 4 2 6" xfId="23958"/>
    <cellStyle name="Comma 2 6 3 4 3" xfId="11920"/>
    <cellStyle name="Comma 2 6 3 4 3 2" xfId="19945"/>
    <cellStyle name="Comma 2 6 3 4 3 2 2" xfId="33970"/>
    <cellStyle name="Comma 2 6 3 4 3 3" xfId="25959"/>
    <cellStyle name="Comma 2 6 3 4 4" xfId="13935"/>
    <cellStyle name="Comma 2 6 3 4 4 2" xfId="21950"/>
    <cellStyle name="Comma 2 6 3 4 4 2 2" xfId="35975"/>
    <cellStyle name="Comma 2 6 3 4 4 3" xfId="27964"/>
    <cellStyle name="Comma 2 6 3 4 5" xfId="15941"/>
    <cellStyle name="Comma 2 6 3 4 5 2" xfId="29966"/>
    <cellStyle name="Comma 2 6 3 4 6" xfId="17943"/>
    <cellStyle name="Comma 2 6 3 4 6 2" xfId="31968"/>
    <cellStyle name="Comma 2 6 3 4 7" xfId="23957"/>
    <cellStyle name="Comma 2 6 3 5" xfId="1172"/>
    <cellStyle name="Comma 2 6 3 5 2" xfId="11922"/>
    <cellStyle name="Comma 2 6 3 5 2 2" xfId="19947"/>
    <cellStyle name="Comma 2 6 3 5 2 2 2" xfId="33972"/>
    <cellStyle name="Comma 2 6 3 5 2 3" xfId="25961"/>
    <cellStyle name="Comma 2 6 3 5 3" xfId="13937"/>
    <cellStyle name="Comma 2 6 3 5 3 2" xfId="21952"/>
    <cellStyle name="Comma 2 6 3 5 3 2 2" xfId="35977"/>
    <cellStyle name="Comma 2 6 3 5 3 3" xfId="27966"/>
    <cellStyle name="Comma 2 6 3 5 4" xfId="15943"/>
    <cellStyle name="Comma 2 6 3 5 4 2" xfId="29968"/>
    <cellStyle name="Comma 2 6 3 5 5" xfId="17945"/>
    <cellStyle name="Comma 2 6 3 5 5 2" xfId="31970"/>
    <cellStyle name="Comma 2 6 3 5 6" xfId="23959"/>
    <cellStyle name="Comma 2 6 3 6" xfId="11913"/>
    <cellStyle name="Comma 2 6 3 6 2" xfId="19938"/>
    <cellStyle name="Comma 2 6 3 6 2 2" xfId="33963"/>
    <cellStyle name="Comma 2 6 3 6 3" xfId="25952"/>
    <cellStyle name="Comma 2 6 3 7" xfId="13928"/>
    <cellStyle name="Comma 2 6 3 7 2" xfId="21943"/>
    <cellStyle name="Comma 2 6 3 7 2 2" xfId="35968"/>
    <cellStyle name="Comma 2 6 3 7 3" xfId="27957"/>
    <cellStyle name="Comma 2 6 3 8" xfId="15934"/>
    <cellStyle name="Comma 2 6 3 8 2" xfId="29959"/>
    <cellStyle name="Comma 2 6 3 9" xfId="17936"/>
    <cellStyle name="Comma 2 6 3 9 2" xfId="31961"/>
    <cellStyle name="Comma 2 6 4" xfId="1173"/>
    <cellStyle name="Comma 2 6 4 2" xfId="1174"/>
    <cellStyle name="Comma 2 6 4 2 2" xfId="1175"/>
    <cellStyle name="Comma 2 6 4 2 2 2" xfId="11925"/>
    <cellStyle name="Comma 2 6 4 2 2 2 2" xfId="19950"/>
    <cellStyle name="Comma 2 6 4 2 2 2 2 2" xfId="33975"/>
    <cellStyle name="Comma 2 6 4 2 2 2 3" xfId="25964"/>
    <cellStyle name="Comma 2 6 4 2 2 3" xfId="13940"/>
    <cellStyle name="Comma 2 6 4 2 2 3 2" xfId="21955"/>
    <cellStyle name="Comma 2 6 4 2 2 3 2 2" xfId="35980"/>
    <cellStyle name="Comma 2 6 4 2 2 3 3" xfId="27969"/>
    <cellStyle name="Comma 2 6 4 2 2 4" xfId="15946"/>
    <cellStyle name="Comma 2 6 4 2 2 4 2" xfId="29971"/>
    <cellStyle name="Comma 2 6 4 2 2 5" xfId="17948"/>
    <cellStyle name="Comma 2 6 4 2 2 5 2" xfId="31973"/>
    <cellStyle name="Comma 2 6 4 2 2 6" xfId="23962"/>
    <cellStyle name="Comma 2 6 4 2 3" xfId="11924"/>
    <cellStyle name="Comma 2 6 4 2 3 2" xfId="19949"/>
    <cellStyle name="Comma 2 6 4 2 3 2 2" xfId="33974"/>
    <cellStyle name="Comma 2 6 4 2 3 3" xfId="25963"/>
    <cellStyle name="Comma 2 6 4 2 4" xfId="13939"/>
    <cellStyle name="Comma 2 6 4 2 4 2" xfId="21954"/>
    <cellStyle name="Comma 2 6 4 2 4 2 2" xfId="35979"/>
    <cellStyle name="Comma 2 6 4 2 4 3" xfId="27968"/>
    <cellStyle name="Comma 2 6 4 2 5" xfId="15945"/>
    <cellStyle name="Comma 2 6 4 2 5 2" xfId="29970"/>
    <cellStyle name="Comma 2 6 4 2 6" xfId="17947"/>
    <cellStyle name="Comma 2 6 4 2 6 2" xfId="31972"/>
    <cellStyle name="Comma 2 6 4 2 7" xfId="23961"/>
    <cellStyle name="Comma 2 6 4 3" xfId="1176"/>
    <cellStyle name="Comma 2 6 4 3 2" xfId="11926"/>
    <cellStyle name="Comma 2 6 4 3 2 2" xfId="19951"/>
    <cellStyle name="Comma 2 6 4 3 2 2 2" xfId="33976"/>
    <cellStyle name="Comma 2 6 4 3 2 3" xfId="25965"/>
    <cellStyle name="Comma 2 6 4 3 3" xfId="13941"/>
    <cellStyle name="Comma 2 6 4 3 3 2" xfId="21956"/>
    <cellStyle name="Comma 2 6 4 3 3 2 2" xfId="35981"/>
    <cellStyle name="Comma 2 6 4 3 3 3" xfId="27970"/>
    <cellStyle name="Comma 2 6 4 3 4" xfId="15947"/>
    <cellStyle name="Comma 2 6 4 3 4 2" xfId="29972"/>
    <cellStyle name="Comma 2 6 4 3 5" xfId="17949"/>
    <cellStyle name="Comma 2 6 4 3 5 2" xfId="31974"/>
    <cellStyle name="Comma 2 6 4 3 6" xfId="23963"/>
    <cellStyle name="Comma 2 6 4 4" xfId="11923"/>
    <cellStyle name="Comma 2 6 4 4 2" xfId="19948"/>
    <cellStyle name="Comma 2 6 4 4 2 2" xfId="33973"/>
    <cellStyle name="Comma 2 6 4 4 3" xfId="25962"/>
    <cellStyle name="Comma 2 6 4 5" xfId="13938"/>
    <cellStyle name="Comma 2 6 4 5 2" xfId="21953"/>
    <cellStyle name="Comma 2 6 4 5 2 2" xfId="35978"/>
    <cellStyle name="Comma 2 6 4 5 3" xfId="27967"/>
    <cellStyle name="Comma 2 6 4 6" xfId="15944"/>
    <cellStyle name="Comma 2 6 4 6 2" xfId="29969"/>
    <cellStyle name="Comma 2 6 4 7" xfId="17946"/>
    <cellStyle name="Comma 2 6 4 7 2" xfId="31971"/>
    <cellStyle name="Comma 2 6 4 8" xfId="23960"/>
    <cellStyle name="Comma 2 6 5" xfId="1177"/>
    <cellStyle name="Comma 2 6 5 2" xfId="1178"/>
    <cellStyle name="Comma 2 6 5 2 2" xfId="11928"/>
    <cellStyle name="Comma 2 6 5 2 2 2" xfId="19953"/>
    <cellStyle name="Comma 2 6 5 2 2 2 2" xfId="33978"/>
    <cellStyle name="Comma 2 6 5 2 2 3" xfId="25967"/>
    <cellStyle name="Comma 2 6 5 2 3" xfId="13943"/>
    <cellStyle name="Comma 2 6 5 2 3 2" xfId="21958"/>
    <cellStyle name="Comma 2 6 5 2 3 2 2" xfId="35983"/>
    <cellStyle name="Comma 2 6 5 2 3 3" xfId="27972"/>
    <cellStyle name="Comma 2 6 5 2 4" xfId="15949"/>
    <cellStyle name="Comma 2 6 5 2 4 2" xfId="29974"/>
    <cellStyle name="Comma 2 6 5 2 5" xfId="17951"/>
    <cellStyle name="Comma 2 6 5 2 5 2" xfId="31976"/>
    <cellStyle name="Comma 2 6 5 2 6" xfId="23965"/>
    <cellStyle name="Comma 2 6 5 3" xfId="11927"/>
    <cellStyle name="Comma 2 6 5 3 2" xfId="19952"/>
    <cellStyle name="Comma 2 6 5 3 2 2" xfId="33977"/>
    <cellStyle name="Comma 2 6 5 3 3" xfId="25966"/>
    <cellStyle name="Comma 2 6 5 4" xfId="13942"/>
    <cellStyle name="Comma 2 6 5 4 2" xfId="21957"/>
    <cellStyle name="Comma 2 6 5 4 2 2" xfId="35982"/>
    <cellStyle name="Comma 2 6 5 4 3" xfId="27971"/>
    <cellStyle name="Comma 2 6 5 5" xfId="15948"/>
    <cellStyle name="Comma 2 6 5 5 2" xfId="29973"/>
    <cellStyle name="Comma 2 6 5 6" xfId="17950"/>
    <cellStyle name="Comma 2 6 5 6 2" xfId="31975"/>
    <cellStyle name="Comma 2 6 5 7" xfId="23964"/>
    <cellStyle name="Comma 2 6 6" xfId="1179"/>
    <cellStyle name="Comma 2 6 6 2" xfId="1180"/>
    <cellStyle name="Comma 2 6 6 2 2" xfId="11930"/>
    <cellStyle name="Comma 2 6 6 2 2 2" xfId="19955"/>
    <cellStyle name="Comma 2 6 6 2 2 2 2" xfId="33980"/>
    <cellStyle name="Comma 2 6 6 2 2 3" xfId="25969"/>
    <cellStyle name="Comma 2 6 6 2 3" xfId="13945"/>
    <cellStyle name="Comma 2 6 6 2 3 2" xfId="21960"/>
    <cellStyle name="Comma 2 6 6 2 3 2 2" xfId="35985"/>
    <cellStyle name="Comma 2 6 6 2 3 3" xfId="27974"/>
    <cellStyle name="Comma 2 6 6 2 4" xfId="15951"/>
    <cellStyle name="Comma 2 6 6 2 4 2" xfId="29976"/>
    <cellStyle name="Comma 2 6 6 2 5" xfId="17953"/>
    <cellStyle name="Comma 2 6 6 2 5 2" xfId="31978"/>
    <cellStyle name="Comma 2 6 6 2 6" xfId="23967"/>
    <cellStyle name="Comma 2 6 6 3" xfId="11929"/>
    <cellStyle name="Comma 2 6 6 3 2" xfId="19954"/>
    <cellStyle name="Comma 2 6 6 3 2 2" xfId="33979"/>
    <cellStyle name="Comma 2 6 6 3 3" xfId="25968"/>
    <cellStyle name="Comma 2 6 6 4" xfId="13944"/>
    <cellStyle name="Comma 2 6 6 4 2" xfId="21959"/>
    <cellStyle name="Comma 2 6 6 4 2 2" xfId="35984"/>
    <cellStyle name="Comma 2 6 6 4 3" xfId="27973"/>
    <cellStyle name="Comma 2 6 6 5" xfId="15950"/>
    <cellStyle name="Comma 2 6 6 5 2" xfId="29975"/>
    <cellStyle name="Comma 2 6 6 6" xfId="17952"/>
    <cellStyle name="Comma 2 6 6 6 2" xfId="31977"/>
    <cellStyle name="Comma 2 6 6 7" xfId="23966"/>
    <cellStyle name="Comma 2 6 7" xfId="1181"/>
    <cellStyle name="Comma 2 6 7 2" xfId="11931"/>
    <cellStyle name="Comma 2 6 7 2 2" xfId="19956"/>
    <cellStyle name="Comma 2 6 7 2 2 2" xfId="33981"/>
    <cellStyle name="Comma 2 6 7 2 3" xfId="25970"/>
    <cellStyle name="Comma 2 6 7 3" xfId="13946"/>
    <cellStyle name="Comma 2 6 7 3 2" xfId="21961"/>
    <cellStyle name="Comma 2 6 7 3 2 2" xfId="35986"/>
    <cellStyle name="Comma 2 6 7 3 3" xfId="27975"/>
    <cellStyle name="Comma 2 6 7 4" xfId="15952"/>
    <cellStyle name="Comma 2 6 7 4 2" xfId="29977"/>
    <cellStyle name="Comma 2 6 7 5" xfId="17954"/>
    <cellStyle name="Comma 2 6 7 5 2" xfId="31979"/>
    <cellStyle name="Comma 2 6 7 6" xfId="23968"/>
    <cellStyle name="Comma 2 6 8" xfId="11892"/>
    <cellStyle name="Comma 2 6 8 2" xfId="19917"/>
    <cellStyle name="Comma 2 6 8 2 2" xfId="33942"/>
    <cellStyle name="Comma 2 6 8 3" xfId="25931"/>
    <cellStyle name="Comma 2 6 9" xfId="13907"/>
    <cellStyle name="Comma 2 6 9 2" xfId="21922"/>
    <cellStyle name="Comma 2 6 9 2 2" xfId="35947"/>
    <cellStyle name="Comma 2 6 9 3" xfId="27936"/>
    <cellStyle name="Comma 2 7" xfId="1182"/>
    <cellStyle name="Comma 2 7 2" xfId="11932"/>
    <cellStyle name="Comma 2 7 2 2" xfId="19957"/>
    <cellStyle name="Comma 2 7 2 2 2" xfId="33982"/>
    <cellStyle name="Comma 2 7 2 3" xfId="25971"/>
    <cellStyle name="Comma 2 7 3" xfId="13947"/>
    <cellStyle name="Comma 2 7 3 2" xfId="21962"/>
    <cellStyle name="Comma 2 7 3 2 2" xfId="35987"/>
    <cellStyle name="Comma 2 7 3 3" xfId="27976"/>
    <cellStyle name="Comma 2 7 4" xfId="15953"/>
    <cellStyle name="Comma 2 7 4 2" xfId="29978"/>
    <cellStyle name="Comma 2 7 5" xfId="17955"/>
    <cellStyle name="Comma 2 7 5 2" xfId="31980"/>
    <cellStyle name="Comma 2 7 6" xfId="23969"/>
    <cellStyle name="Comma 20" xfId="1183"/>
    <cellStyle name="Comma 20 2" xfId="1184"/>
    <cellStyle name="Comma 21" xfId="1185"/>
    <cellStyle name="Comma 21 2" xfId="1186"/>
    <cellStyle name="Comma 22" xfId="1187"/>
    <cellStyle name="Comma 23" xfId="1188"/>
    <cellStyle name="Comma 24" xfId="1189"/>
    <cellStyle name="Comma 25" xfId="1190"/>
    <cellStyle name="Comma 26" xfId="11281"/>
    <cellStyle name="Comma 26 2" xfId="13644"/>
    <cellStyle name="Comma 26 3" xfId="15654"/>
    <cellStyle name="Comma 26 3 2" xfId="23669"/>
    <cellStyle name="Comma 27" xfId="11300"/>
    <cellStyle name="Comma 27 2" xfId="13646"/>
    <cellStyle name="Comma 27 3" xfId="15656"/>
    <cellStyle name="Comma 27 3 2" xfId="23671"/>
    <cellStyle name="Comma 3" xfId="407"/>
    <cellStyle name="Comma 3 2" xfId="408"/>
    <cellStyle name="Comma 3 3" xfId="409"/>
    <cellStyle name="Comma 3 4" xfId="410"/>
    <cellStyle name="Comma 4" xfId="411"/>
    <cellStyle name="Comma 4 2" xfId="412"/>
    <cellStyle name="Comma 4 2 2" xfId="413"/>
    <cellStyle name="Comma 4 3" xfId="414"/>
    <cellStyle name="Comma 5" xfId="415"/>
    <cellStyle name="Comma 5 10" xfId="1191"/>
    <cellStyle name="Comma 5 10 2" xfId="11933"/>
    <cellStyle name="Comma 5 10 2 2" xfId="19958"/>
    <cellStyle name="Comma 5 10 2 2 2" xfId="33983"/>
    <cellStyle name="Comma 5 10 2 3" xfId="25972"/>
    <cellStyle name="Comma 5 10 3" xfId="13948"/>
    <cellStyle name="Comma 5 10 3 2" xfId="21963"/>
    <cellStyle name="Comma 5 10 3 2 2" xfId="35988"/>
    <cellStyle name="Comma 5 10 3 3" xfId="27977"/>
    <cellStyle name="Comma 5 10 4" xfId="15954"/>
    <cellStyle name="Comma 5 10 4 2" xfId="29979"/>
    <cellStyle name="Comma 5 10 5" xfId="17956"/>
    <cellStyle name="Comma 5 10 5 2" xfId="31981"/>
    <cellStyle name="Comma 5 10 6" xfId="23970"/>
    <cellStyle name="Comma 5 11" xfId="11615"/>
    <cellStyle name="Comma 5 2" xfId="416"/>
    <cellStyle name="Comma 5 2 2" xfId="417"/>
    <cellStyle name="Comma 5 2 2 2" xfId="11617"/>
    <cellStyle name="Comma 5 2 3" xfId="11616"/>
    <cellStyle name="Comma 5 3" xfId="418"/>
    <cellStyle name="Comma 5 4" xfId="1192"/>
    <cellStyle name="Comma 5 4 10" xfId="15955"/>
    <cellStyle name="Comma 5 4 10 2" xfId="29980"/>
    <cellStyle name="Comma 5 4 11" xfId="17957"/>
    <cellStyle name="Comma 5 4 11 2" xfId="31982"/>
    <cellStyle name="Comma 5 4 12" xfId="23971"/>
    <cellStyle name="Comma 5 4 2" xfId="1193"/>
    <cellStyle name="Comma 5 4 2 10" xfId="17958"/>
    <cellStyle name="Comma 5 4 2 10 2" xfId="31983"/>
    <cellStyle name="Comma 5 4 2 11" xfId="23972"/>
    <cellStyle name="Comma 5 4 2 2" xfId="1194"/>
    <cellStyle name="Comma 5 4 2 2 10" xfId="23973"/>
    <cellStyle name="Comma 5 4 2 2 2" xfId="1195"/>
    <cellStyle name="Comma 5 4 2 2 2 2" xfId="1196"/>
    <cellStyle name="Comma 5 4 2 2 2 2 2" xfId="1197"/>
    <cellStyle name="Comma 5 4 2 2 2 2 2 2" xfId="11939"/>
    <cellStyle name="Comma 5 4 2 2 2 2 2 2 2" xfId="19964"/>
    <cellStyle name="Comma 5 4 2 2 2 2 2 2 2 2" xfId="33989"/>
    <cellStyle name="Comma 5 4 2 2 2 2 2 2 3" xfId="25978"/>
    <cellStyle name="Comma 5 4 2 2 2 2 2 3" xfId="13954"/>
    <cellStyle name="Comma 5 4 2 2 2 2 2 3 2" xfId="21969"/>
    <cellStyle name="Comma 5 4 2 2 2 2 2 3 2 2" xfId="35994"/>
    <cellStyle name="Comma 5 4 2 2 2 2 2 3 3" xfId="27983"/>
    <cellStyle name="Comma 5 4 2 2 2 2 2 4" xfId="15960"/>
    <cellStyle name="Comma 5 4 2 2 2 2 2 4 2" xfId="29985"/>
    <cellStyle name="Comma 5 4 2 2 2 2 2 5" xfId="17962"/>
    <cellStyle name="Comma 5 4 2 2 2 2 2 5 2" xfId="31987"/>
    <cellStyle name="Comma 5 4 2 2 2 2 2 6" xfId="23976"/>
    <cellStyle name="Comma 5 4 2 2 2 2 3" xfId="11938"/>
    <cellStyle name="Comma 5 4 2 2 2 2 3 2" xfId="19963"/>
    <cellStyle name="Comma 5 4 2 2 2 2 3 2 2" xfId="33988"/>
    <cellStyle name="Comma 5 4 2 2 2 2 3 3" xfId="25977"/>
    <cellStyle name="Comma 5 4 2 2 2 2 4" xfId="13953"/>
    <cellStyle name="Comma 5 4 2 2 2 2 4 2" xfId="21968"/>
    <cellStyle name="Comma 5 4 2 2 2 2 4 2 2" xfId="35993"/>
    <cellStyle name="Comma 5 4 2 2 2 2 4 3" xfId="27982"/>
    <cellStyle name="Comma 5 4 2 2 2 2 5" xfId="15959"/>
    <cellStyle name="Comma 5 4 2 2 2 2 5 2" xfId="29984"/>
    <cellStyle name="Comma 5 4 2 2 2 2 6" xfId="17961"/>
    <cellStyle name="Comma 5 4 2 2 2 2 6 2" xfId="31986"/>
    <cellStyle name="Comma 5 4 2 2 2 2 7" xfId="23975"/>
    <cellStyle name="Comma 5 4 2 2 2 3" xfId="1198"/>
    <cellStyle name="Comma 5 4 2 2 2 3 2" xfId="11940"/>
    <cellStyle name="Comma 5 4 2 2 2 3 2 2" xfId="19965"/>
    <cellStyle name="Comma 5 4 2 2 2 3 2 2 2" xfId="33990"/>
    <cellStyle name="Comma 5 4 2 2 2 3 2 3" xfId="25979"/>
    <cellStyle name="Comma 5 4 2 2 2 3 3" xfId="13955"/>
    <cellStyle name="Comma 5 4 2 2 2 3 3 2" xfId="21970"/>
    <cellStyle name="Comma 5 4 2 2 2 3 3 2 2" xfId="35995"/>
    <cellStyle name="Comma 5 4 2 2 2 3 3 3" xfId="27984"/>
    <cellStyle name="Comma 5 4 2 2 2 3 4" xfId="15961"/>
    <cellStyle name="Comma 5 4 2 2 2 3 4 2" xfId="29986"/>
    <cellStyle name="Comma 5 4 2 2 2 3 5" xfId="17963"/>
    <cellStyle name="Comma 5 4 2 2 2 3 5 2" xfId="31988"/>
    <cellStyle name="Comma 5 4 2 2 2 3 6" xfId="23977"/>
    <cellStyle name="Comma 5 4 2 2 2 4" xfId="11937"/>
    <cellStyle name="Comma 5 4 2 2 2 4 2" xfId="19962"/>
    <cellStyle name="Comma 5 4 2 2 2 4 2 2" xfId="33987"/>
    <cellStyle name="Comma 5 4 2 2 2 4 3" xfId="25976"/>
    <cellStyle name="Comma 5 4 2 2 2 5" xfId="13952"/>
    <cellStyle name="Comma 5 4 2 2 2 5 2" xfId="21967"/>
    <cellStyle name="Comma 5 4 2 2 2 5 2 2" xfId="35992"/>
    <cellStyle name="Comma 5 4 2 2 2 5 3" xfId="27981"/>
    <cellStyle name="Comma 5 4 2 2 2 6" xfId="15958"/>
    <cellStyle name="Comma 5 4 2 2 2 6 2" xfId="29983"/>
    <cellStyle name="Comma 5 4 2 2 2 7" xfId="17960"/>
    <cellStyle name="Comma 5 4 2 2 2 7 2" xfId="31985"/>
    <cellStyle name="Comma 5 4 2 2 2 8" xfId="23974"/>
    <cellStyle name="Comma 5 4 2 2 3" xfId="1199"/>
    <cellStyle name="Comma 5 4 2 2 3 2" xfId="1200"/>
    <cellStyle name="Comma 5 4 2 2 3 2 2" xfId="11942"/>
    <cellStyle name="Comma 5 4 2 2 3 2 2 2" xfId="19967"/>
    <cellStyle name="Comma 5 4 2 2 3 2 2 2 2" xfId="33992"/>
    <cellStyle name="Comma 5 4 2 2 3 2 2 3" xfId="25981"/>
    <cellStyle name="Comma 5 4 2 2 3 2 3" xfId="13957"/>
    <cellStyle name="Comma 5 4 2 2 3 2 3 2" xfId="21972"/>
    <cellStyle name="Comma 5 4 2 2 3 2 3 2 2" xfId="35997"/>
    <cellStyle name="Comma 5 4 2 2 3 2 3 3" xfId="27986"/>
    <cellStyle name="Comma 5 4 2 2 3 2 4" xfId="15963"/>
    <cellStyle name="Comma 5 4 2 2 3 2 4 2" xfId="29988"/>
    <cellStyle name="Comma 5 4 2 2 3 2 5" xfId="17965"/>
    <cellStyle name="Comma 5 4 2 2 3 2 5 2" xfId="31990"/>
    <cellStyle name="Comma 5 4 2 2 3 2 6" xfId="23979"/>
    <cellStyle name="Comma 5 4 2 2 3 3" xfId="11941"/>
    <cellStyle name="Comma 5 4 2 2 3 3 2" xfId="19966"/>
    <cellStyle name="Comma 5 4 2 2 3 3 2 2" xfId="33991"/>
    <cellStyle name="Comma 5 4 2 2 3 3 3" xfId="25980"/>
    <cellStyle name="Comma 5 4 2 2 3 4" xfId="13956"/>
    <cellStyle name="Comma 5 4 2 2 3 4 2" xfId="21971"/>
    <cellStyle name="Comma 5 4 2 2 3 4 2 2" xfId="35996"/>
    <cellStyle name="Comma 5 4 2 2 3 4 3" xfId="27985"/>
    <cellStyle name="Comma 5 4 2 2 3 5" xfId="15962"/>
    <cellStyle name="Comma 5 4 2 2 3 5 2" xfId="29987"/>
    <cellStyle name="Comma 5 4 2 2 3 6" xfId="17964"/>
    <cellStyle name="Comma 5 4 2 2 3 6 2" xfId="31989"/>
    <cellStyle name="Comma 5 4 2 2 3 7" xfId="23978"/>
    <cellStyle name="Comma 5 4 2 2 4" xfId="1201"/>
    <cellStyle name="Comma 5 4 2 2 4 2" xfId="1202"/>
    <cellStyle name="Comma 5 4 2 2 4 2 2" xfId="11944"/>
    <cellStyle name="Comma 5 4 2 2 4 2 2 2" xfId="19969"/>
    <cellStyle name="Comma 5 4 2 2 4 2 2 2 2" xfId="33994"/>
    <cellStyle name="Comma 5 4 2 2 4 2 2 3" xfId="25983"/>
    <cellStyle name="Comma 5 4 2 2 4 2 3" xfId="13959"/>
    <cellStyle name="Comma 5 4 2 2 4 2 3 2" xfId="21974"/>
    <cellStyle name="Comma 5 4 2 2 4 2 3 2 2" xfId="35999"/>
    <cellStyle name="Comma 5 4 2 2 4 2 3 3" xfId="27988"/>
    <cellStyle name="Comma 5 4 2 2 4 2 4" xfId="15965"/>
    <cellStyle name="Comma 5 4 2 2 4 2 4 2" xfId="29990"/>
    <cellStyle name="Comma 5 4 2 2 4 2 5" xfId="17967"/>
    <cellStyle name="Comma 5 4 2 2 4 2 5 2" xfId="31992"/>
    <cellStyle name="Comma 5 4 2 2 4 2 6" xfId="23981"/>
    <cellStyle name="Comma 5 4 2 2 4 3" xfId="11943"/>
    <cellStyle name="Comma 5 4 2 2 4 3 2" xfId="19968"/>
    <cellStyle name="Comma 5 4 2 2 4 3 2 2" xfId="33993"/>
    <cellStyle name="Comma 5 4 2 2 4 3 3" xfId="25982"/>
    <cellStyle name="Comma 5 4 2 2 4 4" xfId="13958"/>
    <cellStyle name="Comma 5 4 2 2 4 4 2" xfId="21973"/>
    <cellStyle name="Comma 5 4 2 2 4 4 2 2" xfId="35998"/>
    <cellStyle name="Comma 5 4 2 2 4 4 3" xfId="27987"/>
    <cellStyle name="Comma 5 4 2 2 4 5" xfId="15964"/>
    <cellStyle name="Comma 5 4 2 2 4 5 2" xfId="29989"/>
    <cellStyle name="Comma 5 4 2 2 4 6" xfId="17966"/>
    <cellStyle name="Comma 5 4 2 2 4 6 2" xfId="31991"/>
    <cellStyle name="Comma 5 4 2 2 4 7" xfId="23980"/>
    <cellStyle name="Comma 5 4 2 2 5" xfId="1203"/>
    <cellStyle name="Comma 5 4 2 2 5 2" xfId="11945"/>
    <cellStyle name="Comma 5 4 2 2 5 2 2" xfId="19970"/>
    <cellStyle name="Comma 5 4 2 2 5 2 2 2" xfId="33995"/>
    <cellStyle name="Comma 5 4 2 2 5 2 3" xfId="25984"/>
    <cellStyle name="Comma 5 4 2 2 5 3" xfId="13960"/>
    <cellStyle name="Comma 5 4 2 2 5 3 2" xfId="21975"/>
    <cellStyle name="Comma 5 4 2 2 5 3 2 2" xfId="36000"/>
    <cellStyle name="Comma 5 4 2 2 5 3 3" xfId="27989"/>
    <cellStyle name="Comma 5 4 2 2 5 4" xfId="15966"/>
    <cellStyle name="Comma 5 4 2 2 5 4 2" xfId="29991"/>
    <cellStyle name="Comma 5 4 2 2 5 5" xfId="17968"/>
    <cellStyle name="Comma 5 4 2 2 5 5 2" xfId="31993"/>
    <cellStyle name="Comma 5 4 2 2 5 6" xfId="23982"/>
    <cellStyle name="Comma 5 4 2 2 6" xfId="11936"/>
    <cellStyle name="Comma 5 4 2 2 6 2" xfId="19961"/>
    <cellStyle name="Comma 5 4 2 2 6 2 2" xfId="33986"/>
    <cellStyle name="Comma 5 4 2 2 6 3" xfId="25975"/>
    <cellStyle name="Comma 5 4 2 2 7" xfId="13951"/>
    <cellStyle name="Comma 5 4 2 2 7 2" xfId="21966"/>
    <cellStyle name="Comma 5 4 2 2 7 2 2" xfId="35991"/>
    <cellStyle name="Comma 5 4 2 2 7 3" xfId="27980"/>
    <cellStyle name="Comma 5 4 2 2 8" xfId="15957"/>
    <cellStyle name="Comma 5 4 2 2 8 2" xfId="29982"/>
    <cellStyle name="Comma 5 4 2 2 9" xfId="17959"/>
    <cellStyle name="Comma 5 4 2 2 9 2" xfId="31984"/>
    <cellStyle name="Comma 5 4 2 3" xfId="1204"/>
    <cellStyle name="Comma 5 4 2 3 2" xfId="1205"/>
    <cellStyle name="Comma 5 4 2 3 2 2" xfId="1206"/>
    <cellStyle name="Comma 5 4 2 3 2 2 2" xfId="11948"/>
    <cellStyle name="Comma 5 4 2 3 2 2 2 2" xfId="19973"/>
    <cellStyle name="Comma 5 4 2 3 2 2 2 2 2" xfId="33998"/>
    <cellStyle name="Comma 5 4 2 3 2 2 2 3" xfId="25987"/>
    <cellStyle name="Comma 5 4 2 3 2 2 3" xfId="13963"/>
    <cellStyle name="Comma 5 4 2 3 2 2 3 2" xfId="21978"/>
    <cellStyle name="Comma 5 4 2 3 2 2 3 2 2" xfId="36003"/>
    <cellStyle name="Comma 5 4 2 3 2 2 3 3" xfId="27992"/>
    <cellStyle name="Comma 5 4 2 3 2 2 4" xfId="15969"/>
    <cellStyle name="Comma 5 4 2 3 2 2 4 2" xfId="29994"/>
    <cellStyle name="Comma 5 4 2 3 2 2 5" xfId="17971"/>
    <cellStyle name="Comma 5 4 2 3 2 2 5 2" xfId="31996"/>
    <cellStyle name="Comma 5 4 2 3 2 2 6" xfId="23985"/>
    <cellStyle name="Comma 5 4 2 3 2 3" xfId="11947"/>
    <cellStyle name="Comma 5 4 2 3 2 3 2" xfId="19972"/>
    <cellStyle name="Comma 5 4 2 3 2 3 2 2" xfId="33997"/>
    <cellStyle name="Comma 5 4 2 3 2 3 3" xfId="25986"/>
    <cellStyle name="Comma 5 4 2 3 2 4" xfId="13962"/>
    <cellStyle name="Comma 5 4 2 3 2 4 2" xfId="21977"/>
    <cellStyle name="Comma 5 4 2 3 2 4 2 2" xfId="36002"/>
    <cellStyle name="Comma 5 4 2 3 2 4 3" xfId="27991"/>
    <cellStyle name="Comma 5 4 2 3 2 5" xfId="15968"/>
    <cellStyle name="Comma 5 4 2 3 2 5 2" xfId="29993"/>
    <cellStyle name="Comma 5 4 2 3 2 6" xfId="17970"/>
    <cellStyle name="Comma 5 4 2 3 2 6 2" xfId="31995"/>
    <cellStyle name="Comma 5 4 2 3 2 7" xfId="23984"/>
    <cellStyle name="Comma 5 4 2 3 3" xfId="1207"/>
    <cellStyle name="Comma 5 4 2 3 3 2" xfId="11949"/>
    <cellStyle name="Comma 5 4 2 3 3 2 2" xfId="19974"/>
    <cellStyle name="Comma 5 4 2 3 3 2 2 2" xfId="33999"/>
    <cellStyle name="Comma 5 4 2 3 3 2 3" xfId="25988"/>
    <cellStyle name="Comma 5 4 2 3 3 3" xfId="13964"/>
    <cellStyle name="Comma 5 4 2 3 3 3 2" xfId="21979"/>
    <cellStyle name="Comma 5 4 2 3 3 3 2 2" xfId="36004"/>
    <cellStyle name="Comma 5 4 2 3 3 3 3" xfId="27993"/>
    <cellStyle name="Comma 5 4 2 3 3 4" xfId="15970"/>
    <cellStyle name="Comma 5 4 2 3 3 4 2" xfId="29995"/>
    <cellStyle name="Comma 5 4 2 3 3 5" xfId="17972"/>
    <cellStyle name="Comma 5 4 2 3 3 5 2" xfId="31997"/>
    <cellStyle name="Comma 5 4 2 3 3 6" xfId="23986"/>
    <cellStyle name="Comma 5 4 2 3 4" xfId="11946"/>
    <cellStyle name="Comma 5 4 2 3 4 2" xfId="19971"/>
    <cellStyle name="Comma 5 4 2 3 4 2 2" xfId="33996"/>
    <cellStyle name="Comma 5 4 2 3 4 3" xfId="25985"/>
    <cellStyle name="Comma 5 4 2 3 5" xfId="13961"/>
    <cellStyle name="Comma 5 4 2 3 5 2" xfId="21976"/>
    <cellStyle name="Comma 5 4 2 3 5 2 2" xfId="36001"/>
    <cellStyle name="Comma 5 4 2 3 5 3" xfId="27990"/>
    <cellStyle name="Comma 5 4 2 3 6" xfId="15967"/>
    <cellStyle name="Comma 5 4 2 3 6 2" xfId="29992"/>
    <cellStyle name="Comma 5 4 2 3 7" xfId="17969"/>
    <cellStyle name="Comma 5 4 2 3 7 2" xfId="31994"/>
    <cellStyle name="Comma 5 4 2 3 8" xfId="23983"/>
    <cellStyle name="Comma 5 4 2 4" xfId="1208"/>
    <cellStyle name="Comma 5 4 2 4 2" xfId="1209"/>
    <cellStyle name="Comma 5 4 2 4 2 2" xfId="11951"/>
    <cellStyle name="Comma 5 4 2 4 2 2 2" xfId="19976"/>
    <cellStyle name="Comma 5 4 2 4 2 2 2 2" xfId="34001"/>
    <cellStyle name="Comma 5 4 2 4 2 2 3" xfId="25990"/>
    <cellStyle name="Comma 5 4 2 4 2 3" xfId="13966"/>
    <cellStyle name="Comma 5 4 2 4 2 3 2" xfId="21981"/>
    <cellStyle name="Comma 5 4 2 4 2 3 2 2" xfId="36006"/>
    <cellStyle name="Comma 5 4 2 4 2 3 3" xfId="27995"/>
    <cellStyle name="Comma 5 4 2 4 2 4" xfId="15972"/>
    <cellStyle name="Comma 5 4 2 4 2 4 2" xfId="29997"/>
    <cellStyle name="Comma 5 4 2 4 2 5" xfId="17974"/>
    <cellStyle name="Comma 5 4 2 4 2 5 2" xfId="31999"/>
    <cellStyle name="Comma 5 4 2 4 2 6" xfId="23988"/>
    <cellStyle name="Comma 5 4 2 4 3" xfId="11950"/>
    <cellStyle name="Comma 5 4 2 4 3 2" xfId="19975"/>
    <cellStyle name="Comma 5 4 2 4 3 2 2" xfId="34000"/>
    <cellStyle name="Comma 5 4 2 4 3 3" xfId="25989"/>
    <cellStyle name="Comma 5 4 2 4 4" xfId="13965"/>
    <cellStyle name="Comma 5 4 2 4 4 2" xfId="21980"/>
    <cellStyle name="Comma 5 4 2 4 4 2 2" xfId="36005"/>
    <cellStyle name="Comma 5 4 2 4 4 3" xfId="27994"/>
    <cellStyle name="Comma 5 4 2 4 5" xfId="15971"/>
    <cellStyle name="Comma 5 4 2 4 5 2" xfId="29996"/>
    <cellStyle name="Comma 5 4 2 4 6" xfId="17973"/>
    <cellStyle name="Comma 5 4 2 4 6 2" xfId="31998"/>
    <cellStyle name="Comma 5 4 2 4 7" xfId="23987"/>
    <cellStyle name="Comma 5 4 2 5" xfId="1210"/>
    <cellStyle name="Comma 5 4 2 5 2" xfId="1211"/>
    <cellStyle name="Comma 5 4 2 5 2 2" xfId="11953"/>
    <cellStyle name="Comma 5 4 2 5 2 2 2" xfId="19978"/>
    <cellStyle name="Comma 5 4 2 5 2 2 2 2" xfId="34003"/>
    <cellStyle name="Comma 5 4 2 5 2 2 3" xfId="25992"/>
    <cellStyle name="Comma 5 4 2 5 2 3" xfId="13968"/>
    <cellStyle name="Comma 5 4 2 5 2 3 2" xfId="21983"/>
    <cellStyle name="Comma 5 4 2 5 2 3 2 2" xfId="36008"/>
    <cellStyle name="Comma 5 4 2 5 2 3 3" xfId="27997"/>
    <cellStyle name="Comma 5 4 2 5 2 4" xfId="15974"/>
    <cellStyle name="Comma 5 4 2 5 2 4 2" xfId="29999"/>
    <cellStyle name="Comma 5 4 2 5 2 5" xfId="17976"/>
    <cellStyle name="Comma 5 4 2 5 2 5 2" xfId="32001"/>
    <cellStyle name="Comma 5 4 2 5 2 6" xfId="23990"/>
    <cellStyle name="Comma 5 4 2 5 3" xfId="11952"/>
    <cellStyle name="Comma 5 4 2 5 3 2" xfId="19977"/>
    <cellStyle name="Comma 5 4 2 5 3 2 2" xfId="34002"/>
    <cellStyle name="Comma 5 4 2 5 3 3" xfId="25991"/>
    <cellStyle name="Comma 5 4 2 5 4" xfId="13967"/>
    <cellStyle name="Comma 5 4 2 5 4 2" xfId="21982"/>
    <cellStyle name="Comma 5 4 2 5 4 2 2" xfId="36007"/>
    <cellStyle name="Comma 5 4 2 5 4 3" xfId="27996"/>
    <cellStyle name="Comma 5 4 2 5 5" xfId="15973"/>
    <cellStyle name="Comma 5 4 2 5 5 2" xfId="29998"/>
    <cellStyle name="Comma 5 4 2 5 6" xfId="17975"/>
    <cellStyle name="Comma 5 4 2 5 6 2" xfId="32000"/>
    <cellStyle name="Comma 5 4 2 5 7" xfId="23989"/>
    <cellStyle name="Comma 5 4 2 6" xfId="1212"/>
    <cellStyle name="Comma 5 4 2 6 2" xfId="11954"/>
    <cellStyle name="Comma 5 4 2 6 2 2" xfId="19979"/>
    <cellStyle name="Comma 5 4 2 6 2 2 2" xfId="34004"/>
    <cellStyle name="Comma 5 4 2 6 2 3" xfId="25993"/>
    <cellStyle name="Comma 5 4 2 6 3" xfId="13969"/>
    <cellStyle name="Comma 5 4 2 6 3 2" xfId="21984"/>
    <cellStyle name="Comma 5 4 2 6 3 2 2" xfId="36009"/>
    <cellStyle name="Comma 5 4 2 6 3 3" xfId="27998"/>
    <cellStyle name="Comma 5 4 2 6 4" xfId="15975"/>
    <cellStyle name="Comma 5 4 2 6 4 2" xfId="30000"/>
    <cellStyle name="Comma 5 4 2 6 5" xfId="17977"/>
    <cellStyle name="Comma 5 4 2 6 5 2" xfId="32002"/>
    <cellStyle name="Comma 5 4 2 6 6" xfId="23991"/>
    <cellStyle name="Comma 5 4 2 7" xfId="11935"/>
    <cellStyle name="Comma 5 4 2 7 2" xfId="19960"/>
    <cellStyle name="Comma 5 4 2 7 2 2" xfId="33985"/>
    <cellStyle name="Comma 5 4 2 7 3" xfId="25974"/>
    <cellStyle name="Comma 5 4 2 8" xfId="13950"/>
    <cellStyle name="Comma 5 4 2 8 2" xfId="21965"/>
    <cellStyle name="Comma 5 4 2 8 2 2" xfId="35990"/>
    <cellStyle name="Comma 5 4 2 8 3" xfId="27979"/>
    <cellStyle name="Comma 5 4 2 9" xfId="15956"/>
    <cellStyle name="Comma 5 4 2 9 2" xfId="29981"/>
    <cellStyle name="Comma 5 4 3" xfId="1213"/>
    <cellStyle name="Comma 5 4 3 10" xfId="23992"/>
    <cellStyle name="Comma 5 4 3 2" xfId="1214"/>
    <cellStyle name="Comma 5 4 3 2 2" xfId="1215"/>
    <cellStyle name="Comma 5 4 3 2 2 2" xfId="1216"/>
    <cellStyle name="Comma 5 4 3 2 2 2 2" xfId="11958"/>
    <cellStyle name="Comma 5 4 3 2 2 2 2 2" xfId="19983"/>
    <cellStyle name="Comma 5 4 3 2 2 2 2 2 2" xfId="34008"/>
    <cellStyle name="Comma 5 4 3 2 2 2 2 3" xfId="25997"/>
    <cellStyle name="Comma 5 4 3 2 2 2 3" xfId="13973"/>
    <cellStyle name="Comma 5 4 3 2 2 2 3 2" xfId="21988"/>
    <cellStyle name="Comma 5 4 3 2 2 2 3 2 2" xfId="36013"/>
    <cellStyle name="Comma 5 4 3 2 2 2 3 3" xfId="28002"/>
    <cellStyle name="Comma 5 4 3 2 2 2 4" xfId="15979"/>
    <cellStyle name="Comma 5 4 3 2 2 2 4 2" xfId="30004"/>
    <cellStyle name="Comma 5 4 3 2 2 2 5" xfId="17981"/>
    <cellStyle name="Comma 5 4 3 2 2 2 5 2" xfId="32006"/>
    <cellStyle name="Comma 5 4 3 2 2 2 6" xfId="23995"/>
    <cellStyle name="Comma 5 4 3 2 2 3" xfId="11957"/>
    <cellStyle name="Comma 5 4 3 2 2 3 2" xfId="19982"/>
    <cellStyle name="Comma 5 4 3 2 2 3 2 2" xfId="34007"/>
    <cellStyle name="Comma 5 4 3 2 2 3 3" xfId="25996"/>
    <cellStyle name="Comma 5 4 3 2 2 4" xfId="13972"/>
    <cellStyle name="Comma 5 4 3 2 2 4 2" xfId="21987"/>
    <cellStyle name="Comma 5 4 3 2 2 4 2 2" xfId="36012"/>
    <cellStyle name="Comma 5 4 3 2 2 4 3" xfId="28001"/>
    <cellStyle name="Comma 5 4 3 2 2 5" xfId="15978"/>
    <cellStyle name="Comma 5 4 3 2 2 5 2" xfId="30003"/>
    <cellStyle name="Comma 5 4 3 2 2 6" xfId="17980"/>
    <cellStyle name="Comma 5 4 3 2 2 6 2" xfId="32005"/>
    <cellStyle name="Comma 5 4 3 2 2 7" xfId="23994"/>
    <cellStyle name="Comma 5 4 3 2 3" xfId="1217"/>
    <cellStyle name="Comma 5 4 3 2 3 2" xfId="11959"/>
    <cellStyle name="Comma 5 4 3 2 3 2 2" xfId="19984"/>
    <cellStyle name="Comma 5 4 3 2 3 2 2 2" xfId="34009"/>
    <cellStyle name="Comma 5 4 3 2 3 2 3" xfId="25998"/>
    <cellStyle name="Comma 5 4 3 2 3 3" xfId="13974"/>
    <cellStyle name="Comma 5 4 3 2 3 3 2" xfId="21989"/>
    <cellStyle name="Comma 5 4 3 2 3 3 2 2" xfId="36014"/>
    <cellStyle name="Comma 5 4 3 2 3 3 3" xfId="28003"/>
    <cellStyle name="Comma 5 4 3 2 3 4" xfId="15980"/>
    <cellStyle name="Comma 5 4 3 2 3 4 2" xfId="30005"/>
    <cellStyle name="Comma 5 4 3 2 3 5" xfId="17982"/>
    <cellStyle name="Comma 5 4 3 2 3 5 2" xfId="32007"/>
    <cellStyle name="Comma 5 4 3 2 3 6" xfId="23996"/>
    <cellStyle name="Comma 5 4 3 2 4" xfId="11956"/>
    <cellStyle name="Comma 5 4 3 2 4 2" xfId="19981"/>
    <cellStyle name="Comma 5 4 3 2 4 2 2" xfId="34006"/>
    <cellStyle name="Comma 5 4 3 2 4 3" xfId="25995"/>
    <cellStyle name="Comma 5 4 3 2 5" xfId="13971"/>
    <cellStyle name="Comma 5 4 3 2 5 2" xfId="21986"/>
    <cellStyle name="Comma 5 4 3 2 5 2 2" xfId="36011"/>
    <cellStyle name="Comma 5 4 3 2 5 3" xfId="28000"/>
    <cellStyle name="Comma 5 4 3 2 6" xfId="15977"/>
    <cellStyle name="Comma 5 4 3 2 6 2" xfId="30002"/>
    <cellStyle name="Comma 5 4 3 2 7" xfId="17979"/>
    <cellStyle name="Comma 5 4 3 2 7 2" xfId="32004"/>
    <cellStyle name="Comma 5 4 3 2 8" xfId="23993"/>
    <cellStyle name="Comma 5 4 3 3" xfId="1218"/>
    <cellStyle name="Comma 5 4 3 3 2" xfId="1219"/>
    <cellStyle name="Comma 5 4 3 3 2 2" xfId="11961"/>
    <cellStyle name="Comma 5 4 3 3 2 2 2" xfId="19986"/>
    <cellStyle name="Comma 5 4 3 3 2 2 2 2" xfId="34011"/>
    <cellStyle name="Comma 5 4 3 3 2 2 3" xfId="26000"/>
    <cellStyle name="Comma 5 4 3 3 2 3" xfId="13976"/>
    <cellStyle name="Comma 5 4 3 3 2 3 2" xfId="21991"/>
    <cellStyle name="Comma 5 4 3 3 2 3 2 2" xfId="36016"/>
    <cellStyle name="Comma 5 4 3 3 2 3 3" xfId="28005"/>
    <cellStyle name="Comma 5 4 3 3 2 4" xfId="15982"/>
    <cellStyle name="Comma 5 4 3 3 2 4 2" xfId="30007"/>
    <cellStyle name="Comma 5 4 3 3 2 5" xfId="17984"/>
    <cellStyle name="Comma 5 4 3 3 2 5 2" xfId="32009"/>
    <cellStyle name="Comma 5 4 3 3 2 6" xfId="23998"/>
    <cellStyle name="Comma 5 4 3 3 3" xfId="11960"/>
    <cellStyle name="Comma 5 4 3 3 3 2" xfId="19985"/>
    <cellStyle name="Comma 5 4 3 3 3 2 2" xfId="34010"/>
    <cellStyle name="Comma 5 4 3 3 3 3" xfId="25999"/>
    <cellStyle name="Comma 5 4 3 3 4" xfId="13975"/>
    <cellStyle name="Comma 5 4 3 3 4 2" xfId="21990"/>
    <cellStyle name="Comma 5 4 3 3 4 2 2" xfId="36015"/>
    <cellStyle name="Comma 5 4 3 3 4 3" xfId="28004"/>
    <cellStyle name="Comma 5 4 3 3 5" xfId="15981"/>
    <cellStyle name="Comma 5 4 3 3 5 2" xfId="30006"/>
    <cellStyle name="Comma 5 4 3 3 6" xfId="17983"/>
    <cellStyle name="Comma 5 4 3 3 6 2" xfId="32008"/>
    <cellStyle name="Comma 5 4 3 3 7" xfId="23997"/>
    <cellStyle name="Comma 5 4 3 4" xfId="1220"/>
    <cellStyle name="Comma 5 4 3 4 2" xfId="1221"/>
    <cellStyle name="Comma 5 4 3 4 2 2" xfId="11963"/>
    <cellStyle name="Comma 5 4 3 4 2 2 2" xfId="19988"/>
    <cellStyle name="Comma 5 4 3 4 2 2 2 2" xfId="34013"/>
    <cellStyle name="Comma 5 4 3 4 2 2 3" xfId="26002"/>
    <cellStyle name="Comma 5 4 3 4 2 3" xfId="13978"/>
    <cellStyle name="Comma 5 4 3 4 2 3 2" xfId="21993"/>
    <cellStyle name="Comma 5 4 3 4 2 3 2 2" xfId="36018"/>
    <cellStyle name="Comma 5 4 3 4 2 3 3" xfId="28007"/>
    <cellStyle name="Comma 5 4 3 4 2 4" xfId="15984"/>
    <cellStyle name="Comma 5 4 3 4 2 4 2" xfId="30009"/>
    <cellStyle name="Comma 5 4 3 4 2 5" xfId="17986"/>
    <cellStyle name="Comma 5 4 3 4 2 5 2" xfId="32011"/>
    <cellStyle name="Comma 5 4 3 4 2 6" xfId="24000"/>
    <cellStyle name="Comma 5 4 3 4 3" xfId="11962"/>
    <cellStyle name="Comma 5 4 3 4 3 2" xfId="19987"/>
    <cellStyle name="Comma 5 4 3 4 3 2 2" xfId="34012"/>
    <cellStyle name="Comma 5 4 3 4 3 3" xfId="26001"/>
    <cellStyle name="Comma 5 4 3 4 4" xfId="13977"/>
    <cellStyle name="Comma 5 4 3 4 4 2" xfId="21992"/>
    <cellStyle name="Comma 5 4 3 4 4 2 2" xfId="36017"/>
    <cellStyle name="Comma 5 4 3 4 4 3" xfId="28006"/>
    <cellStyle name="Comma 5 4 3 4 5" xfId="15983"/>
    <cellStyle name="Comma 5 4 3 4 5 2" xfId="30008"/>
    <cellStyle name="Comma 5 4 3 4 6" xfId="17985"/>
    <cellStyle name="Comma 5 4 3 4 6 2" xfId="32010"/>
    <cellStyle name="Comma 5 4 3 4 7" xfId="23999"/>
    <cellStyle name="Comma 5 4 3 5" xfId="1222"/>
    <cellStyle name="Comma 5 4 3 5 2" xfId="11964"/>
    <cellStyle name="Comma 5 4 3 5 2 2" xfId="19989"/>
    <cellStyle name="Comma 5 4 3 5 2 2 2" xfId="34014"/>
    <cellStyle name="Comma 5 4 3 5 2 3" xfId="26003"/>
    <cellStyle name="Comma 5 4 3 5 3" xfId="13979"/>
    <cellStyle name="Comma 5 4 3 5 3 2" xfId="21994"/>
    <cellStyle name="Comma 5 4 3 5 3 2 2" xfId="36019"/>
    <cellStyle name="Comma 5 4 3 5 3 3" xfId="28008"/>
    <cellStyle name="Comma 5 4 3 5 4" xfId="15985"/>
    <cellStyle name="Comma 5 4 3 5 4 2" xfId="30010"/>
    <cellStyle name="Comma 5 4 3 5 5" xfId="17987"/>
    <cellStyle name="Comma 5 4 3 5 5 2" xfId="32012"/>
    <cellStyle name="Comma 5 4 3 5 6" xfId="24001"/>
    <cellStyle name="Comma 5 4 3 6" xfId="11955"/>
    <cellStyle name="Comma 5 4 3 6 2" xfId="19980"/>
    <cellStyle name="Comma 5 4 3 6 2 2" xfId="34005"/>
    <cellStyle name="Comma 5 4 3 6 3" xfId="25994"/>
    <cellStyle name="Comma 5 4 3 7" xfId="13970"/>
    <cellStyle name="Comma 5 4 3 7 2" xfId="21985"/>
    <cellStyle name="Comma 5 4 3 7 2 2" xfId="36010"/>
    <cellStyle name="Comma 5 4 3 7 3" xfId="27999"/>
    <cellStyle name="Comma 5 4 3 8" xfId="15976"/>
    <cellStyle name="Comma 5 4 3 8 2" xfId="30001"/>
    <cellStyle name="Comma 5 4 3 9" xfId="17978"/>
    <cellStyle name="Comma 5 4 3 9 2" xfId="32003"/>
    <cellStyle name="Comma 5 4 4" xfId="1223"/>
    <cellStyle name="Comma 5 4 4 2" xfId="1224"/>
    <cellStyle name="Comma 5 4 4 2 2" xfId="1225"/>
    <cellStyle name="Comma 5 4 4 2 2 2" xfId="11967"/>
    <cellStyle name="Comma 5 4 4 2 2 2 2" xfId="19992"/>
    <cellStyle name="Comma 5 4 4 2 2 2 2 2" xfId="34017"/>
    <cellStyle name="Comma 5 4 4 2 2 2 3" xfId="26006"/>
    <cellStyle name="Comma 5 4 4 2 2 3" xfId="13982"/>
    <cellStyle name="Comma 5 4 4 2 2 3 2" xfId="21997"/>
    <cellStyle name="Comma 5 4 4 2 2 3 2 2" xfId="36022"/>
    <cellStyle name="Comma 5 4 4 2 2 3 3" xfId="28011"/>
    <cellStyle name="Comma 5 4 4 2 2 4" xfId="15988"/>
    <cellStyle name="Comma 5 4 4 2 2 4 2" xfId="30013"/>
    <cellStyle name="Comma 5 4 4 2 2 5" xfId="17990"/>
    <cellStyle name="Comma 5 4 4 2 2 5 2" xfId="32015"/>
    <cellStyle name="Comma 5 4 4 2 2 6" xfId="24004"/>
    <cellStyle name="Comma 5 4 4 2 3" xfId="11966"/>
    <cellStyle name="Comma 5 4 4 2 3 2" xfId="19991"/>
    <cellStyle name="Comma 5 4 4 2 3 2 2" xfId="34016"/>
    <cellStyle name="Comma 5 4 4 2 3 3" xfId="26005"/>
    <cellStyle name="Comma 5 4 4 2 4" xfId="13981"/>
    <cellStyle name="Comma 5 4 4 2 4 2" xfId="21996"/>
    <cellStyle name="Comma 5 4 4 2 4 2 2" xfId="36021"/>
    <cellStyle name="Comma 5 4 4 2 4 3" xfId="28010"/>
    <cellStyle name="Comma 5 4 4 2 5" xfId="15987"/>
    <cellStyle name="Comma 5 4 4 2 5 2" xfId="30012"/>
    <cellStyle name="Comma 5 4 4 2 6" xfId="17989"/>
    <cellStyle name="Comma 5 4 4 2 6 2" xfId="32014"/>
    <cellStyle name="Comma 5 4 4 2 7" xfId="24003"/>
    <cellStyle name="Comma 5 4 4 3" xfId="1226"/>
    <cellStyle name="Comma 5 4 4 3 2" xfId="11968"/>
    <cellStyle name="Comma 5 4 4 3 2 2" xfId="19993"/>
    <cellStyle name="Comma 5 4 4 3 2 2 2" xfId="34018"/>
    <cellStyle name="Comma 5 4 4 3 2 3" xfId="26007"/>
    <cellStyle name="Comma 5 4 4 3 3" xfId="13983"/>
    <cellStyle name="Comma 5 4 4 3 3 2" xfId="21998"/>
    <cellStyle name="Comma 5 4 4 3 3 2 2" xfId="36023"/>
    <cellStyle name="Comma 5 4 4 3 3 3" xfId="28012"/>
    <cellStyle name="Comma 5 4 4 3 4" xfId="15989"/>
    <cellStyle name="Comma 5 4 4 3 4 2" xfId="30014"/>
    <cellStyle name="Comma 5 4 4 3 5" xfId="17991"/>
    <cellStyle name="Comma 5 4 4 3 5 2" xfId="32016"/>
    <cellStyle name="Comma 5 4 4 3 6" xfId="24005"/>
    <cellStyle name="Comma 5 4 4 4" xfId="11965"/>
    <cellStyle name="Comma 5 4 4 4 2" xfId="19990"/>
    <cellStyle name="Comma 5 4 4 4 2 2" xfId="34015"/>
    <cellStyle name="Comma 5 4 4 4 3" xfId="26004"/>
    <cellStyle name="Comma 5 4 4 5" xfId="13980"/>
    <cellStyle name="Comma 5 4 4 5 2" xfId="21995"/>
    <cellStyle name="Comma 5 4 4 5 2 2" xfId="36020"/>
    <cellStyle name="Comma 5 4 4 5 3" xfId="28009"/>
    <cellStyle name="Comma 5 4 4 6" xfId="15986"/>
    <cellStyle name="Comma 5 4 4 6 2" xfId="30011"/>
    <cellStyle name="Comma 5 4 4 7" xfId="17988"/>
    <cellStyle name="Comma 5 4 4 7 2" xfId="32013"/>
    <cellStyle name="Comma 5 4 4 8" xfId="24002"/>
    <cellStyle name="Comma 5 4 5" xfId="1227"/>
    <cellStyle name="Comma 5 4 5 2" xfId="1228"/>
    <cellStyle name="Comma 5 4 5 2 2" xfId="11970"/>
    <cellStyle name="Comma 5 4 5 2 2 2" xfId="19995"/>
    <cellStyle name="Comma 5 4 5 2 2 2 2" xfId="34020"/>
    <cellStyle name="Comma 5 4 5 2 2 3" xfId="26009"/>
    <cellStyle name="Comma 5 4 5 2 3" xfId="13985"/>
    <cellStyle name="Comma 5 4 5 2 3 2" xfId="22000"/>
    <cellStyle name="Comma 5 4 5 2 3 2 2" xfId="36025"/>
    <cellStyle name="Comma 5 4 5 2 3 3" xfId="28014"/>
    <cellStyle name="Comma 5 4 5 2 4" xfId="15991"/>
    <cellStyle name="Comma 5 4 5 2 4 2" xfId="30016"/>
    <cellStyle name="Comma 5 4 5 2 5" xfId="17993"/>
    <cellStyle name="Comma 5 4 5 2 5 2" xfId="32018"/>
    <cellStyle name="Comma 5 4 5 2 6" xfId="24007"/>
    <cellStyle name="Comma 5 4 5 3" xfId="11969"/>
    <cellStyle name="Comma 5 4 5 3 2" xfId="19994"/>
    <cellStyle name="Comma 5 4 5 3 2 2" xfId="34019"/>
    <cellStyle name="Comma 5 4 5 3 3" xfId="26008"/>
    <cellStyle name="Comma 5 4 5 4" xfId="13984"/>
    <cellStyle name="Comma 5 4 5 4 2" xfId="21999"/>
    <cellStyle name="Comma 5 4 5 4 2 2" xfId="36024"/>
    <cellStyle name="Comma 5 4 5 4 3" xfId="28013"/>
    <cellStyle name="Comma 5 4 5 5" xfId="15990"/>
    <cellStyle name="Comma 5 4 5 5 2" xfId="30015"/>
    <cellStyle name="Comma 5 4 5 6" xfId="17992"/>
    <cellStyle name="Comma 5 4 5 6 2" xfId="32017"/>
    <cellStyle name="Comma 5 4 5 7" xfId="24006"/>
    <cellStyle name="Comma 5 4 6" xfId="1229"/>
    <cellStyle name="Comma 5 4 6 2" xfId="1230"/>
    <cellStyle name="Comma 5 4 6 2 2" xfId="11972"/>
    <cellStyle name="Comma 5 4 6 2 2 2" xfId="19997"/>
    <cellStyle name="Comma 5 4 6 2 2 2 2" xfId="34022"/>
    <cellStyle name="Comma 5 4 6 2 2 3" xfId="26011"/>
    <cellStyle name="Comma 5 4 6 2 3" xfId="13987"/>
    <cellStyle name="Comma 5 4 6 2 3 2" xfId="22002"/>
    <cellStyle name="Comma 5 4 6 2 3 2 2" xfId="36027"/>
    <cellStyle name="Comma 5 4 6 2 3 3" xfId="28016"/>
    <cellStyle name="Comma 5 4 6 2 4" xfId="15993"/>
    <cellStyle name="Comma 5 4 6 2 4 2" xfId="30018"/>
    <cellStyle name="Comma 5 4 6 2 5" xfId="17995"/>
    <cellStyle name="Comma 5 4 6 2 5 2" xfId="32020"/>
    <cellStyle name="Comma 5 4 6 2 6" xfId="24009"/>
    <cellStyle name="Comma 5 4 6 3" xfId="11971"/>
    <cellStyle name="Comma 5 4 6 3 2" xfId="19996"/>
    <cellStyle name="Comma 5 4 6 3 2 2" xfId="34021"/>
    <cellStyle name="Comma 5 4 6 3 3" xfId="26010"/>
    <cellStyle name="Comma 5 4 6 4" xfId="13986"/>
    <cellStyle name="Comma 5 4 6 4 2" xfId="22001"/>
    <cellStyle name="Comma 5 4 6 4 2 2" xfId="36026"/>
    <cellStyle name="Comma 5 4 6 4 3" xfId="28015"/>
    <cellStyle name="Comma 5 4 6 5" xfId="15992"/>
    <cellStyle name="Comma 5 4 6 5 2" xfId="30017"/>
    <cellStyle name="Comma 5 4 6 6" xfId="17994"/>
    <cellStyle name="Comma 5 4 6 6 2" xfId="32019"/>
    <cellStyle name="Comma 5 4 6 7" xfId="24008"/>
    <cellStyle name="Comma 5 4 7" xfId="1231"/>
    <cellStyle name="Comma 5 4 7 2" xfId="11973"/>
    <cellStyle name="Comma 5 4 7 2 2" xfId="19998"/>
    <cellStyle name="Comma 5 4 7 2 2 2" xfId="34023"/>
    <cellStyle name="Comma 5 4 7 2 3" xfId="26012"/>
    <cellStyle name="Comma 5 4 7 3" xfId="13988"/>
    <cellStyle name="Comma 5 4 7 3 2" xfId="22003"/>
    <cellStyle name="Comma 5 4 7 3 2 2" xfId="36028"/>
    <cellStyle name="Comma 5 4 7 3 3" xfId="28017"/>
    <cellStyle name="Comma 5 4 7 4" xfId="15994"/>
    <cellStyle name="Comma 5 4 7 4 2" xfId="30019"/>
    <cellStyle name="Comma 5 4 7 5" xfId="17996"/>
    <cellStyle name="Comma 5 4 7 5 2" xfId="32021"/>
    <cellStyle name="Comma 5 4 7 6" xfId="24010"/>
    <cellStyle name="Comma 5 4 8" xfId="11934"/>
    <cellStyle name="Comma 5 4 8 2" xfId="19959"/>
    <cellStyle name="Comma 5 4 8 2 2" xfId="33984"/>
    <cellStyle name="Comma 5 4 8 3" xfId="25973"/>
    <cellStyle name="Comma 5 4 9" xfId="13949"/>
    <cellStyle name="Comma 5 4 9 2" xfId="21964"/>
    <cellStyle name="Comma 5 4 9 2 2" xfId="35989"/>
    <cellStyle name="Comma 5 4 9 3" xfId="27978"/>
    <cellStyle name="Comma 5 5" xfId="1232"/>
    <cellStyle name="Comma 5 5 10" xfId="17997"/>
    <cellStyle name="Comma 5 5 10 2" xfId="32022"/>
    <cellStyle name="Comma 5 5 11" xfId="24011"/>
    <cellStyle name="Comma 5 5 2" xfId="1233"/>
    <cellStyle name="Comma 5 5 2 10" xfId="24012"/>
    <cellStyle name="Comma 5 5 2 2" xfId="1234"/>
    <cellStyle name="Comma 5 5 2 2 2" xfId="1235"/>
    <cellStyle name="Comma 5 5 2 2 2 2" xfId="1236"/>
    <cellStyle name="Comma 5 5 2 2 2 2 2" xfId="11978"/>
    <cellStyle name="Comma 5 5 2 2 2 2 2 2" xfId="20003"/>
    <cellStyle name="Comma 5 5 2 2 2 2 2 2 2" xfId="34028"/>
    <cellStyle name="Comma 5 5 2 2 2 2 2 3" xfId="26017"/>
    <cellStyle name="Comma 5 5 2 2 2 2 3" xfId="13993"/>
    <cellStyle name="Comma 5 5 2 2 2 2 3 2" xfId="22008"/>
    <cellStyle name="Comma 5 5 2 2 2 2 3 2 2" xfId="36033"/>
    <cellStyle name="Comma 5 5 2 2 2 2 3 3" xfId="28022"/>
    <cellStyle name="Comma 5 5 2 2 2 2 4" xfId="15999"/>
    <cellStyle name="Comma 5 5 2 2 2 2 4 2" xfId="30024"/>
    <cellStyle name="Comma 5 5 2 2 2 2 5" xfId="18001"/>
    <cellStyle name="Comma 5 5 2 2 2 2 5 2" xfId="32026"/>
    <cellStyle name="Comma 5 5 2 2 2 2 6" xfId="24015"/>
    <cellStyle name="Comma 5 5 2 2 2 3" xfId="11977"/>
    <cellStyle name="Comma 5 5 2 2 2 3 2" xfId="20002"/>
    <cellStyle name="Comma 5 5 2 2 2 3 2 2" xfId="34027"/>
    <cellStyle name="Comma 5 5 2 2 2 3 3" xfId="26016"/>
    <cellStyle name="Comma 5 5 2 2 2 4" xfId="13992"/>
    <cellStyle name="Comma 5 5 2 2 2 4 2" xfId="22007"/>
    <cellStyle name="Comma 5 5 2 2 2 4 2 2" xfId="36032"/>
    <cellStyle name="Comma 5 5 2 2 2 4 3" xfId="28021"/>
    <cellStyle name="Comma 5 5 2 2 2 5" xfId="15998"/>
    <cellStyle name="Comma 5 5 2 2 2 5 2" xfId="30023"/>
    <cellStyle name="Comma 5 5 2 2 2 6" xfId="18000"/>
    <cellStyle name="Comma 5 5 2 2 2 6 2" xfId="32025"/>
    <cellStyle name="Comma 5 5 2 2 2 7" xfId="24014"/>
    <cellStyle name="Comma 5 5 2 2 3" xfId="1237"/>
    <cellStyle name="Comma 5 5 2 2 3 2" xfId="11979"/>
    <cellStyle name="Comma 5 5 2 2 3 2 2" xfId="20004"/>
    <cellStyle name="Comma 5 5 2 2 3 2 2 2" xfId="34029"/>
    <cellStyle name="Comma 5 5 2 2 3 2 3" xfId="26018"/>
    <cellStyle name="Comma 5 5 2 2 3 3" xfId="13994"/>
    <cellStyle name="Comma 5 5 2 2 3 3 2" xfId="22009"/>
    <cellStyle name="Comma 5 5 2 2 3 3 2 2" xfId="36034"/>
    <cellStyle name="Comma 5 5 2 2 3 3 3" xfId="28023"/>
    <cellStyle name="Comma 5 5 2 2 3 4" xfId="16000"/>
    <cellStyle name="Comma 5 5 2 2 3 4 2" xfId="30025"/>
    <cellStyle name="Comma 5 5 2 2 3 5" xfId="18002"/>
    <cellStyle name="Comma 5 5 2 2 3 5 2" xfId="32027"/>
    <cellStyle name="Comma 5 5 2 2 3 6" xfId="24016"/>
    <cellStyle name="Comma 5 5 2 2 4" xfId="11976"/>
    <cellStyle name="Comma 5 5 2 2 4 2" xfId="20001"/>
    <cellStyle name="Comma 5 5 2 2 4 2 2" xfId="34026"/>
    <cellStyle name="Comma 5 5 2 2 4 3" xfId="26015"/>
    <cellStyle name="Comma 5 5 2 2 5" xfId="13991"/>
    <cellStyle name="Comma 5 5 2 2 5 2" xfId="22006"/>
    <cellStyle name="Comma 5 5 2 2 5 2 2" xfId="36031"/>
    <cellStyle name="Comma 5 5 2 2 5 3" xfId="28020"/>
    <cellStyle name="Comma 5 5 2 2 6" xfId="15997"/>
    <cellStyle name="Comma 5 5 2 2 6 2" xfId="30022"/>
    <cellStyle name="Comma 5 5 2 2 7" xfId="17999"/>
    <cellStyle name="Comma 5 5 2 2 7 2" xfId="32024"/>
    <cellStyle name="Comma 5 5 2 2 8" xfId="24013"/>
    <cellStyle name="Comma 5 5 2 3" xfId="1238"/>
    <cellStyle name="Comma 5 5 2 3 2" xfId="1239"/>
    <cellStyle name="Comma 5 5 2 3 2 2" xfId="11981"/>
    <cellStyle name="Comma 5 5 2 3 2 2 2" xfId="20006"/>
    <cellStyle name="Comma 5 5 2 3 2 2 2 2" xfId="34031"/>
    <cellStyle name="Comma 5 5 2 3 2 2 3" xfId="26020"/>
    <cellStyle name="Comma 5 5 2 3 2 3" xfId="13996"/>
    <cellStyle name="Comma 5 5 2 3 2 3 2" xfId="22011"/>
    <cellStyle name="Comma 5 5 2 3 2 3 2 2" xfId="36036"/>
    <cellStyle name="Comma 5 5 2 3 2 3 3" xfId="28025"/>
    <cellStyle name="Comma 5 5 2 3 2 4" xfId="16002"/>
    <cellStyle name="Comma 5 5 2 3 2 4 2" xfId="30027"/>
    <cellStyle name="Comma 5 5 2 3 2 5" xfId="18004"/>
    <cellStyle name="Comma 5 5 2 3 2 5 2" xfId="32029"/>
    <cellStyle name="Comma 5 5 2 3 2 6" xfId="24018"/>
    <cellStyle name="Comma 5 5 2 3 3" xfId="11980"/>
    <cellStyle name="Comma 5 5 2 3 3 2" xfId="20005"/>
    <cellStyle name="Comma 5 5 2 3 3 2 2" xfId="34030"/>
    <cellStyle name="Comma 5 5 2 3 3 3" xfId="26019"/>
    <cellStyle name="Comma 5 5 2 3 4" xfId="13995"/>
    <cellStyle name="Comma 5 5 2 3 4 2" xfId="22010"/>
    <cellStyle name="Comma 5 5 2 3 4 2 2" xfId="36035"/>
    <cellStyle name="Comma 5 5 2 3 4 3" xfId="28024"/>
    <cellStyle name="Comma 5 5 2 3 5" xfId="16001"/>
    <cellStyle name="Comma 5 5 2 3 5 2" xfId="30026"/>
    <cellStyle name="Comma 5 5 2 3 6" xfId="18003"/>
    <cellStyle name="Comma 5 5 2 3 6 2" xfId="32028"/>
    <cellStyle name="Comma 5 5 2 3 7" xfId="24017"/>
    <cellStyle name="Comma 5 5 2 4" xfId="1240"/>
    <cellStyle name="Comma 5 5 2 4 2" xfId="1241"/>
    <cellStyle name="Comma 5 5 2 4 2 2" xfId="11983"/>
    <cellStyle name="Comma 5 5 2 4 2 2 2" xfId="20008"/>
    <cellStyle name="Comma 5 5 2 4 2 2 2 2" xfId="34033"/>
    <cellStyle name="Comma 5 5 2 4 2 2 3" xfId="26022"/>
    <cellStyle name="Comma 5 5 2 4 2 3" xfId="13998"/>
    <cellStyle name="Comma 5 5 2 4 2 3 2" xfId="22013"/>
    <cellStyle name="Comma 5 5 2 4 2 3 2 2" xfId="36038"/>
    <cellStyle name="Comma 5 5 2 4 2 3 3" xfId="28027"/>
    <cellStyle name="Comma 5 5 2 4 2 4" xfId="16004"/>
    <cellStyle name="Comma 5 5 2 4 2 4 2" xfId="30029"/>
    <cellStyle name="Comma 5 5 2 4 2 5" xfId="18006"/>
    <cellStyle name="Comma 5 5 2 4 2 5 2" xfId="32031"/>
    <cellStyle name="Comma 5 5 2 4 2 6" xfId="24020"/>
    <cellStyle name="Comma 5 5 2 4 3" xfId="11982"/>
    <cellStyle name="Comma 5 5 2 4 3 2" xfId="20007"/>
    <cellStyle name="Comma 5 5 2 4 3 2 2" xfId="34032"/>
    <cellStyle name="Comma 5 5 2 4 3 3" xfId="26021"/>
    <cellStyle name="Comma 5 5 2 4 4" xfId="13997"/>
    <cellStyle name="Comma 5 5 2 4 4 2" xfId="22012"/>
    <cellStyle name="Comma 5 5 2 4 4 2 2" xfId="36037"/>
    <cellStyle name="Comma 5 5 2 4 4 3" xfId="28026"/>
    <cellStyle name="Comma 5 5 2 4 5" xfId="16003"/>
    <cellStyle name="Comma 5 5 2 4 5 2" xfId="30028"/>
    <cellStyle name="Comma 5 5 2 4 6" xfId="18005"/>
    <cellStyle name="Comma 5 5 2 4 6 2" xfId="32030"/>
    <cellStyle name="Comma 5 5 2 4 7" xfId="24019"/>
    <cellStyle name="Comma 5 5 2 5" xfId="1242"/>
    <cellStyle name="Comma 5 5 2 5 2" xfId="11984"/>
    <cellStyle name="Comma 5 5 2 5 2 2" xfId="20009"/>
    <cellStyle name="Comma 5 5 2 5 2 2 2" xfId="34034"/>
    <cellStyle name="Comma 5 5 2 5 2 3" xfId="26023"/>
    <cellStyle name="Comma 5 5 2 5 3" xfId="13999"/>
    <cellStyle name="Comma 5 5 2 5 3 2" xfId="22014"/>
    <cellStyle name="Comma 5 5 2 5 3 2 2" xfId="36039"/>
    <cellStyle name="Comma 5 5 2 5 3 3" xfId="28028"/>
    <cellStyle name="Comma 5 5 2 5 4" xfId="16005"/>
    <cellStyle name="Comma 5 5 2 5 4 2" xfId="30030"/>
    <cellStyle name="Comma 5 5 2 5 5" xfId="18007"/>
    <cellStyle name="Comma 5 5 2 5 5 2" xfId="32032"/>
    <cellStyle name="Comma 5 5 2 5 6" xfId="24021"/>
    <cellStyle name="Comma 5 5 2 6" xfId="11975"/>
    <cellStyle name="Comma 5 5 2 6 2" xfId="20000"/>
    <cellStyle name="Comma 5 5 2 6 2 2" xfId="34025"/>
    <cellStyle name="Comma 5 5 2 6 3" xfId="26014"/>
    <cellStyle name="Comma 5 5 2 7" xfId="13990"/>
    <cellStyle name="Comma 5 5 2 7 2" xfId="22005"/>
    <cellStyle name="Comma 5 5 2 7 2 2" xfId="36030"/>
    <cellStyle name="Comma 5 5 2 7 3" xfId="28019"/>
    <cellStyle name="Comma 5 5 2 8" xfId="15996"/>
    <cellStyle name="Comma 5 5 2 8 2" xfId="30021"/>
    <cellStyle name="Comma 5 5 2 9" xfId="17998"/>
    <cellStyle name="Comma 5 5 2 9 2" xfId="32023"/>
    <cellStyle name="Comma 5 5 3" xfId="1243"/>
    <cellStyle name="Comma 5 5 3 2" xfId="1244"/>
    <cellStyle name="Comma 5 5 3 2 2" xfId="1245"/>
    <cellStyle name="Comma 5 5 3 2 2 2" xfId="11987"/>
    <cellStyle name="Comma 5 5 3 2 2 2 2" xfId="20012"/>
    <cellStyle name="Comma 5 5 3 2 2 2 2 2" xfId="34037"/>
    <cellStyle name="Comma 5 5 3 2 2 2 3" xfId="26026"/>
    <cellStyle name="Comma 5 5 3 2 2 3" xfId="14002"/>
    <cellStyle name="Comma 5 5 3 2 2 3 2" xfId="22017"/>
    <cellStyle name="Comma 5 5 3 2 2 3 2 2" xfId="36042"/>
    <cellStyle name="Comma 5 5 3 2 2 3 3" xfId="28031"/>
    <cellStyle name="Comma 5 5 3 2 2 4" xfId="16008"/>
    <cellStyle name="Comma 5 5 3 2 2 4 2" xfId="30033"/>
    <cellStyle name="Comma 5 5 3 2 2 5" xfId="18010"/>
    <cellStyle name="Comma 5 5 3 2 2 5 2" xfId="32035"/>
    <cellStyle name="Comma 5 5 3 2 2 6" xfId="24024"/>
    <cellStyle name="Comma 5 5 3 2 3" xfId="11986"/>
    <cellStyle name="Comma 5 5 3 2 3 2" xfId="20011"/>
    <cellStyle name="Comma 5 5 3 2 3 2 2" xfId="34036"/>
    <cellStyle name="Comma 5 5 3 2 3 3" xfId="26025"/>
    <cellStyle name="Comma 5 5 3 2 4" xfId="14001"/>
    <cellStyle name="Comma 5 5 3 2 4 2" xfId="22016"/>
    <cellStyle name="Comma 5 5 3 2 4 2 2" xfId="36041"/>
    <cellStyle name="Comma 5 5 3 2 4 3" xfId="28030"/>
    <cellStyle name="Comma 5 5 3 2 5" xfId="16007"/>
    <cellStyle name="Comma 5 5 3 2 5 2" xfId="30032"/>
    <cellStyle name="Comma 5 5 3 2 6" xfId="18009"/>
    <cellStyle name="Comma 5 5 3 2 6 2" xfId="32034"/>
    <cellStyle name="Comma 5 5 3 2 7" xfId="24023"/>
    <cellStyle name="Comma 5 5 3 3" xfId="1246"/>
    <cellStyle name="Comma 5 5 3 3 2" xfId="11988"/>
    <cellStyle name="Comma 5 5 3 3 2 2" xfId="20013"/>
    <cellStyle name="Comma 5 5 3 3 2 2 2" xfId="34038"/>
    <cellStyle name="Comma 5 5 3 3 2 3" xfId="26027"/>
    <cellStyle name="Comma 5 5 3 3 3" xfId="14003"/>
    <cellStyle name="Comma 5 5 3 3 3 2" xfId="22018"/>
    <cellStyle name="Comma 5 5 3 3 3 2 2" xfId="36043"/>
    <cellStyle name="Comma 5 5 3 3 3 3" xfId="28032"/>
    <cellStyle name="Comma 5 5 3 3 4" xfId="16009"/>
    <cellStyle name="Comma 5 5 3 3 4 2" xfId="30034"/>
    <cellStyle name="Comma 5 5 3 3 5" xfId="18011"/>
    <cellStyle name="Comma 5 5 3 3 5 2" xfId="32036"/>
    <cellStyle name="Comma 5 5 3 3 6" xfId="24025"/>
    <cellStyle name="Comma 5 5 3 4" xfId="11985"/>
    <cellStyle name="Comma 5 5 3 4 2" xfId="20010"/>
    <cellStyle name="Comma 5 5 3 4 2 2" xfId="34035"/>
    <cellStyle name="Comma 5 5 3 4 3" xfId="26024"/>
    <cellStyle name="Comma 5 5 3 5" xfId="14000"/>
    <cellStyle name="Comma 5 5 3 5 2" xfId="22015"/>
    <cellStyle name="Comma 5 5 3 5 2 2" xfId="36040"/>
    <cellStyle name="Comma 5 5 3 5 3" xfId="28029"/>
    <cellStyle name="Comma 5 5 3 6" xfId="16006"/>
    <cellStyle name="Comma 5 5 3 6 2" xfId="30031"/>
    <cellStyle name="Comma 5 5 3 7" xfId="18008"/>
    <cellStyle name="Comma 5 5 3 7 2" xfId="32033"/>
    <cellStyle name="Comma 5 5 3 8" xfId="24022"/>
    <cellStyle name="Comma 5 5 4" xfId="1247"/>
    <cellStyle name="Comma 5 5 4 2" xfId="1248"/>
    <cellStyle name="Comma 5 5 4 2 2" xfId="11990"/>
    <cellStyle name="Comma 5 5 4 2 2 2" xfId="20015"/>
    <cellStyle name="Comma 5 5 4 2 2 2 2" xfId="34040"/>
    <cellStyle name="Comma 5 5 4 2 2 3" xfId="26029"/>
    <cellStyle name="Comma 5 5 4 2 3" xfId="14005"/>
    <cellStyle name="Comma 5 5 4 2 3 2" xfId="22020"/>
    <cellStyle name="Comma 5 5 4 2 3 2 2" xfId="36045"/>
    <cellStyle name="Comma 5 5 4 2 3 3" xfId="28034"/>
    <cellStyle name="Comma 5 5 4 2 4" xfId="16011"/>
    <cellStyle name="Comma 5 5 4 2 4 2" xfId="30036"/>
    <cellStyle name="Comma 5 5 4 2 5" xfId="18013"/>
    <cellStyle name="Comma 5 5 4 2 5 2" xfId="32038"/>
    <cellStyle name="Comma 5 5 4 2 6" xfId="24027"/>
    <cellStyle name="Comma 5 5 4 3" xfId="11989"/>
    <cellStyle name="Comma 5 5 4 3 2" xfId="20014"/>
    <cellStyle name="Comma 5 5 4 3 2 2" xfId="34039"/>
    <cellStyle name="Comma 5 5 4 3 3" xfId="26028"/>
    <cellStyle name="Comma 5 5 4 4" xfId="14004"/>
    <cellStyle name="Comma 5 5 4 4 2" xfId="22019"/>
    <cellStyle name="Comma 5 5 4 4 2 2" xfId="36044"/>
    <cellStyle name="Comma 5 5 4 4 3" xfId="28033"/>
    <cellStyle name="Comma 5 5 4 5" xfId="16010"/>
    <cellStyle name="Comma 5 5 4 5 2" xfId="30035"/>
    <cellStyle name="Comma 5 5 4 6" xfId="18012"/>
    <cellStyle name="Comma 5 5 4 6 2" xfId="32037"/>
    <cellStyle name="Comma 5 5 4 7" xfId="24026"/>
    <cellStyle name="Comma 5 5 5" xfId="1249"/>
    <cellStyle name="Comma 5 5 5 2" xfId="1250"/>
    <cellStyle name="Comma 5 5 5 2 2" xfId="11992"/>
    <cellStyle name="Comma 5 5 5 2 2 2" xfId="20017"/>
    <cellStyle name="Comma 5 5 5 2 2 2 2" xfId="34042"/>
    <cellStyle name="Comma 5 5 5 2 2 3" xfId="26031"/>
    <cellStyle name="Comma 5 5 5 2 3" xfId="14007"/>
    <cellStyle name="Comma 5 5 5 2 3 2" xfId="22022"/>
    <cellStyle name="Comma 5 5 5 2 3 2 2" xfId="36047"/>
    <cellStyle name="Comma 5 5 5 2 3 3" xfId="28036"/>
    <cellStyle name="Comma 5 5 5 2 4" xfId="16013"/>
    <cellStyle name="Comma 5 5 5 2 4 2" xfId="30038"/>
    <cellStyle name="Comma 5 5 5 2 5" xfId="18015"/>
    <cellStyle name="Comma 5 5 5 2 5 2" xfId="32040"/>
    <cellStyle name="Comma 5 5 5 2 6" xfId="24029"/>
    <cellStyle name="Comma 5 5 5 3" xfId="11991"/>
    <cellStyle name="Comma 5 5 5 3 2" xfId="20016"/>
    <cellStyle name="Comma 5 5 5 3 2 2" xfId="34041"/>
    <cellStyle name="Comma 5 5 5 3 3" xfId="26030"/>
    <cellStyle name="Comma 5 5 5 4" xfId="14006"/>
    <cellStyle name="Comma 5 5 5 4 2" xfId="22021"/>
    <cellStyle name="Comma 5 5 5 4 2 2" xfId="36046"/>
    <cellStyle name="Comma 5 5 5 4 3" xfId="28035"/>
    <cellStyle name="Comma 5 5 5 5" xfId="16012"/>
    <cellStyle name="Comma 5 5 5 5 2" xfId="30037"/>
    <cellStyle name="Comma 5 5 5 6" xfId="18014"/>
    <cellStyle name="Comma 5 5 5 6 2" xfId="32039"/>
    <cellStyle name="Comma 5 5 5 7" xfId="24028"/>
    <cellStyle name="Comma 5 5 6" xfId="1251"/>
    <cellStyle name="Comma 5 5 6 2" xfId="11993"/>
    <cellStyle name="Comma 5 5 6 2 2" xfId="20018"/>
    <cellStyle name="Comma 5 5 6 2 2 2" xfId="34043"/>
    <cellStyle name="Comma 5 5 6 2 3" xfId="26032"/>
    <cellStyle name="Comma 5 5 6 3" xfId="14008"/>
    <cellStyle name="Comma 5 5 6 3 2" xfId="22023"/>
    <cellStyle name="Comma 5 5 6 3 2 2" xfId="36048"/>
    <cellStyle name="Comma 5 5 6 3 3" xfId="28037"/>
    <cellStyle name="Comma 5 5 6 4" xfId="16014"/>
    <cellStyle name="Comma 5 5 6 4 2" xfId="30039"/>
    <cellStyle name="Comma 5 5 6 5" xfId="18016"/>
    <cellStyle name="Comma 5 5 6 5 2" xfId="32041"/>
    <cellStyle name="Comma 5 5 6 6" xfId="24030"/>
    <cellStyle name="Comma 5 5 7" xfId="11974"/>
    <cellStyle name="Comma 5 5 7 2" xfId="19999"/>
    <cellStyle name="Comma 5 5 7 2 2" xfId="34024"/>
    <cellStyle name="Comma 5 5 7 3" xfId="26013"/>
    <cellStyle name="Comma 5 5 8" xfId="13989"/>
    <cellStyle name="Comma 5 5 8 2" xfId="22004"/>
    <cellStyle name="Comma 5 5 8 2 2" xfId="36029"/>
    <cellStyle name="Comma 5 5 8 3" xfId="28018"/>
    <cellStyle name="Comma 5 5 9" xfId="15995"/>
    <cellStyle name="Comma 5 5 9 2" xfId="30020"/>
    <cellStyle name="Comma 5 6" xfId="1252"/>
    <cellStyle name="Comma 5 6 10" xfId="24031"/>
    <cellStyle name="Comma 5 6 2" xfId="1253"/>
    <cellStyle name="Comma 5 6 2 2" xfId="1254"/>
    <cellStyle name="Comma 5 6 2 2 2" xfId="1255"/>
    <cellStyle name="Comma 5 6 2 2 2 2" xfId="11997"/>
    <cellStyle name="Comma 5 6 2 2 2 2 2" xfId="20022"/>
    <cellStyle name="Comma 5 6 2 2 2 2 2 2" xfId="34047"/>
    <cellStyle name="Comma 5 6 2 2 2 2 3" xfId="26036"/>
    <cellStyle name="Comma 5 6 2 2 2 3" xfId="14012"/>
    <cellStyle name="Comma 5 6 2 2 2 3 2" xfId="22027"/>
    <cellStyle name="Comma 5 6 2 2 2 3 2 2" xfId="36052"/>
    <cellStyle name="Comma 5 6 2 2 2 3 3" xfId="28041"/>
    <cellStyle name="Comma 5 6 2 2 2 4" xfId="16018"/>
    <cellStyle name="Comma 5 6 2 2 2 4 2" xfId="30043"/>
    <cellStyle name="Comma 5 6 2 2 2 5" xfId="18020"/>
    <cellStyle name="Comma 5 6 2 2 2 5 2" xfId="32045"/>
    <cellStyle name="Comma 5 6 2 2 2 6" xfId="24034"/>
    <cellStyle name="Comma 5 6 2 2 3" xfId="11996"/>
    <cellStyle name="Comma 5 6 2 2 3 2" xfId="20021"/>
    <cellStyle name="Comma 5 6 2 2 3 2 2" xfId="34046"/>
    <cellStyle name="Comma 5 6 2 2 3 3" xfId="26035"/>
    <cellStyle name="Comma 5 6 2 2 4" xfId="14011"/>
    <cellStyle name="Comma 5 6 2 2 4 2" xfId="22026"/>
    <cellStyle name="Comma 5 6 2 2 4 2 2" xfId="36051"/>
    <cellStyle name="Comma 5 6 2 2 4 3" xfId="28040"/>
    <cellStyle name="Comma 5 6 2 2 5" xfId="16017"/>
    <cellStyle name="Comma 5 6 2 2 5 2" xfId="30042"/>
    <cellStyle name="Comma 5 6 2 2 6" xfId="18019"/>
    <cellStyle name="Comma 5 6 2 2 6 2" xfId="32044"/>
    <cellStyle name="Comma 5 6 2 2 7" xfId="24033"/>
    <cellStyle name="Comma 5 6 2 3" xfId="1256"/>
    <cellStyle name="Comma 5 6 2 3 2" xfId="11998"/>
    <cellStyle name="Comma 5 6 2 3 2 2" xfId="20023"/>
    <cellStyle name="Comma 5 6 2 3 2 2 2" xfId="34048"/>
    <cellStyle name="Comma 5 6 2 3 2 3" xfId="26037"/>
    <cellStyle name="Comma 5 6 2 3 3" xfId="14013"/>
    <cellStyle name="Comma 5 6 2 3 3 2" xfId="22028"/>
    <cellStyle name="Comma 5 6 2 3 3 2 2" xfId="36053"/>
    <cellStyle name="Comma 5 6 2 3 3 3" xfId="28042"/>
    <cellStyle name="Comma 5 6 2 3 4" xfId="16019"/>
    <cellStyle name="Comma 5 6 2 3 4 2" xfId="30044"/>
    <cellStyle name="Comma 5 6 2 3 5" xfId="18021"/>
    <cellStyle name="Comma 5 6 2 3 5 2" xfId="32046"/>
    <cellStyle name="Comma 5 6 2 3 6" xfId="24035"/>
    <cellStyle name="Comma 5 6 2 4" xfId="11995"/>
    <cellStyle name="Comma 5 6 2 4 2" xfId="20020"/>
    <cellStyle name="Comma 5 6 2 4 2 2" xfId="34045"/>
    <cellStyle name="Comma 5 6 2 4 3" xfId="26034"/>
    <cellStyle name="Comma 5 6 2 5" xfId="14010"/>
    <cellStyle name="Comma 5 6 2 5 2" xfId="22025"/>
    <cellStyle name="Comma 5 6 2 5 2 2" xfId="36050"/>
    <cellStyle name="Comma 5 6 2 5 3" xfId="28039"/>
    <cellStyle name="Comma 5 6 2 6" xfId="16016"/>
    <cellStyle name="Comma 5 6 2 6 2" xfId="30041"/>
    <cellStyle name="Comma 5 6 2 7" xfId="18018"/>
    <cellStyle name="Comma 5 6 2 7 2" xfId="32043"/>
    <cellStyle name="Comma 5 6 2 8" xfId="24032"/>
    <cellStyle name="Comma 5 6 3" xfId="1257"/>
    <cellStyle name="Comma 5 6 3 2" xfId="1258"/>
    <cellStyle name="Comma 5 6 3 2 2" xfId="12000"/>
    <cellStyle name="Comma 5 6 3 2 2 2" xfId="20025"/>
    <cellStyle name="Comma 5 6 3 2 2 2 2" xfId="34050"/>
    <cellStyle name="Comma 5 6 3 2 2 3" xfId="26039"/>
    <cellStyle name="Comma 5 6 3 2 3" xfId="14015"/>
    <cellStyle name="Comma 5 6 3 2 3 2" xfId="22030"/>
    <cellStyle name="Comma 5 6 3 2 3 2 2" xfId="36055"/>
    <cellStyle name="Comma 5 6 3 2 3 3" xfId="28044"/>
    <cellStyle name="Comma 5 6 3 2 4" xfId="16021"/>
    <cellStyle name="Comma 5 6 3 2 4 2" xfId="30046"/>
    <cellStyle name="Comma 5 6 3 2 5" xfId="18023"/>
    <cellStyle name="Comma 5 6 3 2 5 2" xfId="32048"/>
    <cellStyle name="Comma 5 6 3 2 6" xfId="24037"/>
    <cellStyle name="Comma 5 6 3 3" xfId="11999"/>
    <cellStyle name="Comma 5 6 3 3 2" xfId="20024"/>
    <cellStyle name="Comma 5 6 3 3 2 2" xfId="34049"/>
    <cellStyle name="Comma 5 6 3 3 3" xfId="26038"/>
    <cellStyle name="Comma 5 6 3 4" xfId="14014"/>
    <cellStyle name="Comma 5 6 3 4 2" xfId="22029"/>
    <cellStyle name="Comma 5 6 3 4 2 2" xfId="36054"/>
    <cellStyle name="Comma 5 6 3 4 3" xfId="28043"/>
    <cellStyle name="Comma 5 6 3 5" xfId="16020"/>
    <cellStyle name="Comma 5 6 3 5 2" xfId="30045"/>
    <cellStyle name="Comma 5 6 3 6" xfId="18022"/>
    <cellStyle name="Comma 5 6 3 6 2" xfId="32047"/>
    <cellStyle name="Comma 5 6 3 7" xfId="24036"/>
    <cellStyle name="Comma 5 6 4" xfId="1259"/>
    <cellStyle name="Comma 5 6 4 2" xfId="1260"/>
    <cellStyle name="Comma 5 6 4 2 2" xfId="12002"/>
    <cellStyle name="Comma 5 6 4 2 2 2" xfId="20027"/>
    <cellStyle name="Comma 5 6 4 2 2 2 2" xfId="34052"/>
    <cellStyle name="Comma 5 6 4 2 2 3" xfId="26041"/>
    <cellStyle name="Comma 5 6 4 2 3" xfId="14017"/>
    <cellStyle name="Comma 5 6 4 2 3 2" xfId="22032"/>
    <cellStyle name="Comma 5 6 4 2 3 2 2" xfId="36057"/>
    <cellStyle name="Comma 5 6 4 2 3 3" xfId="28046"/>
    <cellStyle name="Comma 5 6 4 2 4" xfId="16023"/>
    <cellStyle name="Comma 5 6 4 2 4 2" xfId="30048"/>
    <cellStyle name="Comma 5 6 4 2 5" xfId="18025"/>
    <cellStyle name="Comma 5 6 4 2 5 2" xfId="32050"/>
    <cellStyle name="Comma 5 6 4 2 6" xfId="24039"/>
    <cellStyle name="Comma 5 6 4 3" xfId="12001"/>
    <cellStyle name="Comma 5 6 4 3 2" xfId="20026"/>
    <cellStyle name="Comma 5 6 4 3 2 2" xfId="34051"/>
    <cellStyle name="Comma 5 6 4 3 3" xfId="26040"/>
    <cellStyle name="Comma 5 6 4 4" xfId="14016"/>
    <cellStyle name="Comma 5 6 4 4 2" xfId="22031"/>
    <cellStyle name="Comma 5 6 4 4 2 2" xfId="36056"/>
    <cellStyle name="Comma 5 6 4 4 3" xfId="28045"/>
    <cellStyle name="Comma 5 6 4 5" xfId="16022"/>
    <cellStyle name="Comma 5 6 4 5 2" xfId="30047"/>
    <cellStyle name="Comma 5 6 4 6" xfId="18024"/>
    <cellStyle name="Comma 5 6 4 6 2" xfId="32049"/>
    <cellStyle name="Comma 5 6 4 7" xfId="24038"/>
    <cellStyle name="Comma 5 6 5" xfId="1261"/>
    <cellStyle name="Comma 5 6 5 2" xfId="12003"/>
    <cellStyle name="Comma 5 6 5 2 2" xfId="20028"/>
    <cellStyle name="Comma 5 6 5 2 2 2" xfId="34053"/>
    <cellStyle name="Comma 5 6 5 2 3" xfId="26042"/>
    <cellStyle name="Comma 5 6 5 3" xfId="14018"/>
    <cellStyle name="Comma 5 6 5 3 2" xfId="22033"/>
    <cellStyle name="Comma 5 6 5 3 2 2" xfId="36058"/>
    <cellStyle name="Comma 5 6 5 3 3" xfId="28047"/>
    <cellStyle name="Comma 5 6 5 4" xfId="16024"/>
    <cellStyle name="Comma 5 6 5 4 2" xfId="30049"/>
    <cellStyle name="Comma 5 6 5 5" xfId="18026"/>
    <cellStyle name="Comma 5 6 5 5 2" xfId="32051"/>
    <cellStyle name="Comma 5 6 5 6" xfId="24040"/>
    <cellStyle name="Comma 5 6 6" xfId="11994"/>
    <cellStyle name="Comma 5 6 6 2" xfId="20019"/>
    <cellStyle name="Comma 5 6 6 2 2" xfId="34044"/>
    <cellStyle name="Comma 5 6 6 3" xfId="26033"/>
    <cellStyle name="Comma 5 6 7" xfId="14009"/>
    <cellStyle name="Comma 5 6 7 2" xfId="22024"/>
    <cellStyle name="Comma 5 6 7 2 2" xfId="36049"/>
    <cellStyle name="Comma 5 6 7 3" xfId="28038"/>
    <cellStyle name="Comma 5 6 8" xfId="16015"/>
    <cellStyle name="Comma 5 6 8 2" xfId="30040"/>
    <cellStyle name="Comma 5 6 9" xfId="18017"/>
    <cellStyle name="Comma 5 6 9 2" xfId="32042"/>
    <cellStyle name="Comma 5 7" xfId="1262"/>
    <cellStyle name="Comma 5 7 2" xfId="1263"/>
    <cellStyle name="Comma 5 7 2 2" xfId="1264"/>
    <cellStyle name="Comma 5 7 2 2 2" xfId="12006"/>
    <cellStyle name="Comma 5 7 2 2 2 2" xfId="20031"/>
    <cellStyle name="Comma 5 7 2 2 2 2 2" xfId="34056"/>
    <cellStyle name="Comma 5 7 2 2 2 3" xfId="26045"/>
    <cellStyle name="Comma 5 7 2 2 3" xfId="14021"/>
    <cellStyle name="Comma 5 7 2 2 3 2" xfId="22036"/>
    <cellStyle name="Comma 5 7 2 2 3 2 2" xfId="36061"/>
    <cellStyle name="Comma 5 7 2 2 3 3" xfId="28050"/>
    <cellStyle name="Comma 5 7 2 2 4" xfId="16027"/>
    <cellStyle name="Comma 5 7 2 2 4 2" xfId="30052"/>
    <cellStyle name="Comma 5 7 2 2 5" xfId="18029"/>
    <cellStyle name="Comma 5 7 2 2 5 2" xfId="32054"/>
    <cellStyle name="Comma 5 7 2 2 6" xfId="24043"/>
    <cellStyle name="Comma 5 7 2 3" xfId="12005"/>
    <cellStyle name="Comma 5 7 2 3 2" xfId="20030"/>
    <cellStyle name="Comma 5 7 2 3 2 2" xfId="34055"/>
    <cellStyle name="Comma 5 7 2 3 3" xfId="26044"/>
    <cellStyle name="Comma 5 7 2 4" xfId="14020"/>
    <cellStyle name="Comma 5 7 2 4 2" xfId="22035"/>
    <cellStyle name="Comma 5 7 2 4 2 2" xfId="36060"/>
    <cellStyle name="Comma 5 7 2 4 3" xfId="28049"/>
    <cellStyle name="Comma 5 7 2 5" xfId="16026"/>
    <cellStyle name="Comma 5 7 2 5 2" xfId="30051"/>
    <cellStyle name="Comma 5 7 2 6" xfId="18028"/>
    <cellStyle name="Comma 5 7 2 6 2" xfId="32053"/>
    <cellStyle name="Comma 5 7 2 7" xfId="24042"/>
    <cellStyle name="Comma 5 7 3" xfId="1265"/>
    <cellStyle name="Comma 5 7 3 2" xfId="12007"/>
    <cellStyle name="Comma 5 7 3 2 2" xfId="20032"/>
    <cellStyle name="Comma 5 7 3 2 2 2" xfId="34057"/>
    <cellStyle name="Comma 5 7 3 2 3" xfId="26046"/>
    <cellStyle name="Comma 5 7 3 3" xfId="14022"/>
    <cellStyle name="Comma 5 7 3 3 2" xfId="22037"/>
    <cellStyle name="Comma 5 7 3 3 2 2" xfId="36062"/>
    <cellStyle name="Comma 5 7 3 3 3" xfId="28051"/>
    <cellStyle name="Comma 5 7 3 4" xfId="16028"/>
    <cellStyle name="Comma 5 7 3 4 2" xfId="30053"/>
    <cellStyle name="Comma 5 7 3 5" xfId="18030"/>
    <cellStyle name="Comma 5 7 3 5 2" xfId="32055"/>
    <cellStyle name="Comma 5 7 3 6" xfId="24044"/>
    <cellStyle name="Comma 5 7 4" xfId="12004"/>
    <cellStyle name="Comma 5 7 4 2" xfId="20029"/>
    <cellStyle name="Comma 5 7 4 2 2" xfId="34054"/>
    <cellStyle name="Comma 5 7 4 3" xfId="26043"/>
    <cellStyle name="Comma 5 7 5" xfId="14019"/>
    <cellStyle name="Comma 5 7 5 2" xfId="22034"/>
    <cellStyle name="Comma 5 7 5 2 2" xfId="36059"/>
    <cellStyle name="Comma 5 7 5 3" xfId="28048"/>
    <cellStyle name="Comma 5 7 6" xfId="16025"/>
    <cellStyle name="Comma 5 7 6 2" xfId="30050"/>
    <cellStyle name="Comma 5 7 7" xfId="18027"/>
    <cellStyle name="Comma 5 7 7 2" xfId="32052"/>
    <cellStyle name="Comma 5 7 8" xfId="24041"/>
    <cellStyle name="Comma 5 8" xfId="1266"/>
    <cellStyle name="Comma 5 8 2" xfId="1267"/>
    <cellStyle name="Comma 5 8 2 2" xfId="12009"/>
    <cellStyle name="Comma 5 8 2 2 2" xfId="20034"/>
    <cellStyle name="Comma 5 8 2 2 2 2" xfId="34059"/>
    <cellStyle name="Comma 5 8 2 2 3" xfId="26048"/>
    <cellStyle name="Comma 5 8 2 3" xfId="14024"/>
    <cellStyle name="Comma 5 8 2 3 2" xfId="22039"/>
    <cellStyle name="Comma 5 8 2 3 2 2" xfId="36064"/>
    <cellStyle name="Comma 5 8 2 3 3" xfId="28053"/>
    <cellStyle name="Comma 5 8 2 4" xfId="16030"/>
    <cellStyle name="Comma 5 8 2 4 2" xfId="30055"/>
    <cellStyle name="Comma 5 8 2 5" xfId="18032"/>
    <cellStyle name="Comma 5 8 2 5 2" xfId="32057"/>
    <cellStyle name="Comma 5 8 2 6" xfId="24046"/>
    <cellStyle name="Comma 5 8 3" xfId="12008"/>
    <cellStyle name="Comma 5 8 3 2" xfId="20033"/>
    <cellStyle name="Comma 5 8 3 2 2" xfId="34058"/>
    <cellStyle name="Comma 5 8 3 3" xfId="26047"/>
    <cellStyle name="Comma 5 8 4" xfId="14023"/>
    <cellStyle name="Comma 5 8 4 2" xfId="22038"/>
    <cellStyle name="Comma 5 8 4 2 2" xfId="36063"/>
    <cellStyle name="Comma 5 8 4 3" xfId="28052"/>
    <cellStyle name="Comma 5 8 5" xfId="16029"/>
    <cellStyle name="Comma 5 8 5 2" xfId="30054"/>
    <cellStyle name="Comma 5 8 6" xfId="18031"/>
    <cellStyle name="Comma 5 8 6 2" xfId="32056"/>
    <cellStyle name="Comma 5 8 7" xfId="24045"/>
    <cellStyle name="Comma 5 9" xfId="1268"/>
    <cellStyle name="Comma 5 9 2" xfId="1269"/>
    <cellStyle name="Comma 5 9 2 2" xfId="12011"/>
    <cellStyle name="Comma 5 9 2 2 2" xfId="20036"/>
    <cellStyle name="Comma 5 9 2 2 2 2" xfId="34061"/>
    <cellStyle name="Comma 5 9 2 2 3" xfId="26050"/>
    <cellStyle name="Comma 5 9 2 3" xfId="14026"/>
    <cellStyle name="Comma 5 9 2 3 2" xfId="22041"/>
    <cellStyle name="Comma 5 9 2 3 2 2" xfId="36066"/>
    <cellStyle name="Comma 5 9 2 3 3" xfId="28055"/>
    <cellStyle name="Comma 5 9 2 4" xfId="16032"/>
    <cellStyle name="Comma 5 9 2 4 2" xfId="30057"/>
    <cellStyle name="Comma 5 9 2 5" xfId="18034"/>
    <cellStyle name="Comma 5 9 2 5 2" xfId="32059"/>
    <cellStyle name="Comma 5 9 2 6" xfId="24048"/>
    <cellStyle name="Comma 5 9 3" xfId="12010"/>
    <cellStyle name="Comma 5 9 3 2" xfId="20035"/>
    <cellStyle name="Comma 5 9 3 2 2" xfId="34060"/>
    <cellStyle name="Comma 5 9 3 3" xfId="26049"/>
    <cellStyle name="Comma 5 9 4" xfId="14025"/>
    <cellStyle name="Comma 5 9 4 2" xfId="22040"/>
    <cellStyle name="Comma 5 9 4 2 2" xfId="36065"/>
    <cellStyle name="Comma 5 9 4 3" xfId="28054"/>
    <cellStyle name="Comma 5 9 5" xfId="16031"/>
    <cellStyle name="Comma 5 9 5 2" xfId="30056"/>
    <cellStyle name="Comma 5 9 6" xfId="18033"/>
    <cellStyle name="Comma 5 9 6 2" xfId="32058"/>
    <cellStyle name="Comma 5 9 7" xfId="24047"/>
    <cellStyle name="Comma 6" xfId="419"/>
    <cellStyle name="Comma 6 10" xfId="1270"/>
    <cellStyle name="Comma 6 10 2" xfId="12012"/>
    <cellStyle name="Comma 6 10 2 2" xfId="20037"/>
    <cellStyle name="Comma 6 10 2 2 2" xfId="34062"/>
    <cellStyle name="Comma 6 10 2 3" xfId="26051"/>
    <cellStyle name="Comma 6 10 3" xfId="14027"/>
    <cellStyle name="Comma 6 10 3 2" xfId="22042"/>
    <cellStyle name="Comma 6 10 3 2 2" xfId="36067"/>
    <cellStyle name="Comma 6 10 3 3" xfId="28056"/>
    <cellStyle name="Comma 6 10 4" xfId="16033"/>
    <cellStyle name="Comma 6 10 4 2" xfId="30058"/>
    <cellStyle name="Comma 6 10 5" xfId="18035"/>
    <cellStyle name="Comma 6 10 5 2" xfId="32060"/>
    <cellStyle name="Comma 6 10 6" xfId="24049"/>
    <cellStyle name="Comma 6 11" xfId="11618"/>
    <cellStyle name="Comma 6 2" xfId="420"/>
    <cellStyle name="Comma 6 2 10" xfId="1271"/>
    <cellStyle name="Comma 6 2 10 2" xfId="12013"/>
    <cellStyle name="Comma 6 2 10 2 2" xfId="20038"/>
    <cellStyle name="Comma 6 2 10 2 2 2" xfId="34063"/>
    <cellStyle name="Comma 6 2 10 2 3" xfId="26052"/>
    <cellStyle name="Comma 6 2 10 3" xfId="14028"/>
    <cellStyle name="Comma 6 2 10 3 2" xfId="22043"/>
    <cellStyle name="Comma 6 2 10 3 2 2" xfId="36068"/>
    <cellStyle name="Comma 6 2 10 3 3" xfId="28057"/>
    <cellStyle name="Comma 6 2 10 4" xfId="16034"/>
    <cellStyle name="Comma 6 2 10 4 2" xfId="30059"/>
    <cellStyle name="Comma 6 2 10 5" xfId="18036"/>
    <cellStyle name="Comma 6 2 10 5 2" xfId="32061"/>
    <cellStyle name="Comma 6 2 10 6" xfId="24050"/>
    <cellStyle name="Comma 6 2 11" xfId="11619"/>
    <cellStyle name="Comma 6 2 2" xfId="421"/>
    <cellStyle name="Comma 6 2 2 2" xfId="11620"/>
    <cellStyle name="Comma 6 2 3" xfId="1272"/>
    <cellStyle name="Comma 6 2 3 10" xfId="16035"/>
    <cellStyle name="Comma 6 2 3 10 2" xfId="30060"/>
    <cellStyle name="Comma 6 2 3 11" xfId="18037"/>
    <cellStyle name="Comma 6 2 3 11 2" xfId="32062"/>
    <cellStyle name="Comma 6 2 3 12" xfId="24051"/>
    <cellStyle name="Comma 6 2 3 2" xfId="1273"/>
    <cellStyle name="Comma 6 2 3 2 10" xfId="18038"/>
    <cellStyle name="Comma 6 2 3 2 10 2" xfId="32063"/>
    <cellStyle name="Comma 6 2 3 2 11" xfId="24052"/>
    <cellStyle name="Comma 6 2 3 2 2" xfId="1274"/>
    <cellStyle name="Comma 6 2 3 2 2 10" xfId="24053"/>
    <cellStyle name="Comma 6 2 3 2 2 2" xfId="1275"/>
    <cellStyle name="Comma 6 2 3 2 2 2 2" xfId="1276"/>
    <cellStyle name="Comma 6 2 3 2 2 2 2 2" xfId="1277"/>
    <cellStyle name="Comma 6 2 3 2 2 2 2 2 2" xfId="12019"/>
    <cellStyle name="Comma 6 2 3 2 2 2 2 2 2 2" xfId="20044"/>
    <cellStyle name="Comma 6 2 3 2 2 2 2 2 2 2 2" xfId="34069"/>
    <cellStyle name="Comma 6 2 3 2 2 2 2 2 2 3" xfId="26058"/>
    <cellStyle name="Comma 6 2 3 2 2 2 2 2 3" xfId="14034"/>
    <cellStyle name="Comma 6 2 3 2 2 2 2 2 3 2" xfId="22049"/>
    <cellStyle name="Comma 6 2 3 2 2 2 2 2 3 2 2" xfId="36074"/>
    <cellStyle name="Comma 6 2 3 2 2 2 2 2 3 3" xfId="28063"/>
    <cellStyle name="Comma 6 2 3 2 2 2 2 2 4" xfId="16040"/>
    <cellStyle name="Comma 6 2 3 2 2 2 2 2 4 2" xfId="30065"/>
    <cellStyle name="Comma 6 2 3 2 2 2 2 2 5" xfId="18042"/>
    <cellStyle name="Comma 6 2 3 2 2 2 2 2 5 2" xfId="32067"/>
    <cellStyle name="Comma 6 2 3 2 2 2 2 2 6" xfId="24056"/>
    <cellStyle name="Comma 6 2 3 2 2 2 2 3" xfId="12018"/>
    <cellStyle name="Comma 6 2 3 2 2 2 2 3 2" xfId="20043"/>
    <cellStyle name="Comma 6 2 3 2 2 2 2 3 2 2" xfId="34068"/>
    <cellStyle name="Comma 6 2 3 2 2 2 2 3 3" xfId="26057"/>
    <cellStyle name="Comma 6 2 3 2 2 2 2 4" xfId="14033"/>
    <cellStyle name="Comma 6 2 3 2 2 2 2 4 2" xfId="22048"/>
    <cellStyle name="Comma 6 2 3 2 2 2 2 4 2 2" xfId="36073"/>
    <cellStyle name="Comma 6 2 3 2 2 2 2 4 3" xfId="28062"/>
    <cellStyle name="Comma 6 2 3 2 2 2 2 5" xfId="16039"/>
    <cellStyle name="Comma 6 2 3 2 2 2 2 5 2" xfId="30064"/>
    <cellStyle name="Comma 6 2 3 2 2 2 2 6" xfId="18041"/>
    <cellStyle name="Comma 6 2 3 2 2 2 2 6 2" xfId="32066"/>
    <cellStyle name="Comma 6 2 3 2 2 2 2 7" xfId="24055"/>
    <cellStyle name="Comma 6 2 3 2 2 2 3" xfId="1278"/>
    <cellStyle name="Comma 6 2 3 2 2 2 3 2" xfId="12020"/>
    <cellStyle name="Comma 6 2 3 2 2 2 3 2 2" xfId="20045"/>
    <cellStyle name="Comma 6 2 3 2 2 2 3 2 2 2" xfId="34070"/>
    <cellStyle name="Comma 6 2 3 2 2 2 3 2 3" xfId="26059"/>
    <cellStyle name="Comma 6 2 3 2 2 2 3 3" xfId="14035"/>
    <cellStyle name="Comma 6 2 3 2 2 2 3 3 2" xfId="22050"/>
    <cellStyle name="Comma 6 2 3 2 2 2 3 3 2 2" xfId="36075"/>
    <cellStyle name="Comma 6 2 3 2 2 2 3 3 3" xfId="28064"/>
    <cellStyle name="Comma 6 2 3 2 2 2 3 4" xfId="16041"/>
    <cellStyle name="Comma 6 2 3 2 2 2 3 4 2" xfId="30066"/>
    <cellStyle name="Comma 6 2 3 2 2 2 3 5" xfId="18043"/>
    <cellStyle name="Comma 6 2 3 2 2 2 3 5 2" xfId="32068"/>
    <cellStyle name="Comma 6 2 3 2 2 2 3 6" xfId="24057"/>
    <cellStyle name="Comma 6 2 3 2 2 2 4" xfId="12017"/>
    <cellStyle name="Comma 6 2 3 2 2 2 4 2" xfId="20042"/>
    <cellStyle name="Comma 6 2 3 2 2 2 4 2 2" xfId="34067"/>
    <cellStyle name="Comma 6 2 3 2 2 2 4 3" xfId="26056"/>
    <cellStyle name="Comma 6 2 3 2 2 2 5" xfId="14032"/>
    <cellStyle name="Comma 6 2 3 2 2 2 5 2" xfId="22047"/>
    <cellStyle name="Comma 6 2 3 2 2 2 5 2 2" xfId="36072"/>
    <cellStyle name="Comma 6 2 3 2 2 2 5 3" xfId="28061"/>
    <cellStyle name="Comma 6 2 3 2 2 2 6" xfId="16038"/>
    <cellStyle name="Comma 6 2 3 2 2 2 6 2" xfId="30063"/>
    <cellStyle name="Comma 6 2 3 2 2 2 7" xfId="18040"/>
    <cellStyle name="Comma 6 2 3 2 2 2 7 2" xfId="32065"/>
    <cellStyle name="Comma 6 2 3 2 2 2 8" xfId="24054"/>
    <cellStyle name="Comma 6 2 3 2 2 3" xfId="1279"/>
    <cellStyle name="Comma 6 2 3 2 2 3 2" xfId="1280"/>
    <cellStyle name="Comma 6 2 3 2 2 3 2 2" xfId="12022"/>
    <cellStyle name="Comma 6 2 3 2 2 3 2 2 2" xfId="20047"/>
    <cellStyle name="Comma 6 2 3 2 2 3 2 2 2 2" xfId="34072"/>
    <cellStyle name="Comma 6 2 3 2 2 3 2 2 3" xfId="26061"/>
    <cellStyle name="Comma 6 2 3 2 2 3 2 3" xfId="14037"/>
    <cellStyle name="Comma 6 2 3 2 2 3 2 3 2" xfId="22052"/>
    <cellStyle name="Comma 6 2 3 2 2 3 2 3 2 2" xfId="36077"/>
    <cellStyle name="Comma 6 2 3 2 2 3 2 3 3" xfId="28066"/>
    <cellStyle name="Comma 6 2 3 2 2 3 2 4" xfId="16043"/>
    <cellStyle name="Comma 6 2 3 2 2 3 2 4 2" xfId="30068"/>
    <cellStyle name="Comma 6 2 3 2 2 3 2 5" xfId="18045"/>
    <cellStyle name="Comma 6 2 3 2 2 3 2 5 2" xfId="32070"/>
    <cellStyle name="Comma 6 2 3 2 2 3 2 6" xfId="24059"/>
    <cellStyle name="Comma 6 2 3 2 2 3 3" xfId="12021"/>
    <cellStyle name="Comma 6 2 3 2 2 3 3 2" xfId="20046"/>
    <cellStyle name="Comma 6 2 3 2 2 3 3 2 2" xfId="34071"/>
    <cellStyle name="Comma 6 2 3 2 2 3 3 3" xfId="26060"/>
    <cellStyle name="Comma 6 2 3 2 2 3 4" xfId="14036"/>
    <cellStyle name="Comma 6 2 3 2 2 3 4 2" xfId="22051"/>
    <cellStyle name="Comma 6 2 3 2 2 3 4 2 2" xfId="36076"/>
    <cellStyle name="Comma 6 2 3 2 2 3 4 3" xfId="28065"/>
    <cellStyle name="Comma 6 2 3 2 2 3 5" xfId="16042"/>
    <cellStyle name="Comma 6 2 3 2 2 3 5 2" xfId="30067"/>
    <cellStyle name="Comma 6 2 3 2 2 3 6" xfId="18044"/>
    <cellStyle name="Comma 6 2 3 2 2 3 6 2" xfId="32069"/>
    <cellStyle name="Comma 6 2 3 2 2 3 7" xfId="24058"/>
    <cellStyle name="Comma 6 2 3 2 2 4" xfId="1281"/>
    <cellStyle name="Comma 6 2 3 2 2 4 2" xfId="1282"/>
    <cellStyle name="Comma 6 2 3 2 2 4 2 2" xfId="12024"/>
    <cellStyle name="Comma 6 2 3 2 2 4 2 2 2" xfId="20049"/>
    <cellStyle name="Comma 6 2 3 2 2 4 2 2 2 2" xfId="34074"/>
    <cellStyle name="Comma 6 2 3 2 2 4 2 2 3" xfId="26063"/>
    <cellStyle name="Comma 6 2 3 2 2 4 2 3" xfId="14039"/>
    <cellStyle name="Comma 6 2 3 2 2 4 2 3 2" xfId="22054"/>
    <cellStyle name="Comma 6 2 3 2 2 4 2 3 2 2" xfId="36079"/>
    <cellStyle name="Comma 6 2 3 2 2 4 2 3 3" xfId="28068"/>
    <cellStyle name="Comma 6 2 3 2 2 4 2 4" xfId="16045"/>
    <cellStyle name="Comma 6 2 3 2 2 4 2 4 2" xfId="30070"/>
    <cellStyle name="Comma 6 2 3 2 2 4 2 5" xfId="18047"/>
    <cellStyle name="Comma 6 2 3 2 2 4 2 5 2" xfId="32072"/>
    <cellStyle name="Comma 6 2 3 2 2 4 2 6" xfId="24061"/>
    <cellStyle name="Comma 6 2 3 2 2 4 3" xfId="12023"/>
    <cellStyle name="Comma 6 2 3 2 2 4 3 2" xfId="20048"/>
    <cellStyle name="Comma 6 2 3 2 2 4 3 2 2" xfId="34073"/>
    <cellStyle name="Comma 6 2 3 2 2 4 3 3" xfId="26062"/>
    <cellStyle name="Comma 6 2 3 2 2 4 4" xfId="14038"/>
    <cellStyle name="Comma 6 2 3 2 2 4 4 2" xfId="22053"/>
    <cellStyle name="Comma 6 2 3 2 2 4 4 2 2" xfId="36078"/>
    <cellStyle name="Comma 6 2 3 2 2 4 4 3" xfId="28067"/>
    <cellStyle name="Comma 6 2 3 2 2 4 5" xfId="16044"/>
    <cellStyle name="Comma 6 2 3 2 2 4 5 2" xfId="30069"/>
    <cellStyle name="Comma 6 2 3 2 2 4 6" xfId="18046"/>
    <cellStyle name="Comma 6 2 3 2 2 4 6 2" xfId="32071"/>
    <cellStyle name="Comma 6 2 3 2 2 4 7" xfId="24060"/>
    <cellStyle name="Comma 6 2 3 2 2 5" xfId="1283"/>
    <cellStyle name="Comma 6 2 3 2 2 5 2" xfId="12025"/>
    <cellStyle name="Comma 6 2 3 2 2 5 2 2" xfId="20050"/>
    <cellStyle name="Comma 6 2 3 2 2 5 2 2 2" xfId="34075"/>
    <cellStyle name="Comma 6 2 3 2 2 5 2 3" xfId="26064"/>
    <cellStyle name="Comma 6 2 3 2 2 5 3" xfId="14040"/>
    <cellStyle name="Comma 6 2 3 2 2 5 3 2" xfId="22055"/>
    <cellStyle name="Comma 6 2 3 2 2 5 3 2 2" xfId="36080"/>
    <cellStyle name="Comma 6 2 3 2 2 5 3 3" xfId="28069"/>
    <cellStyle name="Comma 6 2 3 2 2 5 4" xfId="16046"/>
    <cellStyle name="Comma 6 2 3 2 2 5 4 2" xfId="30071"/>
    <cellStyle name="Comma 6 2 3 2 2 5 5" xfId="18048"/>
    <cellStyle name="Comma 6 2 3 2 2 5 5 2" xfId="32073"/>
    <cellStyle name="Comma 6 2 3 2 2 5 6" xfId="24062"/>
    <cellStyle name="Comma 6 2 3 2 2 6" xfId="12016"/>
    <cellStyle name="Comma 6 2 3 2 2 6 2" xfId="20041"/>
    <cellStyle name="Comma 6 2 3 2 2 6 2 2" xfId="34066"/>
    <cellStyle name="Comma 6 2 3 2 2 6 3" xfId="26055"/>
    <cellStyle name="Comma 6 2 3 2 2 7" xfId="14031"/>
    <cellStyle name="Comma 6 2 3 2 2 7 2" xfId="22046"/>
    <cellStyle name="Comma 6 2 3 2 2 7 2 2" xfId="36071"/>
    <cellStyle name="Comma 6 2 3 2 2 7 3" xfId="28060"/>
    <cellStyle name="Comma 6 2 3 2 2 8" xfId="16037"/>
    <cellStyle name="Comma 6 2 3 2 2 8 2" xfId="30062"/>
    <cellStyle name="Comma 6 2 3 2 2 9" xfId="18039"/>
    <cellStyle name="Comma 6 2 3 2 2 9 2" xfId="32064"/>
    <cellStyle name="Comma 6 2 3 2 3" xfId="1284"/>
    <cellStyle name="Comma 6 2 3 2 3 2" xfId="1285"/>
    <cellStyle name="Comma 6 2 3 2 3 2 2" xfId="1286"/>
    <cellStyle name="Comma 6 2 3 2 3 2 2 2" xfId="12028"/>
    <cellStyle name="Comma 6 2 3 2 3 2 2 2 2" xfId="20053"/>
    <cellStyle name="Comma 6 2 3 2 3 2 2 2 2 2" xfId="34078"/>
    <cellStyle name="Comma 6 2 3 2 3 2 2 2 3" xfId="26067"/>
    <cellStyle name="Comma 6 2 3 2 3 2 2 3" xfId="14043"/>
    <cellStyle name="Comma 6 2 3 2 3 2 2 3 2" xfId="22058"/>
    <cellStyle name="Comma 6 2 3 2 3 2 2 3 2 2" xfId="36083"/>
    <cellStyle name="Comma 6 2 3 2 3 2 2 3 3" xfId="28072"/>
    <cellStyle name="Comma 6 2 3 2 3 2 2 4" xfId="16049"/>
    <cellStyle name="Comma 6 2 3 2 3 2 2 4 2" xfId="30074"/>
    <cellStyle name="Comma 6 2 3 2 3 2 2 5" xfId="18051"/>
    <cellStyle name="Comma 6 2 3 2 3 2 2 5 2" xfId="32076"/>
    <cellStyle name="Comma 6 2 3 2 3 2 2 6" xfId="24065"/>
    <cellStyle name="Comma 6 2 3 2 3 2 3" xfId="12027"/>
    <cellStyle name="Comma 6 2 3 2 3 2 3 2" xfId="20052"/>
    <cellStyle name="Comma 6 2 3 2 3 2 3 2 2" xfId="34077"/>
    <cellStyle name="Comma 6 2 3 2 3 2 3 3" xfId="26066"/>
    <cellStyle name="Comma 6 2 3 2 3 2 4" xfId="14042"/>
    <cellStyle name="Comma 6 2 3 2 3 2 4 2" xfId="22057"/>
    <cellStyle name="Comma 6 2 3 2 3 2 4 2 2" xfId="36082"/>
    <cellStyle name="Comma 6 2 3 2 3 2 4 3" xfId="28071"/>
    <cellStyle name="Comma 6 2 3 2 3 2 5" xfId="16048"/>
    <cellStyle name="Comma 6 2 3 2 3 2 5 2" xfId="30073"/>
    <cellStyle name="Comma 6 2 3 2 3 2 6" xfId="18050"/>
    <cellStyle name="Comma 6 2 3 2 3 2 6 2" xfId="32075"/>
    <cellStyle name="Comma 6 2 3 2 3 2 7" xfId="24064"/>
    <cellStyle name="Comma 6 2 3 2 3 3" xfId="1287"/>
    <cellStyle name="Comma 6 2 3 2 3 3 2" xfId="12029"/>
    <cellStyle name="Comma 6 2 3 2 3 3 2 2" xfId="20054"/>
    <cellStyle name="Comma 6 2 3 2 3 3 2 2 2" xfId="34079"/>
    <cellStyle name="Comma 6 2 3 2 3 3 2 3" xfId="26068"/>
    <cellStyle name="Comma 6 2 3 2 3 3 3" xfId="14044"/>
    <cellStyle name="Comma 6 2 3 2 3 3 3 2" xfId="22059"/>
    <cellStyle name="Comma 6 2 3 2 3 3 3 2 2" xfId="36084"/>
    <cellStyle name="Comma 6 2 3 2 3 3 3 3" xfId="28073"/>
    <cellStyle name="Comma 6 2 3 2 3 3 4" xfId="16050"/>
    <cellStyle name="Comma 6 2 3 2 3 3 4 2" xfId="30075"/>
    <cellStyle name="Comma 6 2 3 2 3 3 5" xfId="18052"/>
    <cellStyle name="Comma 6 2 3 2 3 3 5 2" xfId="32077"/>
    <cellStyle name="Comma 6 2 3 2 3 3 6" xfId="24066"/>
    <cellStyle name="Comma 6 2 3 2 3 4" xfId="12026"/>
    <cellStyle name="Comma 6 2 3 2 3 4 2" xfId="20051"/>
    <cellStyle name="Comma 6 2 3 2 3 4 2 2" xfId="34076"/>
    <cellStyle name="Comma 6 2 3 2 3 4 3" xfId="26065"/>
    <cellStyle name="Comma 6 2 3 2 3 5" xfId="14041"/>
    <cellStyle name="Comma 6 2 3 2 3 5 2" xfId="22056"/>
    <cellStyle name="Comma 6 2 3 2 3 5 2 2" xfId="36081"/>
    <cellStyle name="Comma 6 2 3 2 3 5 3" xfId="28070"/>
    <cellStyle name="Comma 6 2 3 2 3 6" xfId="16047"/>
    <cellStyle name="Comma 6 2 3 2 3 6 2" xfId="30072"/>
    <cellStyle name="Comma 6 2 3 2 3 7" xfId="18049"/>
    <cellStyle name="Comma 6 2 3 2 3 7 2" xfId="32074"/>
    <cellStyle name="Comma 6 2 3 2 3 8" xfId="24063"/>
    <cellStyle name="Comma 6 2 3 2 4" xfId="1288"/>
    <cellStyle name="Comma 6 2 3 2 4 2" xfId="1289"/>
    <cellStyle name="Comma 6 2 3 2 4 2 2" xfId="12031"/>
    <cellStyle name="Comma 6 2 3 2 4 2 2 2" xfId="20056"/>
    <cellStyle name="Comma 6 2 3 2 4 2 2 2 2" xfId="34081"/>
    <cellStyle name="Comma 6 2 3 2 4 2 2 3" xfId="26070"/>
    <cellStyle name="Comma 6 2 3 2 4 2 3" xfId="14046"/>
    <cellStyle name="Comma 6 2 3 2 4 2 3 2" xfId="22061"/>
    <cellStyle name="Comma 6 2 3 2 4 2 3 2 2" xfId="36086"/>
    <cellStyle name="Comma 6 2 3 2 4 2 3 3" xfId="28075"/>
    <cellStyle name="Comma 6 2 3 2 4 2 4" xfId="16052"/>
    <cellStyle name="Comma 6 2 3 2 4 2 4 2" xfId="30077"/>
    <cellStyle name="Comma 6 2 3 2 4 2 5" xfId="18054"/>
    <cellStyle name="Comma 6 2 3 2 4 2 5 2" xfId="32079"/>
    <cellStyle name="Comma 6 2 3 2 4 2 6" xfId="24068"/>
    <cellStyle name="Comma 6 2 3 2 4 3" xfId="12030"/>
    <cellStyle name="Comma 6 2 3 2 4 3 2" xfId="20055"/>
    <cellStyle name="Comma 6 2 3 2 4 3 2 2" xfId="34080"/>
    <cellStyle name="Comma 6 2 3 2 4 3 3" xfId="26069"/>
    <cellStyle name="Comma 6 2 3 2 4 4" xfId="14045"/>
    <cellStyle name="Comma 6 2 3 2 4 4 2" xfId="22060"/>
    <cellStyle name="Comma 6 2 3 2 4 4 2 2" xfId="36085"/>
    <cellStyle name="Comma 6 2 3 2 4 4 3" xfId="28074"/>
    <cellStyle name="Comma 6 2 3 2 4 5" xfId="16051"/>
    <cellStyle name="Comma 6 2 3 2 4 5 2" xfId="30076"/>
    <cellStyle name="Comma 6 2 3 2 4 6" xfId="18053"/>
    <cellStyle name="Comma 6 2 3 2 4 6 2" xfId="32078"/>
    <cellStyle name="Comma 6 2 3 2 4 7" xfId="24067"/>
    <cellStyle name="Comma 6 2 3 2 5" xfId="1290"/>
    <cellStyle name="Comma 6 2 3 2 5 2" xfId="1291"/>
    <cellStyle name="Comma 6 2 3 2 5 2 2" xfId="12033"/>
    <cellStyle name="Comma 6 2 3 2 5 2 2 2" xfId="20058"/>
    <cellStyle name="Comma 6 2 3 2 5 2 2 2 2" xfId="34083"/>
    <cellStyle name="Comma 6 2 3 2 5 2 2 3" xfId="26072"/>
    <cellStyle name="Comma 6 2 3 2 5 2 3" xfId="14048"/>
    <cellStyle name="Comma 6 2 3 2 5 2 3 2" xfId="22063"/>
    <cellStyle name="Comma 6 2 3 2 5 2 3 2 2" xfId="36088"/>
    <cellStyle name="Comma 6 2 3 2 5 2 3 3" xfId="28077"/>
    <cellStyle name="Comma 6 2 3 2 5 2 4" xfId="16054"/>
    <cellStyle name="Comma 6 2 3 2 5 2 4 2" xfId="30079"/>
    <cellStyle name="Comma 6 2 3 2 5 2 5" xfId="18056"/>
    <cellStyle name="Comma 6 2 3 2 5 2 5 2" xfId="32081"/>
    <cellStyle name="Comma 6 2 3 2 5 2 6" xfId="24070"/>
    <cellStyle name="Comma 6 2 3 2 5 3" xfId="12032"/>
    <cellStyle name="Comma 6 2 3 2 5 3 2" xfId="20057"/>
    <cellStyle name="Comma 6 2 3 2 5 3 2 2" xfId="34082"/>
    <cellStyle name="Comma 6 2 3 2 5 3 3" xfId="26071"/>
    <cellStyle name="Comma 6 2 3 2 5 4" xfId="14047"/>
    <cellStyle name="Comma 6 2 3 2 5 4 2" xfId="22062"/>
    <cellStyle name="Comma 6 2 3 2 5 4 2 2" xfId="36087"/>
    <cellStyle name="Comma 6 2 3 2 5 4 3" xfId="28076"/>
    <cellStyle name="Comma 6 2 3 2 5 5" xfId="16053"/>
    <cellStyle name="Comma 6 2 3 2 5 5 2" xfId="30078"/>
    <cellStyle name="Comma 6 2 3 2 5 6" xfId="18055"/>
    <cellStyle name="Comma 6 2 3 2 5 6 2" xfId="32080"/>
    <cellStyle name="Comma 6 2 3 2 5 7" xfId="24069"/>
    <cellStyle name="Comma 6 2 3 2 6" xfId="1292"/>
    <cellStyle name="Comma 6 2 3 2 6 2" xfId="12034"/>
    <cellStyle name="Comma 6 2 3 2 6 2 2" xfId="20059"/>
    <cellStyle name="Comma 6 2 3 2 6 2 2 2" xfId="34084"/>
    <cellStyle name="Comma 6 2 3 2 6 2 3" xfId="26073"/>
    <cellStyle name="Comma 6 2 3 2 6 3" xfId="14049"/>
    <cellStyle name="Comma 6 2 3 2 6 3 2" xfId="22064"/>
    <cellStyle name="Comma 6 2 3 2 6 3 2 2" xfId="36089"/>
    <cellStyle name="Comma 6 2 3 2 6 3 3" xfId="28078"/>
    <cellStyle name="Comma 6 2 3 2 6 4" xfId="16055"/>
    <cellStyle name="Comma 6 2 3 2 6 4 2" xfId="30080"/>
    <cellStyle name="Comma 6 2 3 2 6 5" xfId="18057"/>
    <cellStyle name="Comma 6 2 3 2 6 5 2" xfId="32082"/>
    <cellStyle name="Comma 6 2 3 2 6 6" xfId="24071"/>
    <cellStyle name="Comma 6 2 3 2 7" xfId="12015"/>
    <cellStyle name="Comma 6 2 3 2 7 2" xfId="20040"/>
    <cellStyle name="Comma 6 2 3 2 7 2 2" xfId="34065"/>
    <cellStyle name="Comma 6 2 3 2 7 3" xfId="26054"/>
    <cellStyle name="Comma 6 2 3 2 8" xfId="14030"/>
    <cellStyle name="Comma 6 2 3 2 8 2" xfId="22045"/>
    <cellStyle name="Comma 6 2 3 2 8 2 2" xfId="36070"/>
    <cellStyle name="Comma 6 2 3 2 8 3" xfId="28059"/>
    <cellStyle name="Comma 6 2 3 2 9" xfId="16036"/>
    <cellStyle name="Comma 6 2 3 2 9 2" xfId="30061"/>
    <cellStyle name="Comma 6 2 3 3" xfId="1293"/>
    <cellStyle name="Comma 6 2 3 3 10" xfId="24072"/>
    <cellStyle name="Comma 6 2 3 3 2" xfId="1294"/>
    <cellStyle name="Comma 6 2 3 3 2 2" xfId="1295"/>
    <cellStyle name="Comma 6 2 3 3 2 2 2" xfId="1296"/>
    <cellStyle name="Comma 6 2 3 3 2 2 2 2" xfId="12038"/>
    <cellStyle name="Comma 6 2 3 3 2 2 2 2 2" xfId="20063"/>
    <cellStyle name="Comma 6 2 3 3 2 2 2 2 2 2" xfId="34088"/>
    <cellStyle name="Comma 6 2 3 3 2 2 2 2 3" xfId="26077"/>
    <cellStyle name="Comma 6 2 3 3 2 2 2 3" xfId="14053"/>
    <cellStyle name="Comma 6 2 3 3 2 2 2 3 2" xfId="22068"/>
    <cellStyle name="Comma 6 2 3 3 2 2 2 3 2 2" xfId="36093"/>
    <cellStyle name="Comma 6 2 3 3 2 2 2 3 3" xfId="28082"/>
    <cellStyle name="Comma 6 2 3 3 2 2 2 4" xfId="16059"/>
    <cellStyle name="Comma 6 2 3 3 2 2 2 4 2" xfId="30084"/>
    <cellStyle name="Comma 6 2 3 3 2 2 2 5" xfId="18061"/>
    <cellStyle name="Comma 6 2 3 3 2 2 2 5 2" xfId="32086"/>
    <cellStyle name="Comma 6 2 3 3 2 2 2 6" xfId="24075"/>
    <cellStyle name="Comma 6 2 3 3 2 2 3" xfId="12037"/>
    <cellStyle name="Comma 6 2 3 3 2 2 3 2" xfId="20062"/>
    <cellStyle name="Comma 6 2 3 3 2 2 3 2 2" xfId="34087"/>
    <cellStyle name="Comma 6 2 3 3 2 2 3 3" xfId="26076"/>
    <cellStyle name="Comma 6 2 3 3 2 2 4" xfId="14052"/>
    <cellStyle name="Comma 6 2 3 3 2 2 4 2" xfId="22067"/>
    <cellStyle name="Comma 6 2 3 3 2 2 4 2 2" xfId="36092"/>
    <cellStyle name="Comma 6 2 3 3 2 2 4 3" xfId="28081"/>
    <cellStyle name="Comma 6 2 3 3 2 2 5" xfId="16058"/>
    <cellStyle name="Comma 6 2 3 3 2 2 5 2" xfId="30083"/>
    <cellStyle name="Comma 6 2 3 3 2 2 6" xfId="18060"/>
    <cellStyle name="Comma 6 2 3 3 2 2 6 2" xfId="32085"/>
    <cellStyle name="Comma 6 2 3 3 2 2 7" xfId="24074"/>
    <cellStyle name="Comma 6 2 3 3 2 3" xfId="1297"/>
    <cellStyle name="Comma 6 2 3 3 2 3 2" xfId="12039"/>
    <cellStyle name="Comma 6 2 3 3 2 3 2 2" xfId="20064"/>
    <cellStyle name="Comma 6 2 3 3 2 3 2 2 2" xfId="34089"/>
    <cellStyle name="Comma 6 2 3 3 2 3 2 3" xfId="26078"/>
    <cellStyle name="Comma 6 2 3 3 2 3 3" xfId="14054"/>
    <cellStyle name="Comma 6 2 3 3 2 3 3 2" xfId="22069"/>
    <cellStyle name="Comma 6 2 3 3 2 3 3 2 2" xfId="36094"/>
    <cellStyle name="Comma 6 2 3 3 2 3 3 3" xfId="28083"/>
    <cellStyle name="Comma 6 2 3 3 2 3 4" xfId="16060"/>
    <cellStyle name="Comma 6 2 3 3 2 3 4 2" xfId="30085"/>
    <cellStyle name="Comma 6 2 3 3 2 3 5" xfId="18062"/>
    <cellStyle name="Comma 6 2 3 3 2 3 5 2" xfId="32087"/>
    <cellStyle name="Comma 6 2 3 3 2 3 6" xfId="24076"/>
    <cellStyle name="Comma 6 2 3 3 2 4" xfId="12036"/>
    <cellStyle name="Comma 6 2 3 3 2 4 2" xfId="20061"/>
    <cellStyle name="Comma 6 2 3 3 2 4 2 2" xfId="34086"/>
    <cellStyle name="Comma 6 2 3 3 2 4 3" xfId="26075"/>
    <cellStyle name="Comma 6 2 3 3 2 5" xfId="14051"/>
    <cellStyle name="Comma 6 2 3 3 2 5 2" xfId="22066"/>
    <cellStyle name="Comma 6 2 3 3 2 5 2 2" xfId="36091"/>
    <cellStyle name="Comma 6 2 3 3 2 5 3" xfId="28080"/>
    <cellStyle name="Comma 6 2 3 3 2 6" xfId="16057"/>
    <cellStyle name="Comma 6 2 3 3 2 6 2" xfId="30082"/>
    <cellStyle name="Comma 6 2 3 3 2 7" xfId="18059"/>
    <cellStyle name="Comma 6 2 3 3 2 7 2" xfId="32084"/>
    <cellStyle name="Comma 6 2 3 3 2 8" xfId="24073"/>
    <cellStyle name="Comma 6 2 3 3 3" xfId="1298"/>
    <cellStyle name="Comma 6 2 3 3 3 2" xfId="1299"/>
    <cellStyle name="Comma 6 2 3 3 3 2 2" xfId="12041"/>
    <cellStyle name="Comma 6 2 3 3 3 2 2 2" xfId="20066"/>
    <cellStyle name="Comma 6 2 3 3 3 2 2 2 2" xfId="34091"/>
    <cellStyle name="Comma 6 2 3 3 3 2 2 3" xfId="26080"/>
    <cellStyle name="Comma 6 2 3 3 3 2 3" xfId="14056"/>
    <cellStyle name="Comma 6 2 3 3 3 2 3 2" xfId="22071"/>
    <cellStyle name="Comma 6 2 3 3 3 2 3 2 2" xfId="36096"/>
    <cellStyle name="Comma 6 2 3 3 3 2 3 3" xfId="28085"/>
    <cellStyle name="Comma 6 2 3 3 3 2 4" xfId="16062"/>
    <cellStyle name="Comma 6 2 3 3 3 2 4 2" xfId="30087"/>
    <cellStyle name="Comma 6 2 3 3 3 2 5" xfId="18064"/>
    <cellStyle name="Comma 6 2 3 3 3 2 5 2" xfId="32089"/>
    <cellStyle name="Comma 6 2 3 3 3 2 6" xfId="24078"/>
    <cellStyle name="Comma 6 2 3 3 3 3" xfId="12040"/>
    <cellStyle name="Comma 6 2 3 3 3 3 2" xfId="20065"/>
    <cellStyle name="Comma 6 2 3 3 3 3 2 2" xfId="34090"/>
    <cellStyle name="Comma 6 2 3 3 3 3 3" xfId="26079"/>
    <cellStyle name="Comma 6 2 3 3 3 4" xfId="14055"/>
    <cellStyle name="Comma 6 2 3 3 3 4 2" xfId="22070"/>
    <cellStyle name="Comma 6 2 3 3 3 4 2 2" xfId="36095"/>
    <cellStyle name="Comma 6 2 3 3 3 4 3" xfId="28084"/>
    <cellStyle name="Comma 6 2 3 3 3 5" xfId="16061"/>
    <cellStyle name="Comma 6 2 3 3 3 5 2" xfId="30086"/>
    <cellStyle name="Comma 6 2 3 3 3 6" xfId="18063"/>
    <cellStyle name="Comma 6 2 3 3 3 6 2" xfId="32088"/>
    <cellStyle name="Comma 6 2 3 3 3 7" xfId="24077"/>
    <cellStyle name="Comma 6 2 3 3 4" xfId="1300"/>
    <cellStyle name="Comma 6 2 3 3 4 2" xfId="1301"/>
    <cellStyle name="Comma 6 2 3 3 4 2 2" xfId="12043"/>
    <cellStyle name="Comma 6 2 3 3 4 2 2 2" xfId="20068"/>
    <cellStyle name="Comma 6 2 3 3 4 2 2 2 2" xfId="34093"/>
    <cellStyle name="Comma 6 2 3 3 4 2 2 3" xfId="26082"/>
    <cellStyle name="Comma 6 2 3 3 4 2 3" xfId="14058"/>
    <cellStyle name="Comma 6 2 3 3 4 2 3 2" xfId="22073"/>
    <cellStyle name="Comma 6 2 3 3 4 2 3 2 2" xfId="36098"/>
    <cellStyle name="Comma 6 2 3 3 4 2 3 3" xfId="28087"/>
    <cellStyle name="Comma 6 2 3 3 4 2 4" xfId="16064"/>
    <cellStyle name="Comma 6 2 3 3 4 2 4 2" xfId="30089"/>
    <cellStyle name="Comma 6 2 3 3 4 2 5" xfId="18066"/>
    <cellStyle name="Comma 6 2 3 3 4 2 5 2" xfId="32091"/>
    <cellStyle name="Comma 6 2 3 3 4 2 6" xfId="24080"/>
    <cellStyle name="Comma 6 2 3 3 4 3" xfId="12042"/>
    <cellStyle name="Comma 6 2 3 3 4 3 2" xfId="20067"/>
    <cellStyle name="Comma 6 2 3 3 4 3 2 2" xfId="34092"/>
    <cellStyle name="Comma 6 2 3 3 4 3 3" xfId="26081"/>
    <cellStyle name="Comma 6 2 3 3 4 4" xfId="14057"/>
    <cellStyle name="Comma 6 2 3 3 4 4 2" xfId="22072"/>
    <cellStyle name="Comma 6 2 3 3 4 4 2 2" xfId="36097"/>
    <cellStyle name="Comma 6 2 3 3 4 4 3" xfId="28086"/>
    <cellStyle name="Comma 6 2 3 3 4 5" xfId="16063"/>
    <cellStyle name="Comma 6 2 3 3 4 5 2" xfId="30088"/>
    <cellStyle name="Comma 6 2 3 3 4 6" xfId="18065"/>
    <cellStyle name="Comma 6 2 3 3 4 6 2" xfId="32090"/>
    <cellStyle name="Comma 6 2 3 3 4 7" xfId="24079"/>
    <cellStyle name="Comma 6 2 3 3 5" xfId="1302"/>
    <cellStyle name="Comma 6 2 3 3 5 2" xfId="12044"/>
    <cellStyle name="Comma 6 2 3 3 5 2 2" xfId="20069"/>
    <cellStyle name="Comma 6 2 3 3 5 2 2 2" xfId="34094"/>
    <cellStyle name="Comma 6 2 3 3 5 2 3" xfId="26083"/>
    <cellStyle name="Comma 6 2 3 3 5 3" xfId="14059"/>
    <cellStyle name="Comma 6 2 3 3 5 3 2" xfId="22074"/>
    <cellStyle name="Comma 6 2 3 3 5 3 2 2" xfId="36099"/>
    <cellStyle name="Comma 6 2 3 3 5 3 3" xfId="28088"/>
    <cellStyle name="Comma 6 2 3 3 5 4" xfId="16065"/>
    <cellStyle name="Comma 6 2 3 3 5 4 2" xfId="30090"/>
    <cellStyle name="Comma 6 2 3 3 5 5" xfId="18067"/>
    <cellStyle name="Comma 6 2 3 3 5 5 2" xfId="32092"/>
    <cellStyle name="Comma 6 2 3 3 5 6" xfId="24081"/>
    <cellStyle name="Comma 6 2 3 3 6" xfId="12035"/>
    <cellStyle name="Comma 6 2 3 3 6 2" xfId="20060"/>
    <cellStyle name="Comma 6 2 3 3 6 2 2" xfId="34085"/>
    <cellStyle name="Comma 6 2 3 3 6 3" xfId="26074"/>
    <cellStyle name="Comma 6 2 3 3 7" xfId="14050"/>
    <cellStyle name="Comma 6 2 3 3 7 2" xfId="22065"/>
    <cellStyle name="Comma 6 2 3 3 7 2 2" xfId="36090"/>
    <cellStyle name="Comma 6 2 3 3 7 3" xfId="28079"/>
    <cellStyle name="Comma 6 2 3 3 8" xfId="16056"/>
    <cellStyle name="Comma 6 2 3 3 8 2" xfId="30081"/>
    <cellStyle name="Comma 6 2 3 3 9" xfId="18058"/>
    <cellStyle name="Comma 6 2 3 3 9 2" xfId="32083"/>
    <cellStyle name="Comma 6 2 3 4" xfId="1303"/>
    <cellStyle name="Comma 6 2 3 4 2" xfId="1304"/>
    <cellStyle name="Comma 6 2 3 4 2 2" xfId="1305"/>
    <cellStyle name="Comma 6 2 3 4 2 2 2" xfId="12047"/>
    <cellStyle name="Comma 6 2 3 4 2 2 2 2" xfId="20072"/>
    <cellStyle name="Comma 6 2 3 4 2 2 2 2 2" xfId="34097"/>
    <cellStyle name="Comma 6 2 3 4 2 2 2 3" xfId="26086"/>
    <cellStyle name="Comma 6 2 3 4 2 2 3" xfId="14062"/>
    <cellStyle name="Comma 6 2 3 4 2 2 3 2" xfId="22077"/>
    <cellStyle name="Comma 6 2 3 4 2 2 3 2 2" xfId="36102"/>
    <cellStyle name="Comma 6 2 3 4 2 2 3 3" xfId="28091"/>
    <cellStyle name="Comma 6 2 3 4 2 2 4" xfId="16068"/>
    <cellStyle name="Comma 6 2 3 4 2 2 4 2" xfId="30093"/>
    <cellStyle name="Comma 6 2 3 4 2 2 5" xfId="18070"/>
    <cellStyle name="Comma 6 2 3 4 2 2 5 2" xfId="32095"/>
    <cellStyle name="Comma 6 2 3 4 2 2 6" xfId="24084"/>
    <cellStyle name="Comma 6 2 3 4 2 3" xfId="12046"/>
    <cellStyle name="Comma 6 2 3 4 2 3 2" xfId="20071"/>
    <cellStyle name="Comma 6 2 3 4 2 3 2 2" xfId="34096"/>
    <cellStyle name="Comma 6 2 3 4 2 3 3" xfId="26085"/>
    <cellStyle name="Comma 6 2 3 4 2 4" xfId="14061"/>
    <cellStyle name="Comma 6 2 3 4 2 4 2" xfId="22076"/>
    <cellStyle name="Comma 6 2 3 4 2 4 2 2" xfId="36101"/>
    <cellStyle name="Comma 6 2 3 4 2 4 3" xfId="28090"/>
    <cellStyle name="Comma 6 2 3 4 2 5" xfId="16067"/>
    <cellStyle name="Comma 6 2 3 4 2 5 2" xfId="30092"/>
    <cellStyle name="Comma 6 2 3 4 2 6" xfId="18069"/>
    <cellStyle name="Comma 6 2 3 4 2 6 2" xfId="32094"/>
    <cellStyle name="Comma 6 2 3 4 2 7" xfId="24083"/>
    <cellStyle name="Comma 6 2 3 4 3" xfId="1306"/>
    <cellStyle name="Comma 6 2 3 4 3 2" xfId="12048"/>
    <cellStyle name="Comma 6 2 3 4 3 2 2" xfId="20073"/>
    <cellStyle name="Comma 6 2 3 4 3 2 2 2" xfId="34098"/>
    <cellStyle name="Comma 6 2 3 4 3 2 3" xfId="26087"/>
    <cellStyle name="Comma 6 2 3 4 3 3" xfId="14063"/>
    <cellStyle name="Comma 6 2 3 4 3 3 2" xfId="22078"/>
    <cellStyle name="Comma 6 2 3 4 3 3 2 2" xfId="36103"/>
    <cellStyle name="Comma 6 2 3 4 3 3 3" xfId="28092"/>
    <cellStyle name="Comma 6 2 3 4 3 4" xfId="16069"/>
    <cellStyle name="Comma 6 2 3 4 3 4 2" xfId="30094"/>
    <cellStyle name="Comma 6 2 3 4 3 5" xfId="18071"/>
    <cellStyle name="Comma 6 2 3 4 3 5 2" xfId="32096"/>
    <cellStyle name="Comma 6 2 3 4 3 6" xfId="24085"/>
    <cellStyle name="Comma 6 2 3 4 4" xfId="12045"/>
    <cellStyle name="Comma 6 2 3 4 4 2" xfId="20070"/>
    <cellStyle name="Comma 6 2 3 4 4 2 2" xfId="34095"/>
    <cellStyle name="Comma 6 2 3 4 4 3" xfId="26084"/>
    <cellStyle name="Comma 6 2 3 4 5" xfId="14060"/>
    <cellStyle name="Comma 6 2 3 4 5 2" xfId="22075"/>
    <cellStyle name="Comma 6 2 3 4 5 2 2" xfId="36100"/>
    <cellStyle name="Comma 6 2 3 4 5 3" xfId="28089"/>
    <cellStyle name="Comma 6 2 3 4 6" xfId="16066"/>
    <cellStyle name="Comma 6 2 3 4 6 2" xfId="30091"/>
    <cellStyle name="Comma 6 2 3 4 7" xfId="18068"/>
    <cellStyle name="Comma 6 2 3 4 7 2" xfId="32093"/>
    <cellStyle name="Comma 6 2 3 4 8" xfId="24082"/>
    <cellStyle name="Comma 6 2 3 5" xfId="1307"/>
    <cellStyle name="Comma 6 2 3 5 2" xfId="1308"/>
    <cellStyle name="Comma 6 2 3 5 2 2" xfId="12050"/>
    <cellStyle name="Comma 6 2 3 5 2 2 2" xfId="20075"/>
    <cellStyle name="Comma 6 2 3 5 2 2 2 2" xfId="34100"/>
    <cellStyle name="Comma 6 2 3 5 2 2 3" xfId="26089"/>
    <cellStyle name="Comma 6 2 3 5 2 3" xfId="14065"/>
    <cellStyle name="Comma 6 2 3 5 2 3 2" xfId="22080"/>
    <cellStyle name="Comma 6 2 3 5 2 3 2 2" xfId="36105"/>
    <cellStyle name="Comma 6 2 3 5 2 3 3" xfId="28094"/>
    <cellStyle name="Comma 6 2 3 5 2 4" xfId="16071"/>
    <cellStyle name="Comma 6 2 3 5 2 4 2" xfId="30096"/>
    <cellStyle name="Comma 6 2 3 5 2 5" xfId="18073"/>
    <cellStyle name="Comma 6 2 3 5 2 5 2" xfId="32098"/>
    <cellStyle name="Comma 6 2 3 5 2 6" xfId="24087"/>
    <cellStyle name="Comma 6 2 3 5 3" xfId="12049"/>
    <cellStyle name="Comma 6 2 3 5 3 2" xfId="20074"/>
    <cellStyle name="Comma 6 2 3 5 3 2 2" xfId="34099"/>
    <cellStyle name="Comma 6 2 3 5 3 3" xfId="26088"/>
    <cellStyle name="Comma 6 2 3 5 4" xfId="14064"/>
    <cellStyle name="Comma 6 2 3 5 4 2" xfId="22079"/>
    <cellStyle name="Comma 6 2 3 5 4 2 2" xfId="36104"/>
    <cellStyle name="Comma 6 2 3 5 4 3" xfId="28093"/>
    <cellStyle name="Comma 6 2 3 5 5" xfId="16070"/>
    <cellStyle name="Comma 6 2 3 5 5 2" xfId="30095"/>
    <cellStyle name="Comma 6 2 3 5 6" xfId="18072"/>
    <cellStyle name="Comma 6 2 3 5 6 2" xfId="32097"/>
    <cellStyle name="Comma 6 2 3 5 7" xfId="24086"/>
    <cellStyle name="Comma 6 2 3 6" xfId="1309"/>
    <cellStyle name="Comma 6 2 3 6 2" xfId="1310"/>
    <cellStyle name="Comma 6 2 3 6 2 2" xfId="12052"/>
    <cellStyle name="Comma 6 2 3 6 2 2 2" xfId="20077"/>
    <cellStyle name="Comma 6 2 3 6 2 2 2 2" xfId="34102"/>
    <cellStyle name="Comma 6 2 3 6 2 2 3" xfId="26091"/>
    <cellStyle name="Comma 6 2 3 6 2 3" xfId="14067"/>
    <cellStyle name="Comma 6 2 3 6 2 3 2" xfId="22082"/>
    <cellStyle name="Comma 6 2 3 6 2 3 2 2" xfId="36107"/>
    <cellStyle name="Comma 6 2 3 6 2 3 3" xfId="28096"/>
    <cellStyle name="Comma 6 2 3 6 2 4" xfId="16073"/>
    <cellStyle name="Comma 6 2 3 6 2 4 2" xfId="30098"/>
    <cellStyle name="Comma 6 2 3 6 2 5" xfId="18075"/>
    <cellStyle name="Comma 6 2 3 6 2 5 2" xfId="32100"/>
    <cellStyle name="Comma 6 2 3 6 2 6" xfId="24089"/>
    <cellStyle name="Comma 6 2 3 6 3" xfId="12051"/>
    <cellStyle name="Comma 6 2 3 6 3 2" xfId="20076"/>
    <cellStyle name="Comma 6 2 3 6 3 2 2" xfId="34101"/>
    <cellStyle name="Comma 6 2 3 6 3 3" xfId="26090"/>
    <cellStyle name="Comma 6 2 3 6 4" xfId="14066"/>
    <cellStyle name="Comma 6 2 3 6 4 2" xfId="22081"/>
    <cellStyle name="Comma 6 2 3 6 4 2 2" xfId="36106"/>
    <cellStyle name="Comma 6 2 3 6 4 3" xfId="28095"/>
    <cellStyle name="Comma 6 2 3 6 5" xfId="16072"/>
    <cellStyle name="Comma 6 2 3 6 5 2" xfId="30097"/>
    <cellStyle name="Comma 6 2 3 6 6" xfId="18074"/>
    <cellStyle name="Comma 6 2 3 6 6 2" xfId="32099"/>
    <cellStyle name="Comma 6 2 3 6 7" xfId="24088"/>
    <cellStyle name="Comma 6 2 3 7" xfId="1311"/>
    <cellStyle name="Comma 6 2 3 7 2" xfId="12053"/>
    <cellStyle name="Comma 6 2 3 7 2 2" xfId="20078"/>
    <cellStyle name="Comma 6 2 3 7 2 2 2" xfId="34103"/>
    <cellStyle name="Comma 6 2 3 7 2 3" xfId="26092"/>
    <cellStyle name="Comma 6 2 3 7 3" xfId="14068"/>
    <cellStyle name="Comma 6 2 3 7 3 2" xfId="22083"/>
    <cellStyle name="Comma 6 2 3 7 3 2 2" xfId="36108"/>
    <cellStyle name="Comma 6 2 3 7 3 3" xfId="28097"/>
    <cellStyle name="Comma 6 2 3 7 4" xfId="16074"/>
    <cellStyle name="Comma 6 2 3 7 4 2" xfId="30099"/>
    <cellStyle name="Comma 6 2 3 7 5" xfId="18076"/>
    <cellStyle name="Comma 6 2 3 7 5 2" xfId="32101"/>
    <cellStyle name="Comma 6 2 3 7 6" xfId="24090"/>
    <cellStyle name="Comma 6 2 3 8" xfId="12014"/>
    <cellStyle name="Comma 6 2 3 8 2" xfId="20039"/>
    <cellStyle name="Comma 6 2 3 8 2 2" xfId="34064"/>
    <cellStyle name="Comma 6 2 3 8 3" xfId="26053"/>
    <cellStyle name="Comma 6 2 3 9" xfId="14029"/>
    <cellStyle name="Comma 6 2 3 9 2" xfId="22044"/>
    <cellStyle name="Comma 6 2 3 9 2 2" xfId="36069"/>
    <cellStyle name="Comma 6 2 3 9 3" xfId="28058"/>
    <cellStyle name="Comma 6 2 4" xfId="1312"/>
    <cellStyle name="Comma 6 2 4 10" xfId="18077"/>
    <cellStyle name="Comma 6 2 4 10 2" xfId="32102"/>
    <cellStyle name="Comma 6 2 4 11" xfId="24091"/>
    <cellStyle name="Comma 6 2 4 2" xfId="1313"/>
    <cellStyle name="Comma 6 2 4 2 10" xfId="24092"/>
    <cellStyle name="Comma 6 2 4 2 2" xfId="1314"/>
    <cellStyle name="Comma 6 2 4 2 2 2" xfId="1315"/>
    <cellStyle name="Comma 6 2 4 2 2 2 2" xfId="1316"/>
    <cellStyle name="Comma 6 2 4 2 2 2 2 2" xfId="12058"/>
    <cellStyle name="Comma 6 2 4 2 2 2 2 2 2" xfId="20083"/>
    <cellStyle name="Comma 6 2 4 2 2 2 2 2 2 2" xfId="34108"/>
    <cellStyle name="Comma 6 2 4 2 2 2 2 2 3" xfId="26097"/>
    <cellStyle name="Comma 6 2 4 2 2 2 2 3" xfId="14073"/>
    <cellStyle name="Comma 6 2 4 2 2 2 2 3 2" xfId="22088"/>
    <cellStyle name="Comma 6 2 4 2 2 2 2 3 2 2" xfId="36113"/>
    <cellStyle name="Comma 6 2 4 2 2 2 2 3 3" xfId="28102"/>
    <cellStyle name="Comma 6 2 4 2 2 2 2 4" xfId="16079"/>
    <cellStyle name="Comma 6 2 4 2 2 2 2 4 2" xfId="30104"/>
    <cellStyle name="Comma 6 2 4 2 2 2 2 5" xfId="18081"/>
    <cellStyle name="Comma 6 2 4 2 2 2 2 5 2" xfId="32106"/>
    <cellStyle name="Comma 6 2 4 2 2 2 2 6" xfId="24095"/>
    <cellStyle name="Comma 6 2 4 2 2 2 3" xfId="12057"/>
    <cellStyle name="Comma 6 2 4 2 2 2 3 2" xfId="20082"/>
    <cellStyle name="Comma 6 2 4 2 2 2 3 2 2" xfId="34107"/>
    <cellStyle name="Comma 6 2 4 2 2 2 3 3" xfId="26096"/>
    <cellStyle name="Comma 6 2 4 2 2 2 4" xfId="14072"/>
    <cellStyle name="Comma 6 2 4 2 2 2 4 2" xfId="22087"/>
    <cellStyle name="Comma 6 2 4 2 2 2 4 2 2" xfId="36112"/>
    <cellStyle name="Comma 6 2 4 2 2 2 4 3" xfId="28101"/>
    <cellStyle name="Comma 6 2 4 2 2 2 5" xfId="16078"/>
    <cellStyle name="Comma 6 2 4 2 2 2 5 2" xfId="30103"/>
    <cellStyle name="Comma 6 2 4 2 2 2 6" xfId="18080"/>
    <cellStyle name="Comma 6 2 4 2 2 2 6 2" xfId="32105"/>
    <cellStyle name="Comma 6 2 4 2 2 2 7" xfId="24094"/>
    <cellStyle name="Comma 6 2 4 2 2 3" xfId="1317"/>
    <cellStyle name="Comma 6 2 4 2 2 3 2" xfId="12059"/>
    <cellStyle name="Comma 6 2 4 2 2 3 2 2" xfId="20084"/>
    <cellStyle name="Comma 6 2 4 2 2 3 2 2 2" xfId="34109"/>
    <cellStyle name="Comma 6 2 4 2 2 3 2 3" xfId="26098"/>
    <cellStyle name="Comma 6 2 4 2 2 3 3" xfId="14074"/>
    <cellStyle name="Comma 6 2 4 2 2 3 3 2" xfId="22089"/>
    <cellStyle name="Comma 6 2 4 2 2 3 3 2 2" xfId="36114"/>
    <cellStyle name="Comma 6 2 4 2 2 3 3 3" xfId="28103"/>
    <cellStyle name="Comma 6 2 4 2 2 3 4" xfId="16080"/>
    <cellStyle name="Comma 6 2 4 2 2 3 4 2" xfId="30105"/>
    <cellStyle name="Comma 6 2 4 2 2 3 5" xfId="18082"/>
    <cellStyle name="Comma 6 2 4 2 2 3 5 2" xfId="32107"/>
    <cellStyle name="Comma 6 2 4 2 2 3 6" xfId="24096"/>
    <cellStyle name="Comma 6 2 4 2 2 4" xfId="12056"/>
    <cellStyle name="Comma 6 2 4 2 2 4 2" xfId="20081"/>
    <cellStyle name="Comma 6 2 4 2 2 4 2 2" xfId="34106"/>
    <cellStyle name="Comma 6 2 4 2 2 4 3" xfId="26095"/>
    <cellStyle name="Comma 6 2 4 2 2 5" xfId="14071"/>
    <cellStyle name="Comma 6 2 4 2 2 5 2" xfId="22086"/>
    <cellStyle name="Comma 6 2 4 2 2 5 2 2" xfId="36111"/>
    <cellStyle name="Comma 6 2 4 2 2 5 3" xfId="28100"/>
    <cellStyle name="Comma 6 2 4 2 2 6" xfId="16077"/>
    <cellStyle name="Comma 6 2 4 2 2 6 2" xfId="30102"/>
    <cellStyle name="Comma 6 2 4 2 2 7" xfId="18079"/>
    <cellStyle name="Comma 6 2 4 2 2 7 2" xfId="32104"/>
    <cellStyle name="Comma 6 2 4 2 2 8" xfId="24093"/>
    <cellStyle name="Comma 6 2 4 2 3" xfId="1318"/>
    <cellStyle name="Comma 6 2 4 2 3 2" xfId="1319"/>
    <cellStyle name="Comma 6 2 4 2 3 2 2" xfId="12061"/>
    <cellStyle name="Comma 6 2 4 2 3 2 2 2" xfId="20086"/>
    <cellStyle name="Comma 6 2 4 2 3 2 2 2 2" xfId="34111"/>
    <cellStyle name="Comma 6 2 4 2 3 2 2 3" xfId="26100"/>
    <cellStyle name="Comma 6 2 4 2 3 2 3" xfId="14076"/>
    <cellStyle name="Comma 6 2 4 2 3 2 3 2" xfId="22091"/>
    <cellStyle name="Comma 6 2 4 2 3 2 3 2 2" xfId="36116"/>
    <cellStyle name="Comma 6 2 4 2 3 2 3 3" xfId="28105"/>
    <cellStyle name="Comma 6 2 4 2 3 2 4" xfId="16082"/>
    <cellStyle name="Comma 6 2 4 2 3 2 4 2" xfId="30107"/>
    <cellStyle name="Comma 6 2 4 2 3 2 5" xfId="18084"/>
    <cellStyle name="Comma 6 2 4 2 3 2 5 2" xfId="32109"/>
    <cellStyle name="Comma 6 2 4 2 3 2 6" xfId="24098"/>
    <cellStyle name="Comma 6 2 4 2 3 3" xfId="12060"/>
    <cellStyle name="Comma 6 2 4 2 3 3 2" xfId="20085"/>
    <cellStyle name="Comma 6 2 4 2 3 3 2 2" xfId="34110"/>
    <cellStyle name="Comma 6 2 4 2 3 3 3" xfId="26099"/>
    <cellStyle name="Comma 6 2 4 2 3 4" xfId="14075"/>
    <cellStyle name="Comma 6 2 4 2 3 4 2" xfId="22090"/>
    <cellStyle name="Comma 6 2 4 2 3 4 2 2" xfId="36115"/>
    <cellStyle name="Comma 6 2 4 2 3 4 3" xfId="28104"/>
    <cellStyle name="Comma 6 2 4 2 3 5" xfId="16081"/>
    <cellStyle name="Comma 6 2 4 2 3 5 2" xfId="30106"/>
    <cellStyle name="Comma 6 2 4 2 3 6" xfId="18083"/>
    <cellStyle name="Comma 6 2 4 2 3 6 2" xfId="32108"/>
    <cellStyle name="Comma 6 2 4 2 3 7" xfId="24097"/>
    <cellStyle name="Comma 6 2 4 2 4" xfId="1320"/>
    <cellStyle name="Comma 6 2 4 2 4 2" xfId="1321"/>
    <cellStyle name="Comma 6 2 4 2 4 2 2" xfId="12063"/>
    <cellStyle name="Comma 6 2 4 2 4 2 2 2" xfId="20088"/>
    <cellStyle name="Comma 6 2 4 2 4 2 2 2 2" xfId="34113"/>
    <cellStyle name="Comma 6 2 4 2 4 2 2 3" xfId="26102"/>
    <cellStyle name="Comma 6 2 4 2 4 2 3" xfId="14078"/>
    <cellStyle name="Comma 6 2 4 2 4 2 3 2" xfId="22093"/>
    <cellStyle name="Comma 6 2 4 2 4 2 3 2 2" xfId="36118"/>
    <cellStyle name="Comma 6 2 4 2 4 2 3 3" xfId="28107"/>
    <cellStyle name="Comma 6 2 4 2 4 2 4" xfId="16084"/>
    <cellStyle name="Comma 6 2 4 2 4 2 4 2" xfId="30109"/>
    <cellStyle name="Comma 6 2 4 2 4 2 5" xfId="18086"/>
    <cellStyle name="Comma 6 2 4 2 4 2 5 2" xfId="32111"/>
    <cellStyle name="Comma 6 2 4 2 4 2 6" xfId="24100"/>
    <cellStyle name="Comma 6 2 4 2 4 3" xfId="12062"/>
    <cellStyle name="Comma 6 2 4 2 4 3 2" xfId="20087"/>
    <cellStyle name="Comma 6 2 4 2 4 3 2 2" xfId="34112"/>
    <cellStyle name="Comma 6 2 4 2 4 3 3" xfId="26101"/>
    <cellStyle name="Comma 6 2 4 2 4 4" xfId="14077"/>
    <cellStyle name="Comma 6 2 4 2 4 4 2" xfId="22092"/>
    <cellStyle name="Comma 6 2 4 2 4 4 2 2" xfId="36117"/>
    <cellStyle name="Comma 6 2 4 2 4 4 3" xfId="28106"/>
    <cellStyle name="Comma 6 2 4 2 4 5" xfId="16083"/>
    <cellStyle name="Comma 6 2 4 2 4 5 2" xfId="30108"/>
    <cellStyle name="Comma 6 2 4 2 4 6" xfId="18085"/>
    <cellStyle name="Comma 6 2 4 2 4 6 2" xfId="32110"/>
    <cellStyle name="Comma 6 2 4 2 4 7" xfId="24099"/>
    <cellStyle name="Comma 6 2 4 2 5" xfId="1322"/>
    <cellStyle name="Comma 6 2 4 2 5 2" xfId="12064"/>
    <cellStyle name="Comma 6 2 4 2 5 2 2" xfId="20089"/>
    <cellStyle name="Comma 6 2 4 2 5 2 2 2" xfId="34114"/>
    <cellStyle name="Comma 6 2 4 2 5 2 3" xfId="26103"/>
    <cellStyle name="Comma 6 2 4 2 5 3" xfId="14079"/>
    <cellStyle name="Comma 6 2 4 2 5 3 2" xfId="22094"/>
    <cellStyle name="Comma 6 2 4 2 5 3 2 2" xfId="36119"/>
    <cellStyle name="Comma 6 2 4 2 5 3 3" xfId="28108"/>
    <cellStyle name="Comma 6 2 4 2 5 4" xfId="16085"/>
    <cellStyle name="Comma 6 2 4 2 5 4 2" xfId="30110"/>
    <cellStyle name="Comma 6 2 4 2 5 5" xfId="18087"/>
    <cellStyle name="Comma 6 2 4 2 5 5 2" xfId="32112"/>
    <cellStyle name="Comma 6 2 4 2 5 6" xfId="24101"/>
    <cellStyle name="Comma 6 2 4 2 6" xfId="12055"/>
    <cellStyle name="Comma 6 2 4 2 6 2" xfId="20080"/>
    <cellStyle name="Comma 6 2 4 2 6 2 2" xfId="34105"/>
    <cellStyle name="Comma 6 2 4 2 6 3" xfId="26094"/>
    <cellStyle name="Comma 6 2 4 2 7" xfId="14070"/>
    <cellStyle name="Comma 6 2 4 2 7 2" xfId="22085"/>
    <cellStyle name="Comma 6 2 4 2 7 2 2" xfId="36110"/>
    <cellStyle name="Comma 6 2 4 2 7 3" xfId="28099"/>
    <cellStyle name="Comma 6 2 4 2 8" xfId="16076"/>
    <cellStyle name="Comma 6 2 4 2 8 2" xfId="30101"/>
    <cellStyle name="Comma 6 2 4 2 9" xfId="18078"/>
    <cellStyle name="Comma 6 2 4 2 9 2" xfId="32103"/>
    <cellStyle name="Comma 6 2 4 3" xfId="1323"/>
    <cellStyle name="Comma 6 2 4 3 2" xfId="1324"/>
    <cellStyle name="Comma 6 2 4 3 2 2" xfId="1325"/>
    <cellStyle name="Comma 6 2 4 3 2 2 2" xfId="12067"/>
    <cellStyle name="Comma 6 2 4 3 2 2 2 2" xfId="20092"/>
    <cellStyle name="Comma 6 2 4 3 2 2 2 2 2" xfId="34117"/>
    <cellStyle name="Comma 6 2 4 3 2 2 2 3" xfId="26106"/>
    <cellStyle name="Comma 6 2 4 3 2 2 3" xfId="14082"/>
    <cellStyle name="Comma 6 2 4 3 2 2 3 2" xfId="22097"/>
    <cellStyle name="Comma 6 2 4 3 2 2 3 2 2" xfId="36122"/>
    <cellStyle name="Comma 6 2 4 3 2 2 3 3" xfId="28111"/>
    <cellStyle name="Comma 6 2 4 3 2 2 4" xfId="16088"/>
    <cellStyle name="Comma 6 2 4 3 2 2 4 2" xfId="30113"/>
    <cellStyle name="Comma 6 2 4 3 2 2 5" xfId="18090"/>
    <cellStyle name="Comma 6 2 4 3 2 2 5 2" xfId="32115"/>
    <cellStyle name="Comma 6 2 4 3 2 2 6" xfId="24104"/>
    <cellStyle name="Comma 6 2 4 3 2 3" xfId="12066"/>
    <cellStyle name="Comma 6 2 4 3 2 3 2" xfId="20091"/>
    <cellStyle name="Comma 6 2 4 3 2 3 2 2" xfId="34116"/>
    <cellStyle name="Comma 6 2 4 3 2 3 3" xfId="26105"/>
    <cellStyle name="Comma 6 2 4 3 2 4" xfId="14081"/>
    <cellStyle name="Comma 6 2 4 3 2 4 2" xfId="22096"/>
    <cellStyle name="Comma 6 2 4 3 2 4 2 2" xfId="36121"/>
    <cellStyle name="Comma 6 2 4 3 2 4 3" xfId="28110"/>
    <cellStyle name="Comma 6 2 4 3 2 5" xfId="16087"/>
    <cellStyle name="Comma 6 2 4 3 2 5 2" xfId="30112"/>
    <cellStyle name="Comma 6 2 4 3 2 6" xfId="18089"/>
    <cellStyle name="Comma 6 2 4 3 2 6 2" xfId="32114"/>
    <cellStyle name="Comma 6 2 4 3 2 7" xfId="24103"/>
    <cellStyle name="Comma 6 2 4 3 3" xfId="1326"/>
    <cellStyle name="Comma 6 2 4 3 3 2" xfId="12068"/>
    <cellStyle name="Comma 6 2 4 3 3 2 2" xfId="20093"/>
    <cellStyle name="Comma 6 2 4 3 3 2 2 2" xfId="34118"/>
    <cellStyle name="Comma 6 2 4 3 3 2 3" xfId="26107"/>
    <cellStyle name="Comma 6 2 4 3 3 3" xfId="14083"/>
    <cellStyle name="Comma 6 2 4 3 3 3 2" xfId="22098"/>
    <cellStyle name="Comma 6 2 4 3 3 3 2 2" xfId="36123"/>
    <cellStyle name="Comma 6 2 4 3 3 3 3" xfId="28112"/>
    <cellStyle name="Comma 6 2 4 3 3 4" xfId="16089"/>
    <cellStyle name="Comma 6 2 4 3 3 4 2" xfId="30114"/>
    <cellStyle name="Comma 6 2 4 3 3 5" xfId="18091"/>
    <cellStyle name="Comma 6 2 4 3 3 5 2" xfId="32116"/>
    <cellStyle name="Comma 6 2 4 3 3 6" xfId="24105"/>
    <cellStyle name="Comma 6 2 4 3 4" xfId="12065"/>
    <cellStyle name="Comma 6 2 4 3 4 2" xfId="20090"/>
    <cellStyle name="Comma 6 2 4 3 4 2 2" xfId="34115"/>
    <cellStyle name="Comma 6 2 4 3 4 3" xfId="26104"/>
    <cellStyle name="Comma 6 2 4 3 5" xfId="14080"/>
    <cellStyle name="Comma 6 2 4 3 5 2" xfId="22095"/>
    <cellStyle name="Comma 6 2 4 3 5 2 2" xfId="36120"/>
    <cellStyle name="Comma 6 2 4 3 5 3" xfId="28109"/>
    <cellStyle name="Comma 6 2 4 3 6" xfId="16086"/>
    <cellStyle name="Comma 6 2 4 3 6 2" xfId="30111"/>
    <cellStyle name="Comma 6 2 4 3 7" xfId="18088"/>
    <cellStyle name="Comma 6 2 4 3 7 2" xfId="32113"/>
    <cellStyle name="Comma 6 2 4 3 8" xfId="24102"/>
    <cellStyle name="Comma 6 2 4 4" xfId="1327"/>
    <cellStyle name="Comma 6 2 4 4 2" xfId="1328"/>
    <cellStyle name="Comma 6 2 4 4 2 2" xfId="12070"/>
    <cellStyle name="Comma 6 2 4 4 2 2 2" xfId="20095"/>
    <cellStyle name="Comma 6 2 4 4 2 2 2 2" xfId="34120"/>
    <cellStyle name="Comma 6 2 4 4 2 2 3" xfId="26109"/>
    <cellStyle name="Comma 6 2 4 4 2 3" xfId="14085"/>
    <cellStyle name="Comma 6 2 4 4 2 3 2" xfId="22100"/>
    <cellStyle name="Comma 6 2 4 4 2 3 2 2" xfId="36125"/>
    <cellStyle name="Comma 6 2 4 4 2 3 3" xfId="28114"/>
    <cellStyle name="Comma 6 2 4 4 2 4" xfId="16091"/>
    <cellStyle name="Comma 6 2 4 4 2 4 2" xfId="30116"/>
    <cellStyle name="Comma 6 2 4 4 2 5" xfId="18093"/>
    <cellStyle name="Comma 6 2 4 4 2 5 2" xfId="32118"/>
    <cellStyle name="Comma 6 2 4 4 2 6" xfId="24107"/>
    <cellStyle name="Comma 6 2 4 4 3" xfId="12069"/>
    <cellStyle name="Comma 6 2 4 4 3 2" xfId="20094"/>
    <cellStyle name="Comma 6 2 4 4 3 2 2" xfId="34119"/>
    <cellStyle name="Comma 6 2 4 4 3 3" xfId="26108"/>
    <cellStyle name="Comma 6 2 4 4 4" xfId="14084"/>
    <cellStyle name="Comma 6 2 4 4 4 2" xfId="22099"/>
    <cellStyle name="Comma 6 2 4 4 4 2 2" xfId="36124"/>
    <cellStyle name="Comma 6 2 4 4 4 3" xfId="28113"/>
    <cellStyle name="Comma 6 2 4 4 5" xfId="16090"/>
    <cellStyle name="Comma 6 2 4 4 5 2" xfId="30115"/>
    <cellStyle name="Comma 6 2 4 4 6" xfId="18092"/>
    <cellStyle name="Comma 6 2 4 4 6 2" xfId="32117"/>
    <cellStyle name="Comma 6 2 4 4 7" xfId="24106"/>
    <cellStyle name="Comma 6 2 4 5" xfId="1329"/>
    <cellStyle name="Comma 6 2 4 5 2" xfId="1330"/>
    <cellStyle name="Comma 6 2 4 5 2 2" xfId="12072"/>
    <cellStyle name="Comma 6 2 4 5 2 2 2" xfId="20097"/>
    <cellStyle name="Comma 6 2 4 5 2 2 2 2" xfId="34122"/>
    <cellStyle name="Comma 6 2 4 5 2 2 3" xfId="26111"/>
    <cellStyle name="Comma 6 2 4 5 2 3" xfId="14087"/>
    <cellStyle name="Comma 6 2 4 5 2 3 2" xfId="22102"/>
    <cellStyle name="Comma 6 2 4 5 2 3 2 2" xfId="36127"/>
    <cellStyle name="Comma 6 2 4 5 2 3 3" xfId="28116"/>
    <cellStyle name="Comma 6 2 4 5 2 4" xfId="16093"/>
    <cellStyle name="Comma 6 2 4 5 2 4 2" xfId="30118"/>
    <cellStyle name="Comma 6 2 4 5 2 5" xfId="18095"/>
    <cellStyle name="Comma 6 2 4 5 2 5 2" xfId="32120"/>
    <cellStyle name="Comma 6 2 4 5 2 6" xfId="24109"/>
    <cellStyle name="Comma 6 2 4 5 3" xfId="12071"/>
    <cellStyle name="Comma 6 2 4 5 3 2" xfId="20096"/>
    <cellStyle name="Comma 6 2 4 5 3 2 2" xfId="34121"/>
    <cellStyle name="Comma 6 2 4 5 3 3" xfId="26110"/>
    <cellStyle name="Comma 6 2 4 5 4" xfId="14086"/>
    <cellStyle name="Comma 6 2 4 5 4 2" xfId="22101"/>
    <cellStyle name="Comma 6 2 4 5 4 2 2" xfId="36126"/>
    <cellStyle name="Comma 6 2 4 5 4 3" xfId="28115"/>
    <cellStyle name="Comma 6 2 4 5 5" xfId="16092"/>
    <cellStyle name="Comma 6 2 4 5 5 2" xfId="30117"/>
    <cellStyle name="Comma 6 2 4 5 6" xfId="18094"/>
    <cellStyle name="Comma 6 2 4 5 6 2" xfId="32119"/>
    <cellStyle name="Comma 6 2 4 5 7" xfId="24108"/>
    <cellStyle name="Comma 6 2 4 6" xfId="1331"/>
    <cellStyle name="Comma 6 2 4 6 2" xfId="12073"/>
    <cellStyle name="Comma 6 2 4 6 2 2" xfId="20098"/>
    <cellStyle name="Comma 6 2 4 6 2 2 2" xfId="34123"/>
    <cellStyle name="Comma 6 2 4 6 2 3" xfId="26112"/>
    <cellStyle name="Comma 6 2 4 6 3" xfId="14088"/>
    <cellStyle name="Comma 6 2 4 6 3 2" xfId="22103"/>
    <cellStyle name="Comma 6 2 4 6 3 2 2" xfId="36128"/>
    <cellStyle name="Comma 6 2 4 6 3 3" xfId="28117"/>
    <cellStyle name="Comma 6 2 4 6 4" xfId="16094"/>
    <cellStyle name="Comma 6 2 4 6 4 2" xfId="30119"/>
    <cellStyle name="Comma 6 2 4 6 5" xfId="18096"/>
    <cellStyle name="Comma 6 2 4 6 5 2" xfId="32121"/>
    <cellStyle name="Comma 6 2 4 6 6" xfId="24110"/>
    <cellStyle name="Comma 6 2 4 7" xfId="12054"/>
    <cellStyle name="Comma 6 2 4 7 2" xfId="20079"/>
    <cellStyle name="Comma 6 2 4 7 2 2" xfId="34104"/>
    <cellStyle name="Comma 6 2 4 7 3" xfId="26093"/>
    <cellStyle name="Comma 6 2 4 8" xfId="14069"/>
    <cellStyle name="Comma 6 2 4 8 2" xfId="22084"/>
    <cellStyle name="Comma 6 2 4 8 2 2" xfId="36109"/>
    <cellStyle name="Comma 6 2 4 8 3" xfId="28098"/>
    <cellStyle name="Comma 6 2 4 9" xfId="16075"/>
    <cellStyle name="Comma 6 2 4 9 2" xfId="30100"/>
    <cellStyle name="Comma 6 2 5" xfId="1332"/>
    <cellStyle name="Comma 6 2 5 10" xfId="24111"/>
    <cellStyle name="Comma 6 2 5 2" xfId="1333"/>
    <cellStyle name="Comma 6 2 5 2 2" xfId="1334"/>
    <cellStyle name="Comma 6 2 5 2 2 2" xfId="1335"/>
    <cellStyle name="Comma 6 2 5 2 2 2 2" xfId="12077"/>
    <cellStyle name="Comma 6 2 5 2 2 2 2 2" xfId="20102"/>
    <cellStyle name="Comma 6 2 5 2 2 2 2 2 2" xfId="34127"/>
    <cellStyle name="Comma 6 2 5 2 2 2 2 3" xfId="26116"/>
    <cellStyle name="Comma 6 2 5 2 2 2 3" xfId="14092"/>
    <cellStyle name="Comma 6 2 5 2 2 2 3 2" xfId="22107"/>
    <cellStyle name="Comma 6 2 5 2 2 2 3 2 2" xfId="36132"/>
    <cellStyle name="Comma 6 2 5 2 2 2 3 3" xfId="28121"/>
    <cellStyle name="Comma 6 2 5 2 2 2 4" xfId="16098"/>
    <cellStyle name="Comma 6 2 5 2 2 2 4 2" xfId="30123"/>
    <cellStyle name="Comma 6 2 5 2 2 2 5" xfId="18100"/>
    <cellStyle name="Comma 6 2 5 2 2 2 5 2" xfId="32125"/>
    <cellStyle name="Comma 6 2 5 2 2 2 6" xfId="24114"/>
    <cellStyle name="Comma 6 2 5 2 2 3" xfId="12076"/>
    <cellStyle name="Comma 6 2 5 2 2 3 2" xfId="20101"/>
    <cellStyle name="Comma 6 2 5 2 2 3 2 2" xfId="34126"/>
    <cellStyle name="Comma 6 2 5 2 2 3 3" xfId="26115"/>
    <cellStyle name="Comma 6 2 5 2 2 4" xfId="14091"/>
    <cellStyle name="Comma 6 2 5 2 2 4 2" xfId="22106"/>
    <cellStyle name="Comma 6 2 5 2 2 4 2 2" xfId="36131"/>
    <cellStyle name="Comma 6 2 5 2 2 4 3" xfId="28120"/>
    <cellStyle name="Comma 6 2 5 2 2 5" xfId="16097"/>
    <cellStyle name="Comma 6 2 5 2 2 5 2" xfId="30122"/>
    <cellStyle name="Comma 6 2 5 2 2 6" xfId="18099"/>
    <cellStyle name="Comma 6 2 5 2 2 6 2" xfId="32124"/>
    <cellStyle name="Comma 6 2 5 2 2 7" xfId="24113"/>
    <cellStyle name="Comma 6 2 5 2 3" xfId="1336"/>
    <cellStyle name="Comma 6 2 5 2 3 2" xfId="12078"/>
    <cellStyle name="Comma 6 2 5 2 3 2 2" xfId="20103"/>
    <cellStyle name="Comma 6 2 5 2 3 2 2 2" xfId="34128"/>
    <cellStyle name="Comma 6 2 5 2 3 2 3" xfId="26117"/>
    <cellStyle name="Comma 6 2 5 2 3 3" xfId="14093"/>
    <cellStyle name="Comma 6 2 5 2 3 3 2" xfId="22108"/>
    <cellStyle name="Comma 6 2 5 2 3 3 2 2" xfId="36133"/>
    <cellStyle name="Comma 6 2 5 2 3 3 3" xfId="28122"/>
    <cellStyle name="Comma 6 2 5 2 3 4" xfId="16099"/>
    <cellStyle name="Comma 6 2 5 2 3 4 2" xfId="30124"/>
    <cellStyle name="Comma 6 2 5 2 3 5" xfId="18101"/>
    <cellStyle name="Comma 6 2 5 2 3 5 2" xfId="32126"/>
    <cellStyle name="Comma 6 2 5 2 3 6" xfId="24115"/>
    <cellStyle name="Comma 6 2 5 2 4" xfId="12075"/>
    <cellStyle name="Comma 6 2 5 2 4 2" xfId="20100"/>
    <cellStyle name="Comma 6 2 5 2 4 2 2" xfId="34125"/>
    <cellStyle name="Comma 6 2 5 2 4 3" xfId="26114"/>
    <cellStyle name="Comma 6 2 5 2 5" xfId="14090"/>
    <cellStyle name="Comma 6 2 5 2 5 2" xfId="22105"/>
    <cellStyle name="Comma 6 2 5 2 5 2 2" xfId="36130"/>
    <cellStyle name="Comma 6 2 5 2 5 3" xfId="28119"/>
    <cellStyle name="Comma 6 2 5 2 6" xfId="16096"/>
    <cellStyle name="Comma 6 2 5 2 6 2" xfId="30121"/>
    <cellStyle name="Comma 6 2 5 2 7" xfId="18098"/>
    <cellStyle name="Comma 6 2 5 2 7 2" xfId="32123"/>
    <cellStyle name="Comma 6 2 5 2 8" xfId="24112"/>
    <cellStyle name="Comma 6 2 5 3" xfId="1337"/>
    <cellStyle name="Comma 6 2 5 3 2" xfId="1338"/>
    <cellStyle name="Comma 6 2 5 3 2 2" xfId="12080"/>
    <cellStyle name="Comma 6 2 5 3 2 2 2" xfId="20105"/>
    <cellStyle name="Comma 6 2 5 3 2 2 2 2" xfId="34130"/>
    <cellStyle name="Comma 6 2 5 3 2 2 3" xfId="26119"/>
    <cellStyle name="Comma 6 2 5 3 2 3" xfId="14095"/>
    <cellStyle name="Comma 6 2 5 3 2 3 2" xfId="22110"/>
    <cellStyle name="Comma 6 2 5 3 2 3 2 2" xfId="36135"/>
    <cellStyle name="Comma 6 2 5 3 2 3 3" xfId="28124"/>
    <cellStyle name="Comma 6 2 5 3 2 4" xfId="16101"/>
    <cellStyle name="Comma 6 2 5 3 2 4 2" xfId="30126"/>
    <cellStyle name="Comma 6 2 5 3 2 5" xfId="18103"/>
    <cellStyle name="Comma 6 2 5 3 2 5 2" xfId="32128"/>
    <cellStyle name="Comma 6 2 5 3 2 6" xfId="24117"/>
    <cellStyle name="Comma 6 2 5 3 3" xfId="12079"/>
    <cellStyle name="Comma 6 2 5 3 3 2" xfId="20104"/>
    <cellStyle name="Comma 6 2 5 3 3 2 2" xfId="34129"/>
    <cellStyle name="Comma 6 2 5 3 3 3" xfId="26118"/>
    <cellStyle name="Comma 6 2 5 3 4" xfId="14094"/>
    <cellStyle name="Comma 6 2 5 3 4 2" xfId="22109"/>
    <cellStyle name="Comma 6 2 5 3 4 2 2" xfId="36134"/>
    <cellStyle name="Comma 6 2 5 3 4 3" xfId="28123"/>
    <cellStyle name="Comma 6 2 5 3 5" xfId="16100"/>
    <cellStyle name="Comma 6 2 5 3 5 2" xfId="30125"/>
    <cellStyle name="Comma 6 2 5 3 6" xfId="18102"/>
    <cellStyle name="Comma 6 2 5 3 6 2" xfId="32127"/>
    <cellStyle name="Comma 6 2 5 3 7" xfId="24116"/>
    <cellStyle name="Comma 6 2 5 4" xfId="1339"/>
    <cellStyle name="Comma 6 2 5 4 2" xfId="1340"/>
    <cellStyle name="Comma 6 2 5 4 2 2" xfId="12082"/>
    <cellStyle name="Comma 6 2 5 4 2 2 2" xfId="20107"/>
    <cellStyle name="Comma 6 2 5 4 2 2 2 2" xfId="34132"/>
    <cellStyle name="Comma 6 2 5 4 2 2 3" xfId="26121"/>
    <cellStyle name="Comma 6 2 5 4 2 3" xfId="14097"/>
    <cellStyle name="Comma 6 2 5 4 2 3 2" xfId="22112"/>
    <cellStyle name="Comma 6 2 5 4 2 3 2 2" xfId="36137"/>
    <cellStyle name="Comma 6 2 5 4 2 3 3" xfId="28126"/>
    <cellStyle name="Comma 6 2 5 4 2 4" xfId="16103"/>
    <cellStyle name="Comma 6 2 5 4 2 4 2" xfId="30128"/>
    <cellStyle name="Comma 6 2 5 4 2 5" xfId="18105"/>
    <cellStyle name="Comma 6 2 5 4 2 5 2" xfId="32130"/>
    <cellStyle name="Comma 6 2 5 4 2 6" xfId="24119"/>
    <cellStyle name="Comma 6 2 5 4 3" xfId="12081"/>
    <cellStyle name="Comma 6 2 5 4 3 2" xfId="20106"/>
    <cellStyle name="Comma 6 2 5 4 3 2 2" xfId="34131"/>
    <cellStyle name="Comma 6 2 5 4 3 3" xfId="26120"/>
    <cellStyle name="Comma 6 2 5 4 4" xfId="14096"/>
    <cellStyle name="Comma 6 2 5 4 4 2" xfId="22111"/>
    <cellStyle name="Comma 6 2 5 4 4 2 2" xfId="36136"/>
    <cellStyle name="Comma 6 2 5 4 4 3" xfId="28125"/>
    <cellStyle name="Comma 6 2 5 4 5" xfId="16102"/>
    <cellStyle name="Comma 6 2 5 4 5 2" xfId="30127"/>
    <cellStyle name="Comma 6 2 5 4 6" xfId="18104"/>
    <cellStyle name="Comma 6 2 5 4 6 2" xfId="32129"/>
    <cellStyle name="Comma 6 2 5 4 7" xfId="24118"/>
    <cellStyle name="Comma 6 2 5 5" xfId="1341"/>
    <cellStyle name="Comma 6 2 5 5 2" xfId="12083"/>
    <cellStyle name="Comma 6 2 5 5 2 2" xfId="20108"/>
    <cellStyle name="Comma 6 2 5 5 2 2 2" xfId="34133"/>
    <cellStyle name="Comma 6 2 5 5 2 3" xfId="26122"/>
    <cellStyle name="Comma 6 2 5 5 3" xfId="14098"/>
    <cellStyle name="Comma 6 2 5 5 3 2" xfId="22113"/>
    <cellStyle name="Comma 6 2 5 5 3 2 2" xfId="36138"/>
    <cellStyle name="Comma 6 2 5 5 3 3" xfId="28127"/>
    <cellStyle name="Comma 6 2 5 5 4" xfId="16104"/>
    <cellStyle name="Comma 6 2 5 5 4 2" xfId="30129"/>
    <cellStyle name="Comma 6 2 5 5 5" xfId="18106"/>
    <cellStyle name="Comma 6 2 5 5 5 2" xfId="32131"/>
    <cellStyle name="Comma 6 2 5 5 6" xfId="24120"/>
    <cellStyle name="Comma 6 2 5 6" xfId="12074"/>
    <cellStyle name="Comma 6 2 5 6 2" xfId="20099"/>
    <cellStyle name="Comma 6 2 5 6 2 2" xfId="34124"/>
    <cellStyle name="Comma 6 2 5 6 3" xfId="26113"/>
    <cellStyle name="Comma 6 2 5 7" xfId="14089"/>
    <cellStyle name="Comma 6 2 5 7 2" xfId="22104"/>
    <cellStyle name="Comma 6 2 5 7 2 2" xfId="36129"/>
    <cellStyle name="Comma 6 2 5 7 3" xfId="28118"/>
    <cellStyle name="Comma 6 2 5 8" xfId="16095"/>
    <cellStyle name="Comma 6 2 5 8 2" xfId="30120"/>
    <cellStyle name="Comma 6 2 5 9" xfId="18097"/>
    <cellStyle name="Comma 6 2 5 9 2" xfId="32122"/>
    <cellStyle name="Comma 6 2 6" xfId="1342"/>
    <cellStyle name="Comma 6 2 6 10" xfId="24121"/>
    <cellStyle name="Comma 6 2 6 2" xfId="1343"/>
    <cellStyle name="Comma 6 2 6 2 2" xfId="1344"/>
    <cellStyle name="Comma 6 2 6 2 2 2" xfId="1345"/>
    <cellStyle name="Comma 6 2 6 2 2 2 2" xfId="12087"/>
    <cellStyle name="Comma 6 2 6 2 2 2 2 2" xfId="20112"/>
    <cellStyle name="Comma 6 2 6 2 2 2 2 2 2" xfId="34137"/>
    <cellStyle name="Comma 6 2 6 2 2 2 2 3" xfId="26126"/>
    <cellStyle name="Comma 6 2 6 2 2 2 3" xfId="14102"/>
    <cellStyle name="Comma 6 2 6 2 2 2 3 2" xfId="22117"/>
    <cellStyle name="Comma 6 2 6 2 2 2 3 2 2" xfId="36142"/>
    <cellStyle name="Comma 6 2 6 2 2 2 3 3" xfId="28131"/>
    <cellStyle name="Comma 6 2 6 2 2 2 4" xfId="16108"/>
    <cellStyle name="Comma 6 2 6 2 2 2 4 2" xfId="30133"/>
    <cellStyle name="Comma 6 2 6 2 2 2 5" xfId="18110"/>
    <cellStyle name="Comma 6 2 6 2 2 2 5 2" xfId="32135"/>
    <cellStyle name="Comma 6 2 6 2 2 2 6" xfId="24124"/>
    <cellStyle name="Comma 6 2 6 2 2 3" xfId="12086"/>
    <cellStyle name="Comma 6 2 6 2 2 3 2" xfId="20111"/>
    <cellStyle name="Comma 6 2 6 2 2 3 2 2" xfId="34136"/>
    <cellStyle name="Comma 6 2 6 2 2 3 3" xfId="26125"/>
    <cellStyle name="Comma 6 2 6 2 2 4" xfId="14101"/>
    <cellStyle name="Comma 6 2 6 2 2 4 2" xfId="22116"/>
    <cellStyle name="Comma 6 2 6 2 2 4 2 2" xfId="36141"/>
    <cellStyle name="Comma 6 2 6 2 2 4 3" xfId="28130"/>
    <cellStyle name="Comma 6 2 6 2 2 5" xfId="16107"/>
    <cellStyle name="Comma 6 2 6 2 2 5 2" xfId="30132"/>
    <cellStyle name="Comma 6 2 6 2 2 6" xfId="18109"/>
    <cellStyle name="Comma 6 2 6 2 2 6 2" xfId="32134"/>
    <cellStyle name="Comma 6 2 6 2 2 7" xfId="24123"/>
    <cellStyle name="Comma 6 2 6 2 3" xfId="1346"/>
    <cellStyle name="Comma 6 2 6 2 3 2" xfId="12088"/>
    <cellStyle name="Comma 6 2 6 2 3 2 2" xfId="20113"/>
    <cellStyle name="Comma 6 2 6 2 3 2 2 2" xfId="34138"/>
    <cellStyle name="Comma 6 2 6 2 3 2 3" xfId="26127"/>
    <cellStyle name="Comma 6 2 6 2 3 3" xfId="14103"/>
    <cellStyle name="Comma 6 2 6 2 3 3 2" xfId="22118"/>
    <cellStyle name="Comma 6 2 6 2 3 3 2 2" xfId="36143"/>
    <cellStyle name="Comma 6 2 6 2 3 3 3" xfId="28132"/>
    <cellStyle name="Comma 6 2 6 2 3 4" xfId="16109"/>
    <cellStyle name="Comma 6 2 6 2 3 4 2" xfId="30134"/>
    <cellStyle name="Comma 6 2 6 2 3 5" xfId="18111"/>
    <cellStyle name="Comma 6 2 6 2 3 5 2" xfId="32136"/>
    <cellStyle name="Comma 6 2 6 2 3 6" xfId="24125"/>
    <cellStyle name="Comma 6 2 6 2 4" xfId="12085"/>
    <cellStyle name="Comma 6 2 6 2 4 2" xfId="20110"/>
    <cellStyle name="Comma 6 2 6 2 4 2 2" xfId="34135"/>
    <cellStyle name="Comma 6 2 6 2 4 3" xfId="26124"/>
    <cellStyle name="Comma 6 2 6 2 5" xfId="14100"/>
    <cellStyle name="Comma 6 2 6 2 5 2" xfId="22115"/>
    <cellStyle name="Comma 6 2 6 2 5 2 2" xfId="36140"/>
    <cellStyle name="Comma 6 2 6 2 5 3" xfId="28129"/>
    <cellStyle name="Comma 6 2 6 2 6" xfId="16106"/>
    <cellStyle name="Comma 6 2 6 2 6 2" xfId="30131"/>
    <cellStyle name="Comma 6 2 6 2 7" xfId="18108"/>
    <cellStyle name="Comma 6 2 6 2 7 2" xfId="32133"/>
    <cellStyle name="Comma 6 2 6 2 8" xfId="24122"/>
    <cellStyle name="Comma 6 2 6 3" xfId="1347"/>
    <cellStyle name="Comma 6 2 6 3 2" xfId="1348"/>
    <cellStyle name="Comma 6 2 6 3 2 2" xfId="12090"/>
    <cellStyle name="Comma 6 2 6 3 2 2 2" xfId="20115"/>
    <cellStyle name="Comma 6 2 6 3 2 2 2 2" xfId="34140"/>
    <cellStyle name="Comma 6 2 6 3 2 2 3" xfId="26129"/>
    <cellStyle name="Comma 6 2 6 3 2 3" xfId="14105"/>
    <cellStyle name="Comma 6 2 6 3 2 3 2" xfId="22120"/>
    <cellStyle name="Comma 6 2 6 3 2 3 2 2" xfId="36145"/>
    <cellStyle name="Comma 6 2 6 3 2 3 3" xfId="28134"/>
    <cellStyle name="Comma 6 2 6 3 2 4" xfId="16111"/>
    <cellStyle name="Comma 6 2 6 3 2 4 2" xfId="30136"/>
    <cellStyle name="Comma 6 2 6 3 2 5" xfId="18113"/>
    <cellStyle name="Comma 6 2 6 3 2 5 2" xfId="32138"/>
    <cellStyle name="Comma 6 2 6 3 2 6" xfId="24127"/>
    <cellStyle name="Comma 6 2 6 3 3" xfId="12089"/>
    <cellStyle name="Comma 6 2 6 3 3 2" xfId="20114"/>
    <cellStyle name="Comma 6 2 6 3 3 2 2" xfId="34139"/>
    <cellStyle name="Comma 6 2 6 3 3 3" xfId="26128"/>
    <cellStyle name="Comma 6 2 6 3 4" xfId="14104"/>
    <cellStyle name="Comma 6 2 6 3 4 2" xfId="22119"/>
    <cellStyle name="Comma 6 2 6 3 4 2 2" xfId="36144"/>
    <cellStyle name="Comma 6 2 6 3 4 3" xfId="28133"/>
    <cellStyle name="Comma 6 2 6 3 5" xfId="16110"/>
    <cellStyle name="Comma 6 2 6 3 5 2" xfId="30135"/>
    <cellStyle name="Comma 6 2 6 3 6" xfId="18112"/>
    <cellStyle name="Comma 6 2 6 3 6 2" xfId="32137"/>
    <cellStyle name="Comma 6 2 6 3 7" xfId="24126"/>
    <cellStyle name="Comma 6 2 6 4" xfId="1349"/>
    <cellStyle name="Comma 6 2 6 4 2" xfId="1350"/>
    <cellStyle name="Comma 6 2 6 4 2 2" xfId="12092"/>
    <cellStyle name="Comma 6 2 6 4 2 2 2" xfId="20117"/>
    <cellStyle name="Comma 6 2 6 4 2 2 2 2" xfId="34142"/>
    <cellStyle name="Comma 6 2 6 4 2 2 3" xfId="26131"/>
    <cellStyle name="Comma 6 2 6 4 2 3" xfId="14107"/>
    <cellStyle name="Comma 6 2 6 4 2 3 2" xfId="22122"/>
    <cellStyle name="Comma 6 2 6 4 2 3 2 2" xfId="36147"/>
    <cellStyle name="Comma 6 2 6 4 2 3 3" xfId="28136"/>
    <cellStyle name="Comma 6 2 6 4 2 4" xfId="16113"/>
    <cellStyle name="Comma 6 2 6 4 2 4 2" xfId="30138"/>
    <cellStyle name="Comma 6 2 6 4 2 5" xfId="18115"/>
    <cellStyle name="Comma 6 2 6 4 2 5 2" xfId="32140"/>
    <cellStyle name="Comma 6 2 6 4 2 6" xfId="24129"/>
    <cellStyle name="Comma 6 2 6 4 3" xfId="12091"/>
    <cellStyle name="Comma 6 2 6 4 3 2" xfId="20116"/>
    <cellStyle name="Comma 6 2 6 4 3 2 2" xfId="34141"/>
    <cellStyle name="Comma 6 2 6 4 3 3" xfId="26130"/>
    <cellStyle name="Comma 6 2 6 4 4" xfId="14106"/>
    <cellStyle name="Comma 6 2 6 4 4 2" xfId="22121"/>
    <cellStyle name="Comma 6 2 6 4 4 2 2" xfId="36146"/>
    <cellStyle name="Comma 6 2 6 4 4 3" xfId="28135"/>
    <cellStyle name="Comma 6 2 6 4 5" xfId="16112"/>
    <cellStyle name="Comma 6 2 6 4 5 2" xfId="30137"/>
    <cellStyle name="Comma 6 2 6 4 6" xfId="18114"/>
    <cellStyle name="Comma 6 2 6 4 6 2" xfId="32139"/>
    <cellStyle name="Comma 6 2 6 4 7" xfId="24128"/>
    <cellStyle name="Comma 6 2 6 5" xfId="1351"/>
    <cellStyle name="Comma 6 2 6 5 2" xfId="12093"/>
    <cellStyle name="Comma 6 2 6 5 2 2" xfId="20118"/>
    <cellStyle name="Comma 6 2 6 5 2 2 2" xfId="34143"/>
    <cellStyle name="Comma 6 2 6 5 2 3" xfId="26132"/>
    <cellStyle name="Comma 6 2 6 5 3" xfId="14108"/>
    <cellStyle name="Comma 6 2 6 5 3 2" xfId="22123"/>
    <cellStyle name="Comma 6 2 6 5 3 2 2" xfId="36148"/>
    <cellStyle name="Comma 6 2 6 5 3 3" xfId="28137"/>
    <cellStyle name="Comma 6 2 6 5 4" xfId="16114"/>
    <cellStyle name="Comma 6 2 6 5 4 2" xfId="30139"/>
    <cellStyle name="Comma 6 2 6 5 5" xfId="18116"/>
    <cellStyle name="Comma 6 2 6 5 5 2" xfId="32141"/>
    <cellStyle name="Comma 6 2 6 5 6" xfId="24130"/>
    <cellStyle name="Comma 6 2 6 6" xfId="12084"/>
    <cellStyle name="Comma 6 2 6 6 2" xfId="20109"/>
    <cellStyle name="Comma 6 2 6 6 2 2" xfId="34134"/>
    <cellStyle name="Comma 6 2 6 6 3" xfId="26123"/>
    <cellStyle name="Comma 6 2 6 7" xfId="14099"/>
    <cellStyle name="Comma 6 2 6 7 2" xfId="22114"/>
    <cellStyle name="Comma 6 2 6 7 2 2" xfId="36139"/>
    <cellStyle name="Comma 6 2 6 7 3" xfId="28128"/>
    <cellStyle name="Comma 6 2 6 8" xfId="16105"/>
    <cellStyle name="Comma 6 2 6 8 2" xfId="30130"/>
    <cellStyle name="Comma 6 2 6 9" xfId="18107"/>
    <cellStyle name="Comma 6 2 6 9 2" xfId="32132"/>
    <cellStyle name="Comma 6 2 7" xfId="1352"/>
    <cellStyle name="Comma 6 2 7 2" xfId="1353"/>
    <cellStyle name="Comma 6 2 7 2 2" xfId="1354"/>
    <cellStyle name="Comma 6 2 7 2 2 2" xfId="12096"/>
    <cellStyle name="Comma 6 2 7 2 2 2 2" xfId="20121"/>
    <cellStyle name="Comma 6 2 7 2 2 2 2 2" xfId="34146"/>
    <cellStyle name="Comma 6 2 7 2 2 2 3" xfId="26135"/>
    <cellStyle name="Comma 6 2 7 2 2 3" xfId="14111"/>
    <cellStyle name="Comma 6 2 7 2 2 3 2" xfId="22126"/>
    <cellStyle name="Comma 6 2 7 2 2 3 2 2" xfId="36151"/>
    <cellStyle name="Comma 6 2 7 2 2 3 3" xfId="28140"/>
    <cellStyle name="Comma 6 2 7 2 2 4" xfId="16117"/>
    <cellStyle name="Comma 6 2 7 2 2 4 2" xfId="30142"/>
    <cellStyle name="Comma 6 2 7 2 2 5" xfId="18119"/>
    <cellStyle name="Comma 6 2 7 2 2 5 2" xfId="32144"/>
    <cellStyle name="Comma 6 2 7 2 2 6" xfId="24133"/>
    <cellStyle name="Comma 6 2 7 2 3" xfId="12095"/>
    <cellStyle name="Comma 6 2 7 2 3 2" xfId="20120"/>
    <cellStyle name="Comma 6 2 7 2 3 2 2" xfId="34145"/>
    <cellStyle name="Comma 6 2 7 2 3 3" xfId="26134"/>
    <cellStyle name="Comma 6 2 7 2 4" xfId="14110"/>
    <cellStyle name="Comma 6 2 7 2 4 2" xfId="22125"/>
    <cellStyle name="Comma 6 2 7 2 4 2 2" xfId="36150"/>
    <cellStyle name="Comma 6 2 7 2 4 3" xfId="28139"/>
    <cellStyle name="Comma 6 2 7 2 5" xfId="16116"/>
    <cellStyle name="Comma 6 2 7 2 5 2" xfId="30141"/>
    <cellStyle name="Comma 6 2 7 2 6" xfId="18118"/>
    <cellStyle name="Comma 6 2 7 2 6 2" xfId="32143"/>
    <cellStyle name="Comma 6 2 7 2 7" xfId="24132"/>
    <cellStyle name="Comma 6 2 7 3" xfId="1355"/>
    <cellStyle name="Comma 6 2 7 3 2" xfId="12097"/>
    <cellStyle name="Comma 6 2 7 3 2 2" xfId="20122"/>
    <cellStyle name="Comma 6 2 7 3 2 2 2" xfId="34147"/>
    <cellStyle name="Comma 6 2 7 3 2 3" xfId="26136"/>
    <cellStyle name="Comma 6 2 7 3 3" xfId="14112"/>
    <cellStyle name="Comma 6 2 7 3 3 2" xfId="22127"/>
    <cellStyle name="Comma 6 2 7 3 3 2 2" xfId="36152"/>
    <cellStyle name="Comma 6 2 7 3 3 3" xfId="28141"/>
    <cellStyle name="Comma 6 2 7 3 4" xfId="16118"/>
    <cellStyle name="Comma 6 2 7 3 4 2" xfId="30143"/>
    <cellStyle name="Comma 6 2 7 3 5" xfId="18120"/>
    <cellStyle name="Comma 6 2 7 3 5 2" xfId="32145"/>
    <cellStyle name="Comma 6 2 7 3 6" xfId="24134"/>
    <cellStyle name="Comma 6 2 7 4" xfId="12094"/>
    <cellStyle name="Comma 6 2 7 4 2" xfId="20119"/>
    <cellStyle name="Comma 6 2 7 4 2 2" xfId="34144"/>
    <cellStyle name="Comma 6 2 7 4 3" xfId="26133"/>
    <cellStyle name="Comma 6 2 7 5" xfId="14109"/>
    <cellStyle name="Comma 6 2 7 5 2" xfId="22124"/>
    <cellStyle name="Comma 6 2 7 5 2 2" xfId="36149"/>
    <cellStyle name="Comma 6 2 7 5 3" xfId="28138"/>
    <cellStyle name="Comma 6 2 7 6" xfId="16115"/>
    <cellStyle name="Comma 6 2 7 6 2" xfId="30140"/>
    <cellStyle name="Comma 6 2 7 7" xfId="18117"/>
    <cellStyle name="Comma 6 2 7 7 2" xfId="32142"/>
    <cellStyle name="Comma 6 2 7 8" xfId="24131"/>
    <cellStyle name="Comma 6 2 8" xfId="1356"/>
    <cellStyle name="Comma 6 2 8 2" xfId="1357"/>
    <cellStyle name="Comma 6 2 8 2 2" xfId="12099"/>
    <cellStyle name="Comma 6 2 8 2 2 2" xfId="20124"/>
    <cellStyle name="Comma 6 2 8 2 2 2 2" xfId="34149"/>
    <cellStyle name="Comma 6 2 8 2 2 3" xfId="26138"/>
    <cellStyle name="Comma 6 2 8 2 3" xfId="14114"/>
    <cellStyle name="Comma 6 2 8 2 3 2" xfId="22129"/>
    <cellStyle name="Comma 6 2 8 2 3 2 2" xfId="36154"/>
    <cellStyle name="Comma 6 2 8 2 3 3" xfId="28143"/>
    <cellStyle name="Comma 6 2 8 2 4" xfId="16120"/>
    <cellStyle name="Comma 6 2 8 2 4 2" xfId="30145"/>
    <cellStyle name="Comma 6 2 8 2 5" xfId="18122"/>
    <cellStyle name="Comma 6 2 8 2 5 2" xfId="32147"/>
    <cellStyle name="Comma 6 2 8 2 6" xfId="24136"/>
    <cellStyle name="Comma 6 2 8 3" xfId="12098"/>
    <cellStyle name="Comma 6 2 8 3 2" xfId="20123"/>
    <cellStyle name="Comma 6 2 8 3 2 2" xfId="34148"/>
    <cellStyle name="Comma 6 2 8 3 3" xfId="26137"/>
    <cellStyle name="Comma 6 2 8 4" xfId="14113"/>
    <cellStyle name="Comma 6 2 8 4 2" xfId="22128"/>
    <cellStyle name="Comma 6 2 8 4 2 2" xfId="36153"/>
    <cellStyle name="Comma 6 2 8 4 3" xfId="28142"/>
    <cellStyle name="Comma 6 2 8 5" xfId="16119"/>
    <cellStyle name="Comma 6 2 8 5 2" xfId="30144"/>
    <cellStyle name="Comma 6 2 8 6" xfId="18121"/>
    <cellStyle name="Comma 6 2 8 6 2" xfId="32146"/>
    <cellStyle name="Comma 6 2 8 7" xfId="24135"/>
    <cellStyle name="Comma 6 2 9" xfId="1358"/>
    <cellStyle name="Comma 6 2 9 2" xfId="1359"/>
    <cellStyle name="Comma 6 2 9 2 2" xfId="12101"/>
    <cellStyle name="Comma 6 2 9 2 2 2" xfId="20126"/>
    <cellStyle name="Comma 6 2 9 2 2 2 2" xfId="34151"/>
    <cellStyle name="Comma 6 2 9 2 2 3" xfId="26140"/>
    <cellStyle name="Comma 6 2 9 2 3" xfId="14116"/>
    <cellStyle name="Comma 6 2 9 2 3 2" xfId="22131"/>
    <cellStyle name="Comma 6 2 9 2 3 2 2" xfId="36156"/>
    <cellStyle name="Comma 6 2 9 2 3 3" xfId="28145"/>
    <cellStyle name="Comma 6 2 9 2 4" xfId="16122"/>
    <cellStyle name="Comma 6 2 9 2 4 2" xfId="30147"/>
    <cellStyle name="Comma 6 2 9 2 5" xfId="18124"/>
    <cellStyle name="Comma 6 2 9 2 5 2" xfId="32149"/>
    <cellStyle name="Comma 6 2 9 2 6" xfId="24138"/>
    <cellStyle name="Comma 6 2 9 3" xfId="12100"/>
    <cellStyle name="Comma 6 2 9 3 2" xfId="20125"/>
    <cellStyle name="Comma 6 2 9 3 2 2" xfId="34150"/>
    <cellStyle name="Comma 6 2 9 3 3" xfId="26139"/>
    <cellStyle name="Comma 6 2 9 4" xfId="14115"/>
    <cellStyle name="Comma 6 2 9 4 2" xfId="22130"/>
    <cellStyle name="Comma 6 2 9 4 2 2" xfId="36155"/>
    <cellStyle name="Comma 6 2 9 4 3" xfId="28144"/>
    <cellStyle name="Comma 6 2 9 5" xfId="16121"/>
    <cellStyle name="Comma 6 2 9 5 2" xfId="30146"/>
    <cellStyle name="Comma 6 2 9 6" xfId="18123"/>
    <cellStyle name="Comma 6 2 9 6 2" xfId="32148"/>
    <cellStyle name="Comma 6 2 9 7" xfId="24137"/>
    <cellStyle name="Comma 6 3" xfId="422"/>
    <cellStyle name="Comma 6 4" xfId="1360"/>
    <cellStyle name="Comma 6 4 10" xfId="16123"/>
    <cellStyle name="Comma 6 4 10 2" xfId="30148"/>
    <cellStyle name="Comma 6 4 11" xfId="18125"/>
    <cellStyle name="Comma 6 4 11 2" xfId="32150"/>
    <cellStyle name="Comma 6 4 12" xfId="24139"/>
    <cellStyle name="Comma 6 4 2" xfId="1361"/>
    <cellStyle name="Comma 6 4 2 10" xfId="18126"/>
    <cellStyle name="Comma 6 4 2 10 2" xfId="32151"/>
    <cellStyle name="Comma 6 4 2 11" xfId="24140"/>
    <cellStyle name="Comma 6 4 2 2" xfId="1362"/>
    <cellStyle name="Comma 6 4 2 2 10" xfId="24141"/>
    <cellStyle name="Comma 6 4 2 2 2" xfId="1363"/>
    <cellStyle name="Comma 6 4 2 2 2 2" xfId="1364"/>
    <cellStyle name="Comma 6 4 2 2 2 2 2" xfId="1365"/>
    <cellStyle name="Comma 6 4 2 2 2 2 2 2" xfId="12107"/>
    <cellStyle name="Comma 6 4 2 2 2 2 2 2 2" xfId="20132"/>
    <cellStyle name="Comma 6 4 2 2 2 2 2 2 2 2" xfId="34157"/>
    <cellStyle name="Comma 6 4 2 2 2 2 2 2 3" xfId="26146"/>
    <cellStyle name="Comma 6 4 2 2 2 2 2 3" xfId="14122"/>
    <cellStyle name="Comma 6 4 2 2 2 2 2 3 2" xfId="22137"/>
    <cellStyle name="Comma 6 4 2 2 2 2 2 3 2 2" xfId="36162"/>
    <cellStyle name="Comma 6 4 2 2 2 2 2 3 3" xfId="28151"/>
    <cellStyle name="Comma 6 4 2 2 2 2 2 4" xfId="16128"/>
    <cellStyle name="Comma 6 4 2 2 2 2 2 4 2" xfId="30153"/>
    <cellStyle name="Comma 6 4 2 2 2 2 2 5" xfId="18130"/>
    <cellStyle name="Comma 6 4 2 2 2 2 2 5 2" xfId="32155"/>
    <cellStyle name="Comma 6 4 2 2 2 2 2 6" xfId="24144"/>
    <cellStyle name="Comma 6 4 2 2 2 2 3" xfId="12106"/>
    <cellStyle name="Comma 6 4 2 2 2 2 3 2" xfId="20131"/>
    <cellStyle name="Comma 6 4 2 2 2 2 3 2 2" xfId="34156"/>
    <cellStyle name="Comma 6 4 2 2 2 2 3 3" xfId="26145"/>
    <cellStyle name="Comma 6 4 2 2 2 2 4" xfId="14121"/>
    <cellStyle name="Comma 6 4 2 2 2 2 4 2" xfId="22136"/>
    <cellStyle name="Comma 6 4 2 2 2 2 4 2 2" xfId="36161"/>
    <cellStyle name="Comma 6 4 2 2 2 2 4 3" xfId="28150"/>
    <cellStyle name="Comma 6 4 2 2 2 2 5" xfId="16127"/>
    <cellStyle name="Comma 6 4 2 2 2 2 5 2" xfId="30152"/>
    <cellStyle name="Comma 6 4 2 2 2 2 6" xfId="18129"/>
    <cellStyle name="Comma 6 4 2 2 2 2 6 2" xfId="32154"/>
    <cellStyle name="Comma 6 4 2 2 2 2 7" xfId="24143"/>
    <cellStyle name="Comma 6 4 2 2 2 3" xfId="1366"/>
    <cellStyle name="Comma 6 4 2 2 2 3 2" xfId="12108"/>
    <cellStyle name="Comma 6 4 2 2 2 3 2 2" xfId="20133"/>
    <cellStyle name="Comma 6 4 2 2 2 3 2 2 2" xfId="34158"/>
    <cellStyle name="Comma 6 4 2 2 2 3 2 3" xfId="26147"/>
    <cellStyle name="Comma 6 4 2 2 2 3 3" xfId="14123"/>
    <cellStyle name="Comma 6 4 2 2 2 3 3 2" xfId="22138"/>
    <cellStyle name="Comma 6 4 2 2 2 3 3 2 2" xfId="36163"/>
    <cellStyle name="Comma 6 4 2 2 2 3 3 3" xfId="28152"/>
    <cellStyle name="Comma 6 4 2 2 2 3 4" xfId="16129"/>
    <cellStyle name="Comma 6 4 2 2 2 3 4 2" xfId="30154"/>
    <cellStyle name="Comma 6 4 2 2 2 3 5" xfId="18131"/>
    <cellStyle name="Comma 6 4 2 2 2 3 5 2" xfId="32156"/>
    <cellStyle name="Comma 6 4 2 2 2 3 6" xfId="24145"/>
    <cellStyle name="Comma 6 4 2 2 2 4" xfId="12105"/>
    <cellStyle name="Comma 6 4 2 2 2 4 2" xfId="20130"/>
    <cellStyle name="Comma 6 4 2 2 2 4 2 2" xfId="34155"/>
    <cellStyle name="Comma 6 4 2 2 2 4 3" xfId="26144"/>
    <cellStyle name="Comma 6 4 2 2 2 5" xfId="14120"/>
    <cellStyle name="Comma 6 4 2 2 2 5 2" xfId="22135"/>
    <cellStyle name="Comma 6 4 2 2 2 5 2 2" xfId="36160"/>
    <cellStyle name="Comma 6 4 2 2 2 5 3" xfId="28149"/>
    <cellStyle name="Comma 6 4 2 2 2 6" xfId="16126"/>
    <cellStyle name="Comma 6 4 2 2 2 6 2" xfId="30151"/>
    <cellStyle name="Comma 6 4 2 2 2 7" xfId="18128"/>
    <cellStyle name="Comma 6 4 2 2 2 7 2" xfId="32153"/>
    <cellStyle name="Comma 6 4 2 2 2 8" xfId="24142"/>
    <cellStyle name="Comma 6 4 2 2 3" xfId="1367"/>
    <cellStyle name="Comma 6 4 2 2 3 2" xfId="1368"/>
    <cellStyle name="Comma 6 4 2 2 3 2 2" xfId="12110"/>
    <cellStyle name="Comma 6 4 2 2 3 2 2 2" xfId="20135"/>
    <cellStyle name="Comma 6 4 2 2 3 2 2 2 2" xfId="34160"/>
    <cellStyle name="Comma 6 4 2 2 3 2 2 3" xfId="26149"/>
    <cellStyle name="Comma 6 4 2 2 3 2 3" xfId="14125"/>
    <cellStyle name="Comma 6 4 2 2 3 2 3 2" xfId="22140"/>
    <cellStyle name="Comma 6 4 2 2 3 2 3 2 2" xfId="36165"/>
    <cellStyle name="Comma 6 4 2 2 3 2 3 3" xfId="28154"/>
    <cellStyle name="Comma 6 4 2 2 3 2 4" xfId="16131"/>
    <cellStyle name="Comma 6 4 2 2 3 2 4 2" xfId="30156"/>
    <cellStyle name="Comma 6 4 2 2 3 2 5" xfId="18133"/>
    <cellStyle name="Comma 6 4 2 2 3 2 5 2" xfId="32158"/>
    <cellStyle name="Comma 6 4 2 2 3 2 6" xfId="24147"/>
    <cellStyle name="Comma 6 4 2 2 3 3" xfId="12109"/>
    <cellStyle name="Comma 6 4 2 2 3 3 2" xfId="20134"/>
    <cellStyle name="Comma 6 4 2 2 3 3 2 2" xfId="34159"/>
    <cellStyle name="Comma 6 4 2 2 3 3 3" xfId="26148"/>
    <cellStyle name="Comma 6 4 2 2 3 4" xfId="14124"/>
    <cellStyle name="Comma 6 4 2 2 3 4 2" xfId="22139"/>
    <cellStyle name="Comma 6 4 2 2 3 4 2 2" xfId="36164"/>
    <cellStyle name="Comma 6 4 2 2 3 4 3" xfId="28153"/>
    <cellStyle name="Comma 6 4 2 2 3 5" xfId="16130"/>
    <cellStyle name="Comma 6 4 2 2 3 5 2" xfId="30155"/>
    <cellStyle name="Comma 6 4 2 2 3 6" xfId="18132"/>
    <cellStyle name="Comma 6 4 2 2 3 6 2" xfId="32157"/>
    <cellStyle name="Comma 6 4 2 2 3 7" xfId="24146"/>
    <cellStyle name="Comma 6 4 2 2 4" xfId="1369"/>
    <cellStyle name="Comma 6 4 2 2 4 2" xfId="1370"/>
    <cellStyle name="Comma 6 4 2 2 4 2 2" xfId="12112"/>
    <cellStyle name="Comma 6 4 2 2 4 2 2 2" xfId="20137"/>
    <cellStyle name="Comma 6 4 2 2 4 2 2 2 2" xfId="34162"/>
    <cellStyle name="Comma 6 4 2 2 4 2 2 3" xfId="26151"/>
    <cellStyle name="Comma 6 4 2 2 4 2 3" xfId="14127"/>
    <cellStyle name="Comma 6 4 2 2 4 2 3 2" xfId="22142"/>
    <cellStyle name="Comma 6 4 2 2 4 2 3 2 2" xfId="36167"/>
    <cellStyle name="Comma 6 4 2 2 4 2 3 3" xfId="28156"/>
    <cellStyle name="Comma 6 4 2 2 4 2 4" xfId="16133"/>
    <cellStyle name="Comma 6 4 2 2 4 2 4 2" xfId="30158"/>
    <cellStyle name="Comma 6 4 2 2 4 2 5" xfId="18135"/>
    <cellStyle name="Comma 6 4 2 2 4 2 5 2" xfId="32160"/>
    <cellStyle name="Comma 6 4 2 2 4 2 6" xfId="24149"/>
    <cellStyle name="Comma 6 4 2 2 4 3" xfId="12111"/>
    <cellStyle name="Comma 6 4 2 2 4 3 2" xfId="20136"/>
    <cellStyle name="Comma 6 4 2 2 4 3 2 2" xfId="34161"/>
    <cellStyle name="Comma 6 4 2 2 4 3 3" xfId="26150"/>
    <cellStyle name="Comma 6 4 2 2 4 4" xfId="14126"/>
    <cellStyle name="Comma 6 4 2 2 4 4 2" xfId="22141"/>
    <cellStyle name="Comma 6 4 2 2 4 4 2 2" xfId="36166"/>
    <cellStyle name="Comma 6 4 2 2 4 4 3" xfId="28155"/>
    <cellStyle name="Comma 6 4 2 2 4 5" xfId="16132"/>
    <cellStyle name="Comma 6 4 2 2 4 5 2" xfId="30157"/>
    <cellStyle name="Comma 6 4 2 2 4 6" xfId="18134"/>
    <cellStyle name="Comma 6 4 2 2 4 6 2" xfId="32159"/>
    <cellStyle name="Comma 6 4 2 2 4 7" xfId="24148"/>
    <cellStyle name="Comma 6 4 2 2 5" xfId="1371"/>
    <cellStyle name="Comma 6 4 2 2 5 2" xfId="12113"/>
    <cellStyle name="Comma 6 4 2 2 5 2 2" xfId="20138"/>
    <cellStyle name="Comma 6 4 2 2 5 2 2 2" xfId="34163"/>
    <cellStyle name="Comma 6 4 2 2 5 2 3" xfId="26152"/>
    <cellStyle name="Comma 6 4 2 2 5 3" xfId="14128"/>
    <cellStyle name="Comma 6 4 2 2 5 3 2" xfId="22143"/>
    <cellStyle name="Comma 6 4 2 2 5 3 2 2" xfId="36168"/>
    <cellStyle name="Comma 6 4 2 2 5 3 3" xfId="28157"/>
    <cellStyle name="Comma 6 4 2 2 5 4" xfId="16134"/>
    <cellStyle name="Comma 6 4 2 2 5 4 2" xfId="30159"/>
    <cellStyle name="Comma 6 4 2 2 5 5" xfId="18136"/>
    <cellStyle name="Comma 6 4 2 2 5 5 2" xfId="32161"/>
    <cellStyle name="Comma 6 4 2 2 5 6" xfId="24150"/>
    <cellStyle name="Comma 6 4 2 2 6" xfId="12104"/>
    <cellStyle name="Comma 6 4 2 2 6 2" xfId="20129"/>
    <cellStyle name="Comma 6 4 2 2 6 2 2" xfId="34154"/>
    <cellStyle name="Comma 6 4 2 2 6 3" xfId="26143"/>
    <cellStyle name="Comma 6 4 2 2 7" xfId="14119"/>
    <cellStyle name="Comma 6 4 2 2 7 2" xfId="22134"/>
    <cellStyle name="Comma 6 4 2 2 7 2 2" xfId="36159"/>
    <cellStyle name="Comma 6 4 2 2 7 3" xfId="28148"/>
    <cellStyle name="Comma 6 4 2 2 8" xfId="16125"/>
    <cellStyle name="Comma 6 4 2 2 8 2" xfId="30150"/>
    <cellStyle name="Comma 6 4 2 2 9" xfId="18127"/>
    <cellStyle name="Comma 6 4 2 2 9 2" xfId="32152"/>
    <cellStyle name="Comma 6 4 2 3" xfId="1372"/>
    <cellStyle name="Comma 6 4 2 3 2" xfId="1373"/>
    <cellStyle name="Comma 6 4 2 3 2 2" xfId="1374"/>
    <cellStyle name="Comma 6 4 2 3 2 2 2" xfId="12116"/>
    <cellStyle name="Comma 6 4 2 3 2 2 2 2" xfId="20141"/>
    <cellStyle name="Comma 6 4 2 3 2 2 2 2 2" xfId="34166"/>
    <cellStyle name="Comma 6 4 2 3 2 2 2 3" xfId="26155"/>
    <cellStyle name="Comma 6 4 2 3 2 2 3" xfId="14131"/>
    <cellStyle name="Comma 6 4 2 3 2 2 3 2" xfId="22146"/>
    <cellStyle name="Comma 6 4 2 3 2 2 3 2 2" xfId="36171"/>
    <cellStyle name="Comma 6 4 2 3 2 2 3 3" xfId="28160"/>
    <cellStyle name="Comma 6 4 2 3 2 2 4" xfId="16137"/>
    <cellStyle name="Comma 6 4 2 3 2 2 4 2" xfId="30162"/>
    <cellStyle name="Comma 6 4 2 3 2 2 5" xfId="18139"/>
    <cellStyle name="Comma 6 4 2 3 2 2 5 2" xfId="32164"/>
    <cellStyle name="Comma 6 4 2 3 2 2 6" xfId="24153"/>
    <cellStyle name="Comma 6 4 2 3 2 3" xfId="12115"/>
    <cellStyle name="Comma 6 4 2 3 2 3 2" xfId="20140"/>
    <cellStyle name="Comma 6 4 2 3 2 3 2 2" xfId="34165"/>
    <cellStyle name="Comma 6 4 2 3 2 3 3" xfId="26154"/>
    <cellStyle name="Comma 6 4 2 3 2 4" xfId="14130"/>
    <cellStyle name="Comma 6 4 2 3 2 4 2" xfId="22145"/>
    <cellStyle name="Comma 6 4 2 3 2 4 2 2" xfId="36170"/>
    <cellStyle name="Comma 6 4 2 3 2 4 3" xfId="28159"/>
    <cellStyle name="Comma 6 4 2 3 2 5" xfId="16136"/>
    <cellStyle name="Comma 6 4 2 3 2 5 2" xfId="30161"/>
    <cellStyle name="Comma 6 4 2 3 2 6" xfId="18138"/>
    <cellStyle name="Comma 6 4 2 3 2 6 2" xfId="32163"/>
    <cellStyle name="Comma 6 4 2 3 2 7" xfId="24152"/>
    <cellStyle name="Comma 6 4 2 3 3" xfId="1375"/>
    <cellStyle name="Comma 6 4 2 3 3 2" xfId="12117"/>
    <cellStyle name="Comma 6 4 2 3 3 2 2" xfId="20142"/>
    <cellStyle name="Comma 6 4 2 3 3 2 2 2" xfId="34167"/>
    <cellStyle name="Comma 6 4 2 3 3 2 3" xfId="26156"/>
    <cellStyle name="Comma 6 4 2 3 3 3" xfId="14132"/>
    <cellStyle name="Comma 6 4 2 3 3 3 2" xfId="22147"/>
    <cellStyle name="Comma 6 4 2 3 3 3 2 2" xfId="36172"/>
    <cellStyle name="Comma 6 4 2 3 3 3 3" xfId="28161"/>
    <cellStyle name="Comma 6 4 2 3 3 4" xfId="16138"/>
    <cellStyle name="Comma 6 4 2 3 3 4 2" xfId="30163"/>
    <cellStyle name="Comma 6 4 2 3 3 5" xfId="18140"/>
    <cellStyle name="Comma 6 4 2 3 3 5 2" xfId="32165"/>
    <cellStyle name="Comma 6 4 2 3 3 6" xfId="24154"/>
    <cellStyle name="Comma 6 4 2 3 4" xfId="12114"/>
    <cellStyle name="Comma 6 4 2 3 4 2" xfId="20139"/>
    <cellStyle name="Comma 6 4 2 3 4 2 2" xfId="34164"/>
    <cellStyle name="Comma 6 4 2 3 4 3" xfId="26153"/>
    <cellStyle name="Comma 6 4 2 3 5" xfId="14129"/>
    <cellStyle name="Comma 6 4 2 3 5 2" xfId="22144"/>
    <cellStyle name="Comma 6 4 2 3 5 2 2" xfId="36169"/>
    <cellStyle name="Comma 6 4 2 3 5 3" xfId="28158"/>
    <cellStyle name="Comma 6 4 2 3 6" xfId="16135"/>
    <cellStyle name="Comma 6 4 2 3 6 2" xfId="30160"/>
    <cellStyle name="Comma 6 4 2 3 7" xfId="18137"/>
    <cellStyle name="Comma 6 4 2 3 7 2" xfId="32162"/>
    <cellStyle name="Comma 6 4 2 3 8" xfId="24151"/>
    <cellStyle name="Comma 6 4 2 4" xfId="1376"/>
    <cellStyle name="Comma 6 4 2 4 2" xfId="1377"/>
    <cellStyle name="Comma 6 4 2 4 2 2" xfId="12119"/>
    <cellStyle name="Comma 6 4 2 4 2 2 2" xfId="20144"/>
    <cellStyle name="Comma 6 4 2 4 2 2 2 2" xfId="34169"/>
    <cellStyle name="Comma 6 4 2 4 2 2 3" xfId="26158"/>
    <cellStyle name="Comma 6 4 2 4 2 3" xfId="14134"/>
    <cellStyle name="Comma 6 4 2 4 2 3 2" xfId="22149"/>
    <cellStyle name="Comma 6 4 2 4 2 3 2 2" xfId="36174"/>
    <cellStyle name="Comma 6 4 2 4 2 3 3" xfId="28163"/>
    <cellStyle name="Comma 6 4 2 4 2 4" xfId="16140"/>
    <cellStyle name="Comma 6 4 2 4 2 4 2" xfId="30165"/>
    <cellStyle name="Comma 6 4 2 4 2 5" xfId="18142"/>
    <cellStyle name="Comma 6 4 2 4 2 5 2" xfId="32167"/>
    <cellStyle name="Comma 6 4 2 4 2 6" xfId="24156"/>
    <cellStyle name="Comma 6 4 2 4 3" xfId="12118"/>
    <cellStyle name="Comma 6 4 2 4 3 2" xfId="20143"/>
    <cellStyle name="Comma 6 4 2 4 3 2 2" xfId="34168"/>
    <cellStyle name="Comma 6 4 2 4 3 3" xfId="26157"/>
    <cellStyle name="Comma 6 4 2 4 4" xfId="14133"/>
    <cellStyle name="Comma 6 4 2 4 4 2" xfId="22148"/>
    <cellStyle name="Comma 6 4 2 4 4 2 2" xfId="36173"/>
    <cellStyle name="Comma 6 4 2 4 4 3" xfId="28162"/>
    <cellStyle name="Comma 6 4 2 4 5" xfId="16139"/>
    <cellStyle name="Comma 6 4 2 4 5 2" xfId="30164"/>
    <cellStyle name="Comma 6 4 2 4 6" xfId="18141"/>
    <cellStyle name="Comma 6 4 2 4 6 2" xfId="32166"/>
    <cellStyle name="Comma 6 4 2 4 7" xfId="24155"/>
    <cellStyle name="Comma 6 4 2 5" xfId="1378"/>
    <cellStyle name="Comma 6 4 2 5 2" xfId="1379"/>
    <cellStyle name="Comma 6 4 2 5 2 2" xfId="12121"/>
    <cellStyle name="Comma 6 4 2 5 2 2 2" xfId="20146"/>
    <cellStyle name="Comma 6 4 2 5 2 2 2 2" xfId="34171"/>
    <cellStyle name="Comma 6 4 2 5 2 2 3" xfId="26160"/>
    <cellStyle name="Comma 6 4 2 5 2 3" xfId="14136"/>
    <cellStyle name="Comma 6 4 2 5 2 3 2" xfId="22151"/>
    <cellStyle name="Comma 6 4 2 5 2 3 2 2" xfId="36176"/>
    <cellStyle name="Comma 6 4 2 5 2 3 3" xfId="28165"/>
    <cellStyle name="Comma 6 4 2 5 2 4" xfId="16142"/>
    <cellStyle name="Comma 6 4 2 5 2 4 2" xfId="30167"/>
    <cellStyle name="Comma 6 4 2 5 2 5" xfId="18144"/>
    <cellStyle name="Comma 6 4 2 5 2 5 2" xfId="32169"/>
    <cellStyle name="Comma 6 4 2 5 2 6" xfId="24158"/>
    <cellStyle name="Comma 6 4 2 5 3" xfId="12120"/>
    <cellStyle name="Comma 6 4 2 5 3 2" xfId="20145"/>
    <cellStyle name="Comma 6 4 2 5 3 2 2" xfId="34170"/>
    <cellStyle name="Comma 6 4 2 5 3 3" xfId="26159"/>
    <cellStyle name="Comma 6 4 2 5 4" xfId="14135"/>
    <cellStyle name="Comma 6 4 2 5 4 2" xfId="22150"/>
    <cellStyle name="Comma 6 4 2 5 4 2 2" xfId="36175"/>
    <cellStyle name="Comma 6 4 2 5 4 3" xfId="28164"/>
    <cellStyle name="Comma 6 4 2 5 5" xfId="16141"/>
    <cellStyle name="Comma 6 4 2 5 5 2" xfId="30166"/>
    <cellStyle name="Comma 6 4 2 5 6" xfId="18143"/>
    <cellStyle name="Comma 6 4 2 5 6 2" xfId="32168"/>
    <cellStyle name="Comma 6 4 2 5 7" xfId="24157"/>
    <cellStyle name="Comma 6 4 2 6" xfId="1380"/>
    <cellStyle name="Comma 6 4 2 6 2" xfId="12122"/>
    <cellStyle name="Comma 6 4 2 6 2 2" xfId="20147"/>
    <cellStyle name="Comma 6 4 2 6 2 2 2" xfId="34172"/>
    <cellStyle name="Comma 6 4 2 6 2 3" xfId="26161"/>
    <cellStyle name="Comma 6 4 2 6 3" xfId="14137"/>
    <cellStyle name="Comma 6 4 2 6 3 2" xfId="22152"/>
    <cellStyle name="Comma 6 4 2 6 3 2 2" xfId="36177"/>
    <cellStyle name="Comma 6 4 2 6 3 3" xfId="28166"/>
    <cellStyle name="Comma 6 4 2 6 4" xfId="16143"/>
    <cellStyle name="Comma 6 4 2 6 4 2" xfId="30168"/>
    <cellStyle name="Comma 6 4 2 6 5" xfId="18145"/>
    <cellStyle name="Comma 6 4 2 6 5 2" xfId="32170"/>
    <cellStyle name="Comma 6 4 2 6 6" xfId="24159"/>
    <cellStyle name="Comma 6 4 2 7" xfId="12103"/>
    <cellStyle name="Comma 6 4 2 7 2" xfId="20128"/>
    <cellStyle name="Comma 6 4 2 7 2 2" xfId="34153"/>
    <cellStyle name="Comma 6 4 2 7 3" xfId="26142"/>
    <cellStyle name="Comma 6 4 2 8" xfId="14118"/>
    <cellStyle name="Comma 6 4 2 8 2" xfId="22133"/>
    <cellStyle name="Comma 6 4 2 8 2 2" xfId="36158"/>
    <cellStyle name="Comma 6 4 2 8 3" xfId="28147"/>
    <cellStyle name="Comma 6 4 2 9" xfId="16124"/>
    <cellStyle name="Comma 6 4 2 9 2" xfId="30149"/>
    <cellStyle name="Comma 6 4 3" xfId="1381"/>
    <cellStyle name="Comma 6 4 3 10" xfId="24160"/>
    <cellStyle name="Comma 6 4 3 2" xfId="1382"/>
    <cellStyle name="Comma 6 4 3 2 2" xfId="1383"/>
    <cellStyle name="Comma 6 4 3 2 2 2" xfId="1384"/>
    <cellStyle name="Comma 6 4 3 2 2 2 2" xfId="12126"/>
    <cellStyle name="Comma 6 4 3 2 2 2 2 2" xfId="20151"/>
    <cellStyle name="Comma 6 4 3 2 2 2 2 2 2" xfId="34176"/>
    <cellStyle name="Comma 6 4 3 2 2 2 2 3" xfId="26165"/>
    <cellStyle name="Comma 6 4 3 2 2 2 3" xfId="14141"/>
    <cellStyle name="Comma 6 4 3 2 2 2 3 2" xfId="22156"/>
    <cellStyle name="Comma 6 4 3 2 2 2 3 2 2" xfId="36181"/>
    <cellStyle name="Comma 6 4 3 2 2 2 3 3" xfId="28170"/>
    <cellStyle name="Comma 6 4 3 2 2 2 4" xfId="16147"/>
    <cellStyle name="Comma 6 4 3 2 2 2 4 2" xfId="30172"/>
    <cellStyle name="Comma 6 4 3 2 2 2 5" xfId="18149"/>
    <cellStyle name="Comma 6 4 3 2 2 2 5 2" xfId="32174"/>
    <cellStyle name="Comma 6 4 3 2 2 2 6" xfId="24163"/>
    <cellStyle name="Comma 6 4 3 2 2 3" xfId="12125"/>
    <cellStyle name="Comma 6 4 3 2 2 3 2" xfId="20150"/>
    <cellStyle name="Comma 6 4 3 2 2 3 2 2" xfId="34175"/>
    <cellStyle name="Comma 6 4 3 2 2 3 3" xfId="26164"/>
    <cellStyle name="Comma 6 4 3 2 2 4" xfId="14140"/>
    <cellStyle name="Comma 6 4 3 2 2 4 2" xfId="22155"/>
    <cellStyle name="Comma 6 4 3 2 2 4 2 2" xfId="36180"/>
    <cellStyle name="Comma 6 4 3 2 2 4 3" xfId="28169"/>
    <cellStyle name="Comma 6 4 3 2 2 5" xfId="16146"/>
    <cellStyle name="Comma 6 4 3 2 2 5 2" xfId="30171"/>
    <cellStyle name="Comma 6 4 3 2 2 6" xfId="18148"/>
    <cellStyle name="Comma 6 4 3 2 2 6 2" xfId="32173"/>
    <cellStyle name="Comma 6 4 3 2 2 7" xfId="24162"/>
    <cellStyle name="Comma 6 4 3 2 3" xfId="1385"/>
    <cellStyle name="Comma 6 4 3 2 3 2" xfId="12127"/>
    <cellStyle name="Comma 6 4 3 2 3 2 2" xfId="20152"/>
    <cellStyle name="Comma 6 4 3 2 3 2 2 2" xfId="34177"/>
    <cellStyle name="Comma 6 4 3 2 3 2 3" xfId="26166"/>
    <cellStyle name="Comma 6 4 3 2 3 3" xfId="14142"/>
    <cellStyle name="Comma 6 4 3 2 3 3 2" xfId="22157"/>
    <cellStyle name="Comma 6 4 3 2 3 3 2 2" xfId="36182"/>
    <cellStyle name="Comma 6 4 3 2 3 3 3" xfId="28171"/>
    <cellStyle name="Comma 6 4 3 2 3 4" xfId="16148"/>
    <cellStyle name="Comma 6 4 3 2 3 4 2" xfId="30173"/>
    <cellStyle name="Comma 6 4 3 2 3 5" xfId="18150"/>
    <cellStyle name="Comma 6 4 3 2 3 5 2" xfId="32175"/>
    <cellStyle name="Comma 6 4 3 2 3 6" xfId="24164"/>
    <cellStyle name="Comma 6 4 3 2 4" xfId="12124"/>
    <cellStyle name="Comma 6 4 3 2 4 2" xfId="20149"/>
    <cellStyle name="Comma 6 4 3 2 4 2 2" xfId="34174"/>
    <cellStyle name="Comma 6 4 3 2 4 3" xfId="26163"/>
    <cellStyle name="Comma 6 4 3 2 5" xfId="14139"/>
    <cellStyle name="Comma 6 4 3 2 5 2" xfId="22154"/>
    <cellStyle name="Comma 6 4 3 2 5 2 2" xfId="36179"/>
    <cellStyle name="Comma 6 4 3 2 5 3" xfId="28168"/>
    <cellStyle name="Comma 6 4 3 2 6" xfId="16145"/>
    <cellStyle name="Comma 6 4 3 2 6 2" xfId="30170"/>
    <cellStyle name="Comma 6 4 3 2 7" xfId="18147"/>
    <cellStyle name="Comma 6 4 3 2 7 2" xfId="32172"/>
    <cellStyle name="Comma 6 4 3 2 8" xfId="24161"/>
    <cellStyle name="Comma 6 4 3 3" xfId="1386"/>
    <cellStyle name="Comma 6 4 3 3 2" xfId="1387"/>
    <cellStyle name="Comma 6 4 3 3 2 2" xfId="12129"/>
    <cellStyle name="Comma 6 4 3 3 2 2 2" xfId="20154"/>
    <cellStyle name="Comma 6 4 3 3 2 2 2 2" xfId="34179"/>
    <cellStyle name="Comma 6 4 3 3 2 2 3" xfId="26168"/>
    <cellStyle name="Comma 6 4 3 3 2 3" xfId="14144"/>
    <cellStyle name="Comma 6 4 3 3 2 3 2" xfId="22159"/>
    <cellStyle name="Comma 6 4 3 3 2 3 2 2" xfId="36184"/>
    <cellStyle name="Comma 6 4 3 3 2 3 3" xfId="28173"/>
    <cellStyle name="Comma 6 4 3 3 2 4" xfId="16150"/>
    <cellStyle name="Comma 6 4 3 3 2 4 2" xfId="30175"/>
    <cellStyle name="Comma 6 4 3 3 2 5" xfId="18152"/>
    <cellStyle name="Comma 6 4 3 3 2 5 2" xfId="32177"/>
    <cellStyle name="Comma 6 4 3 3 2 6" xfId="24166"/>
    <cellStyle name="Comma 6 4 3 3 3" xfId="12128"/>
    <cellStyle name="Comma 6 4 3 3 3 2" xfId="20153"/>
    <cellStyle name="Comma 6 4 3 3 3 2 2" xfId="34178"/>
    <cellStyle name="Comma 6 4 3 3 3 3" xfId="26167"/>
    <cellStyle name="Comma 6 4 3 3 4" xfId="14143"/>
    <cellStyle name="Comma 6 4 3 3 4 2" xfId="22158"/>
    <cellStyle name="Comma 6 4 3 3 4 2 2" xfId="36183"/>
    <cellStyle name="Comma 6 4 3 3 4 3" xfId="28172"/>
    <cellStyle name="Comma 6 4 3 3 5" xfId="16149"/>
    <cellStyle name="Comma 6 4 3 3 5 2" xfId="30174"/>
    <cellStyle name="Comma 6 4 3 3 6" xfId="18151"/>
    <cellStyle name="Comma 6 4 3 3 6 2" xfId="32176"/>
    <cellStyle name="Comma 6 4 3 3 7" xfId="24165"/>
    <cellStyle name="Comma 6 4 3 4" xfId="1388"/>
    <cellStyle name="Comma 6 4 3 4 2" xfId="1389"/>
    <cellStyle name="Comma 6 4 3 4 2 2" xfId="12131"/>
    <cellStyle name="Comma 6 4 3 4 2 2 2" xfId="20156"/>
    <cellStyle name="Comma 6 4 3 4 2 2 2 2" xfId="34181"/>
    <cellStyle name="Comma 6 4 3 4 2 2 3" xfId="26170"/>
    <cellStyle name="Comma 6 4 3 4 2 3" xfId="14146"/>
    <cellStyle name="Comma 6 4 3 4 2 3 2" xfId="22161"/>
    <cellStyle name="Comma 6 4 3 4 2 3 2 2" xfId="36186"/>
    <cellStyle name="Comma 6 4 3 4 2 3 3" xfId="28175"/>
    <cellStyle name="Comma 6 4 3 4 2 4" xfId="16152"/>
    <cellStyle name="Comma 6 4 3 4 2 4 2" xfId="30177"/>
    <cellStyle name="Comma 6 4 3 4 2 5" xfId="18154"/>
    <cellStyle name="Comma 6 4 3 4 2 5 2" xfId="32179"/>
    <cellStyle name="Comma 6 4 3 4 2 6" xfId="24168"/>
    <cellStyle name="Comma 6 4 3 4 3" xfId="12130"/>
    <cellStyle name="Comma 6 4 3 4 3 2" xfId="20155"/>
    <cellStyle name="Comma 6 4 3 4 3 2 2" xfId="34180"/>
    <cellStyle name="Comma 6 4 3 4 3 3" xfId="26169"/>
    <cellStyle name="Comma 6 4 3 4 4" xfId="14145"/>
    <cellStyle name="Comma 6 4 3 4 4 2" xfId="22160"/>
    <cellStyle name="Comma 6 4 3 4 4 2 2" xfId="36185"/>
    <cellStyle name="Comma 6 4 3 4 4 3" xfId="28174"/>
    <cellStyle name="Comma 6 4 3 4 5" xfId="16151"/>
    <cellStyle name="Comma 6 4 3 4 5 2" xfId="30176"/>
    <cellStyle name="Comma 6 4 3 4 6" xfId="18153"/>
    <cellStyle name="Comma 6 4 3 4 6 2" xfId="32178"/>
    <cellStyle name="Comma 6 4 3 4 7" xfId="24167"/>
    <cellStyle name="Comma 6 4 3 5" xfId="1390"/>
    <cellStyle name="Comma 6 4 3 5 2" xfId="12132"/>
    <cellStyle name="Comma 6 4 3 5 2 2" xfId="20157"/>
    <cellStyle name="Comma 6 4 3 5 2 2 2" xfId="34182"/>
    <cellStyle name="Comma 6 4 3 5 2 3" xfId="26171"/>
    <cellStyle name="Comma 6 4 3 5 3" xfId="14147"/>
    <cellStyle name="Comma 6 4 3 5 3 2" xfId="22162"/>
    <cellStyle name="Comma 6 4 3 5 3 2 2" xfId="36187"/>
    <cellStyle name="Comma 6 4 3 5 3 3" xfId="28176"/>
    <cellStyle name="Comma 6 4 3 5 4" xfId="16153"/>
    <cellStyle name="Comma 6 4 3 5 4 2" xfId="30178"/>
    <cellStyle name="Comma 6 4 3 5 5" xfId="18155"/>
    <cellStyle name="Comma 6 4 3 5 5 2" xfId="32180"/>
    <cellStyle name="Comma 6 4 3 5 6" xfId="24169"/>
    <cellStyle name="Comma 6 4 3 6" xfId="12123"/>
    <cellStyle name="Comma 6 4 3 6 2" xfId="20148"/>
    <cellStyle name="Comma 6 4 3 6 2 2" xfId="34173"/>
    <cellStyle name="Comma 6 4 3 6 3" xfId="26162"/>
    <cellStyle name="Comma 6 4 3 7" xfId="14138"/>
    <cellStyle name="Comma 6 4 3 7 2" xfId="22153"/>
    <cellStyle name="Comma 6 4 3 7 2 2" xfId="36178"/>
    <cellStyle name="Comma 6 4 3 7 3" xfId="28167"/>
    <cellStyle name="Comma 6 4 3 8" xfId="16144"/>
    <cellStyle name="Comma 6 4 3 8 2" xfId="30169"/>
    <cellStyle name="Comma 6 4 3 9" xfId="18146"/>
    <cellStyle name="Comma 6 4 3 9 2" xfId="32171"/>
    <cellStyle name="Comma 6 4 4" xfId="1391"/>
    <cellStyle name="Comma 6 4 4 2" xfId="1392"/>
    <cellStyle name="Comma 6 4 4 2 2" xfId="1393"/>
    <cellStyle name="Comma 6 4 4 2 2 2" xfId="12135"/>
    <cellStyle name="Comma 6 4 4 2 2 2 2" xfId="20160"/>
    <cellStyle name="Comma 6 4 4 2 2 2 2 2" xfId="34185"/>
    <cellStyle name="Comma 6 4 4 2 2 2 3" xfId="26174"/>
    <cellStyle name="Comma 6 4 4 2 2 3" xfId="14150"/>
    <cellStyle name="Comma 6 4 4 2 2 3 2" xfId="22165"/>
    <cellStyle name="Comma 6 4 4 2 2 3 2 2" xfId="36190"/>
    <cellStyle name="Comma 6 4 4 2 2 3 3" xfId="28179"/>
    <cellStyle name="Comma 6 4 4 2 2 4" xfId="16156"/>
    <cellStyle name="Comma 6 4 4 2 2 4 2" xfId="30181"/>
    <cellStyle name="Comma 6 4 4 2 2 5" xfId="18158"/>
    <cellStyle name="Comma 6 4 4 2 2 5 2" xfId="32183"/>
    <cellStyle name="Comma 6 4 4 2 2 6" xfId="24172"/>
    <cellStyle name="Comma 6 4 4 2 3" xfId="12134"/>
    <cellStyle name="Comma 6 4 4 2 3 2" xfId="20159"/>
    <cellStyle name="Comma 6 4 4 2 3 2 2" xfId="34184"/>
    <cellStyle name="Comma 6 4 4 2 3 3" xfId="26173"/>
    <cellStyle name="Comma 6 4 4 2 4" xfId="14149"/>
    <cellStyle name="Comma 6 4 4 2 4 2" xfId="22164"/>
    <cellStyle name="Comma 6 4 4 2 4 2 2" xfId="36189"/>
    <cellStyle name="Comma 6 4 4 2 4 3" xfId="28178"/>
    <cellStyle name="Comma 6 4 4 2 5" xfId="16155"/>
    <cellStyle name="Comma 6 4 4 2 5 2" xfId="30180"/>
    <cellStyle name="Comma 6 4 4 2 6" xfId="18157"/>
    <cellStyle name="Comma 6 4 4 2 6 2" xfId="32182"/>
    <cellStyle name="Comma 6 4 4 2 7" xfId="24171"/>
    <cellStyle name="Comma 6 4 4 3" xfId="1394"/>
    <cellStyle name="Comma 6 4 4 3 2" xfId="12136"/>
    <cellStyle name="Comma 6 4 4 3 2 2" xfId="20161"/>
    <cellStyle name="Comma 6 4 4 3 2 2 2" xfId="34186"/>
    <cellStyle name="Comma 6 4 4 3 2 3" xfId="26175"/>
    <cellStyle name="Comma 6 4 4 3 3" xfId="14151"/>
    <cellStyle name="Comma 6 4 4 3 3 2" xfId="22166"/>
    <cellStyle name="Comma 6 4 4 3 3 2 2" xfId="36191"/>
    <cellStyle name="Comma 6 4 4 3 3 3" xfId="28180"/>
    <cellStyle name="Comma 6 4 4 3 4" xfId="16157"/>
    <cellStyle name="Comma 6 4 4 3 4 2" xfId="30182"/>
    <cellStyle name="Comma 6 4 4 3 5" xfId="18159"/>
    <cellStyle name="Comma 6 4 4 3 5 2" xfId="32184"/>
    <cellStyle name="Comma 6 4 4 3 6" xfId="24173"/>
    <cellStyle name="Comma 6 4 4 4" xfId="12133"/>
    <cellStyle name="Comma 6 4 4 4 2" xfId="20158"/>
    <cellStyle name="Comma 6 4 4 4 2 2" xfId="34183"/>
    <cellStyle name="Comma 6 4 4 4 3" xfId="26172"/>
    <cellStyle name="Comma 6 4 4 5" xfId="14148"/>
    <cellStyle name="Comma 6 4 4 5 2" xfId="22163"/>
    <cellStyle name="Comma 6 4 4 5 2 2" xfId="36188"/>
    <cellStyle name="Comma 6 4 4 5 3" xfId="28177"/>
    <cellStyle name="Comma 6 4 4 6" xfId="16154"/>
    <cellStyle name="Comma 6 4 4 6 2" xfId="30179"/>
    <cellStyle name="Comma 6 4 4 7" xfId="18156"/>
    <cellStyle name="Comma 6 4 4 7 2" xfId="32181"/>
    <cellStyle name="Comma 6 4 4 8" xfId="24170"/>
    <cellStyle name="Comma 6 4 5" xfId="1395"/>
    <cellStyle name="Comma 6 4 5 2" xfId="1396"/>
    <cellStyle name="Comma 6 4 5 2 2" xfId="12138"/>
    <cellStyle name="Comma 6 4 5 2 2 2" xfId="20163"/>
    <cellStyle name="Comma 6 4 5 2 2 2 2" xfId="34188"/>
    <cellStyle name="Comma 6 4 5 2 2 3" xfId="26177"/>
    <cellStyle name="Comma 6 4 5 2 3" xfId="14153"/>
    <cellStyle name="Comma 6 4 5 2 3 2" xfId="22168"/>
    <cellStyle name="Comma 6 4 5 2 3 2 2" xfId="36193"/>
    <cellStyle name="Comma 6 4 5 2 3 3" xfId="28182"/>
    <cellStyle name="Comma 6 4 5 2 4" xfId="16159"/>
    <cellStyle name="Comma 6 4 5 2 4 2" xfId="30184"/>
    <cellStyle name="Comma 6 4 5 2 5" xfId="18161"/>
    <cellStyle name="Comma 6 4 5 2 5 2" xfId="32186"/>
    <cellStyle name="Comma 6 4 5 2 6" xfId="24175"/>
    <cellStyle name="Comma 6 4 5 3" xfId="12137"/>
    <cellStyle name="Comma 6 4 5 3 2" xfId="20162"/>
    <cellStyle name="Comma 6 4 5 3 2 2" xfId="34187"/>
    <cellStyle name="Comma 6 4 5 3 3" xfId="26176"/>
    <cellStyle name="Comma 6 4 5 4" xfId="14152"/>
    <cellStyle name="Comma 6 4 5 4 2" xfId="22167"/>
    <cellStyle name="Comma 6 4 5 4 2 2" xfId="36192"/>
    <cellStyle name="Comma 6 4 5 4 3" xfId="28181"/>
    <cellStyle name="Comma 6 4 5 5" xfId="16158"/>
    <cellStyle name="Comma 6 4 5 5 2" xfId="30183"/>
    <cellStyle name="Comma 6 4 5 6" xfId="18160"/>
    <cellStyle name="Comma 6 4 5 6 2" xfId="32185"/>
    <cellStyle name="Comma 6 4 5 7" xfId="24174"/>
    <cellStyle name="Comma 6 4 6" xfId="1397"/>
    <cellStyle name="Comma 6 4 6 2" xfId="1398"/>
    <cellStyle name="Comma 6 4 6 2 2" xfId="12140"/>
    <cellStyle name="Comma 6 4 6 2 2 2" xfId="20165"/>
    <cellStyle name="Comma 6 4 6 2 2 2 2" xfId="34190"/>
    <cellStyle name="Comma 6 4 6 2 2 3" xfId="26179"/>
    <cellStyle name="Comma 6 4 6 2 3" xfId="14155"/>
    <cellStyle name="Comma 6 4 6 2 3 2" xfId="22170"/>
    <cellStyle name="Comma 6 4 6 2 3 2 2" xfId="36195"/>
    <cellStyle name="Comma 6 4 6 2 3 3" xfId="28184"/>
    <cellStyle name="Comma 6 4 6 2 4" xfId="16161"/>
    <cellStyle name="Comma 6 4 6 2 4 2" xfId="30186"/>
    <cellStyle name="Comma 6 4 6 2 5" xfId="18163"/>
    <cellStyle name="Comma 6 4 6 2 5 2" xfId="32188"/>
    <cellStyle name="Comma 6 4 6 2 6" xfId="24177"/>
    <cellStyle name="Comma 6 4 6 3" xfId="12139"/>
    <cellStyle name="Comma 6 4 6 3 2" xfId="20164"/>
    <cellStyle name="Comma 6 4 6 3 2 2" xfId="34189"/>
    <cellStyle name="Comma 6 4 6 3 3" xfId="26178"/>
    <cellStyle name="Comma 6 4 6 4" xfId="14154"/>
    <cellStyle name="Comma 6 4 6 4 2" xfId="22169"/>
    <cellStyle name="Comma 6 4 6 4 2 2" xfId="36194"/>
    <cellStyle name="Comma 6 4 6 4 3" xfId="28183"/>
    <cellStyle name="Comma 6 4 6 5" xfId="16160"/>
    <cellStyle name="Comma 6 4 6 5 2" xfId="30185"/>
    <cellStyle name="Comma 6 4 6 6" xfId="18162"/>
    <cellStyle name="Comma 6 4 6 6 2" xfId="32187"/>
    <cellStyle name="Comma 6 4 6 7" xfId="24176"/>
    <cellStyle name="Comma 6 4 7" xfId="1399"/>
    <cellStyle name="Comma 6 4 7 2" xfId="12141"/>
    <cellStyle name="Comma 6 4 7 2 2" xfId="20166"/>
    <cellStyle name="Comma 6 4 7 2 2 2" xfId="34191"/>
    <cellStyle name="Comma 6 4 7 2 3" xfId="26180"/>
    <cellStyle name="Comma 6 4 7 3" xfId="14156"/>
    <cellStyle name="Comma 6 4 7 3 2" xfId="22171"/>
    <cellStyle name="Comma 6 4 7 3 2 2" xfId="36196"/>
    <cellStyle name="Comma 6 4 7 3 3" xfId="28185"/>
    <cellStyle name="Comma 6 4 7 4" xfId="16162"/>
    <cellStyle name="Comma 6 4 7 4 2" xfId="30187"/>
    <cellStyle name="Comma 6 4 7 5" xfId="18164"/>
    <cellStyle name="Comma 6 4 7 5 2" xfId="32189"/>
    <cellStyle name="Comma 6 4 7 6" xfId="24178"/>
    <cellStyle name="Comma 6 4 8" xfId="12102"/>
    <cellStyle name="Comma 6 4 8 2" xfId="20127"/>
    <cellStyle name="Comma 6 4 8 2 2" xfId="34152"/>
    <cellStyle name="Comma 6 4 8 3" xfId="26141"/>
    <cellStyle name="Comma 6 4 9" xfId="14117"/>
    <cellStyle name="Comma 6 4 9 2" xfId="22132"/>
    <cellStyle name="Comma 6 4 9 2 2" xfId="36157"/>
    <cellStyle name="Comma 6 4 9 3" xfId="28146"/>
    <cellStyle name="Comma 6 5" xfId="1400"/>
    <cellStyle name="Comma 6 5 10" xfId="18165"/>
    <cellStyle name="Comma 6 5 10 2" xfId="32190"/>
    <cellStyle name="Comma 6 5 11" xfId="24179"/>
    <cellStyle name="Comma 6 5 2" xfId="1401"/>
    <cellStyle name="Comma 6 5 2 10" xfId="24180"/>
    <cellStyle name="Comma 6 5 2 2" xfId="1402"/>
    <cellStyle name="Comma 6 5 2 2 2" xfId="1403"/>
    <cellStyle name="Comma 6 5 2 2 2 2" xfId="1404"/>
    <cellStyle name="Comma 6 5 2 2 2 2 2" xfId="12146"/>
    <cellStyle name="Comma 6 5 2 2 2 2 2 2" xfId="20171"/>
    <cellStyle name="Comma 6 5 2 2 2 2 2 2 2" xfId="34196"/>
    <cellStyle name="Comma 6 5 2 2 2 2 2 3" xfId="26185"/>
    <cellStyle name="Comma 6 5 2 2 2 2 3" xfId="14161"/>
    <cellStyle name="Comma 6 5 2 2 2 2 3 2" xfId="22176"/>
    <cellStyle name="Comma 6 5 2 2 2 2 3 2 2" xfId="36201"/>
    <cellStyle name="Comma 6 5 2 2 2 2 3 3" xfId="28190"/>
    <cellStyle name="Comma 6 5 2 2 2 2 4" xfId="16167"/>
    <cellStyle name="Comma 6 5 2 2 2 2 4 2" xfId="30192"/>
    <cellStyle name="Comma 6 5 2 2 2 2 5" xfId="18169"/>
    <cellStyle name="Comma 6 5 2 2 2 2 5 2" xfId="32194"/>
    <cellStyle name="Comma 6 5 2 2 2 2 6" xfId="24183"/>
    <cellStyle name="Comma 6 5 2 2 2 3" xfId="12145"/>
    <cellStyle name="Comma 6 5 2 2 2 3 2" xfId="20170"/>
    <cellStyle name="Comma 6 5 2 2 2 3 2 2" xfId="34195"/>
    <cellStyle name="Comma 6 5 2 2 2 3 3" xfId="26184"/>
    <cellStyle name="Comma 6 5 2 2 2 4" xfId="14160"/>
    <cellStyle name="Comma 6 5 2 2 2 4 2" xfId="22175"/>
    <cellStyle name="Comma 6 5 2 2 2 4 2 2" xfId="36200"/>
    <cellStyle name="Comma 6 5 2 2 2 4 3" xfId="28189"/>
    <cellStyle name="Comma 6 5 2 2 2 5" xfId="16166"/>
    <cellStyle name="Comma 6 5 2 2 2 5 2" xfId="30191"/>
    <cellStyle name="Comma 6 5 2 2 2 6" xfId="18168"/>
    <cellStyle name="Comma 6 5 2 2 2 6 2" xfId="32193"/>
    <cellStyle name="Comma 6 5 2 2 2 7" xfId="24182"/>
    <cellStyle name="Comma 6 5 2 2 3" xfId="1405"/>
    <cellStyle name="Comma 6 5 2 2 3 2" xfId="12147"/>
    <cellStyle name="Comma 6 5 2 2 3 2 2" xfId="20172"/>
    <cellStyle name="Comma 6 5 2 2 3 2 2 2" xfId="34197"/>
    <cellStyle name="Comma 6 5 2 2 3 2 3" xfId="26186"/>
    <cellStyle name="Comma 6 5 2 2 3 3" xfId="14162"/>
    <cellStyle name="Comma 6 5 2 2 3 3 2" xfId="22177"/>
    <cellStyle name="Comma 6 5 2 2 3 3 2 2" xfId="36202"/>
    <cellStyle name="Comma 6 5 2 2 3 3 3" xfId="28191"/>
    <cellStyle name="Comma 6 5 2 2 3 4" xfId="16168"/>
    <cellStyle name="Comma 6 5 2 2 3 4 2" xfId="30193"/>
    <cellStyle name="Comma 6 5 2 2 3 5" xfId="18170"/>
    <cellStyle name="Comma 6 5 2 2 3 5 2" xfId="32195"/>
    <cellStyle name="Comma 6 5 2 2 3 6" xfId="24184"/>
    <cellStyle name="Comma 6 5 2 2 4" xfId="12144"/>
    <cellStyle name="Comma 6 5 2 2 4 2" xfId="20169"/>
    <cellStyle name="Comma 6 5 2 2 4 2 2" xfId="34194"/>
    <cellStyle name="Comma 6 5 2 2 4 3" xfId="26183"/>
    <cellStyle name="Comma 6 5 2 2 5" xfId="14159"/>
    <cellStyle name="Comma 6 5 2 2 5 2" xfId="22174"/>
    <cellStyle name="Comma 6 5 2 2 5 2 2" xfId="36199"/>
    <cellStyle name="Comma 6 5 2 2 5 3" xfId="28188"/>
    <cellStyle name="Comma 6 5 2 2 6" xfId="16165"/>
    <cellStyle name="Comma 6 5 2 2 6 2" xfId="30190"/>
    <cellStyle name="Comma 6 5 2 2 7" xfId="18167"/>
    <cellStyle name="Comma 6 5 2 2 7 2" xfId="32192"/>
    <cellStyle name="Comma 6 5 2 2 8" xfId="24181"/>
    <cellStyle name="Comma 6 5 2 3" xfId="1406"/>
    <cellStyle name="Comma 6 5 2 3 2" xfId="1407"/>
    <cellStyle name="Comma 6 5 2 3 2 2" xfId="12149"/>
    <cellStyle name="Comma 6 5 2 3 2 2 2" xfId="20174"/>
    <cellStyle name="Comma 6 5 2 3 2 2 2 2" xfId="34199"/>
    <cellStyle name="Comma 6 5 2 3 2 2 3" xfId="26188"/>
    <cellStyle name="Comma 6 5 2 3 2 3" xfId="14164"/>
    <cellStyle name="Comma 6 5 2 3 2 3 2" xfId="22179"/>
    <cellStyle name="Comma 6 5 2 3 2 3 2 2" xfId="36204"/>
    <cellStyle name="Comma 6 5 2 3 2 3 3" xfId="28193"/>
    <cellStyle name="Comma 6 5 2 3 2 4" xfId="16170"/>
    <cellStyle name="Comma 6 5 2 3 2 4 2" xfId="30195"/>
    <cellStyle name="Comma 6 5 2 3 2 5" xfId="18172"/>
    <cellStyle name="Comma 6 5 2 3 2 5 2" xfId="32197"/>
    <cellStyle name="Comma 6 5 2 3 2 6" xfId="24186"/>
    <cellStyle name="Comma 6 5 2 3 3" xfId="12148"/>
    <cellStyle name="Comma 6 5 2 3 3 2" xfId="20173"/>
    <cellStyle name="Comma 6 5 2 3 3 2 2" xfId="34198"/>
    <cellStyle name="Comma 6 5 2 3 3 3" xfId="26187"/>
    <cellStyle name="Comma 6 5 2 3 4" xfId="14163"/>
    <cellStyle name="Comma 6 5 2 3 4 2" xfId="22178"/>
    <cellStyle name="Comma 6 5 2 3 4 2 2" xfId="36203"/>
    <cellStyle name="Comma 6 5 2 3 4 3" xfId="28192"/>
    <cellStyle name="Comma 6 5 2 3 5" xfId="16169"/>
    <cellStyle name="Comma 6 5 2 3 5 2" xfId="30194"/>
    <cellStyle name="Comma 6 5 2 3 6" xfId="18171"/>
    <cellStyle name="Comma 6 5 2 3 6 2" xfId="32196"/>
    <cellStyle name="Comma 6 5 2 3 7" xfId="24185"/>
    <cellStyle name="Comma 6 5 2 4" xfId="1408"/>
    <cellStyle name="Comma 6 5 2 4 2" xfId="1409"/>
    <cellStyle name="Comma 6 5 2 4 2 2" xfId="12151"/>
    <cellStyle name="Comma 6 5 2 4 2 2 2" xfId="20176"/>
    <cellStyle name="Comma 6 5 2 4 2 2 2 2" xfId="34201"/>
    <cellStyle name="Comma 6 5 2 4 2 2 3" xfId="26190"/>
    <cellStyle name="Comma 6 5 2 4 2 3" xfId="14166"/>
    <cellStyle name="Comma 6 5 2 4 2 3 2" xfId="22181"/>
    <cellStyle name="Comma 6 5 2 4 2 3 2 2" xfId="36206"/>
    <cellStyle name="Comma 6 5 2 4 2 3 3" xfId="28195"/>
    <cellStyle name="Comma 6 5 2 4 2 4" xfId="16172"/>
    <cellStyle name="Comma 6 5 2 4 2 4 2" xfId="30197"/>
    <cellStyle name="Comma 6 5 2 4 2 5" xfId="18174"/>
    <cellStyle name="Comma 6 5 2 4 2 5 2" xfId="32199"/>
    <cellStyle name="Comma 6 5 2 4 2 6" xfId="24188"/>
    <cellStyle name="Comma 6 5 2 4 3" xfId="12150"/>
    <cellStyle name="Comma 6 5 2 4 3 2" xfId="20175"/>
    <cellStyle name="Comma 6 5 2 4 3 2 2" xfId="34200"/>
    <cellStyle name="Comma 6 5 2 4 3 3" xfId="26189"/>
    <cellStyle name="Comma 6 5 2 4 4" xfId="14165"/>
    <cellStyle name="Comma 6 5 2 4 4 2" xfId="22180"/>
    <cellStyle name="Comma 6 5 2 4 4 2 2" xfId="36205"/>
    <cellStyle name="Comma 6 5 2 4 4 3" xfId="28194"/>
    <cellStyle name="Comma 6 5 2 4 5" xfId="16171"/>
    <cellStyle name="Comma 6 5 2 4 5 2" xfId="30196"/>
    <cellStyle name="Comma 6 5 2 4 6" xfId="18173"/>
    <cellStyle name="Comma 6 5 2 4 6 2" xfId="32198"/>
    <cellStyle name="Comma 6 5 2 4 7" xfId="24187"/>
    <cellStyle name="Comma 6 5 2 5" xfId="1410"/>
    <cellStyle name="Comma 6 5 2 5 2" xfId="12152"/>
    <cellStyle name="Comma 6 5 2 5 2 2" xfId="20177"/>
    <cellStyle name="Comma 6 5 2 5 2 2 2" xfId="34202"/>
    <cellStyle name="Comma 6 5 2 5 2 3" xfId="26191"/>
    <cellStyle name="Comma 6 5 2 5 3" xfId="14167"/>
    <cellStyle name="Comma 6 5 2 5 3 2" xfId="22182"/>
    <cellStyle name="Comma 6 5 2 5 3 2 2" xfId="36207"/>
    <cellStyle name="Comma 6 5 2 5 3 3" xfId="28196"/>
    <cellStyle name="Comma 6 5 2 5 4" xfId="16173"/>
    <cellStyle name="Comma 6 5 2 5 4 2" xfId="30198"/>
    <cellStyle name="Comma 6 5 2 5 5" xfId="18175"/>
    <cellStyle name="Comma 6 5 2 5 5 2" xfId="32200"/>
    <cellStyle name="Comma 6 5 2 5 6" xfId="24189"/>
    <cellStyle name="Comma 6 5 2 6" xfId="12143"/>
    <cellStyle name="Comma 6 5 2 6 2" xfId="20168"/>
    <cellStyle name="Comma 6 5 2 6 2 2" xfId="34193"/>
    <cellStyle name="Comma 6 5 2 6 3" xfId="26182"/>
    <cellStyle name="Comma 6 5 2 7" xfId="14158"/>
    <cellStyle name="Comma 6 5 2 7 2" xfId="22173"/>
    <cellStyle name="Comma 6 5 2 7 2 2" xfId="36198"/>
    <cellStyle name="Comma 6 5 2 7 3" xfId="28187"/>
    <cellStyle name="Comma 6 5 2 8" xfId="16164"/>
    <cellStyle name="Comma 6 5 2 8 2" xfId="30189"/>
    <cellStyle name="Comma 6 5 2 9" xfId="18166"/>
    <cellStyle name="Comma 6 5 2 9 2" xfId="32191"/>
    <cellStyle name="Comma 6 5 3" xfId="1411"/>
    <cellStyle name="Comma 6 5 3 2" xfId="1412"/>
    <cellStyle name="Comma 6 5 3 2 2" xfId="1413"/>
    <cellStyle name="Comma 6 5 3 2 2 2" xfId="12155"/>
    <cellStyle name="Comma 6 5 3 2 2 2 2" xfId="20180"/>
    <cellStyle name="Comma 6 5 3 2 2 2 2 2" xfId="34205"/>
    <cellStyle name="Comma 6 5 3 2 2 2 3" xfId="26194"/>
    <cellStyle name="Comma 6 5 3 2 2 3" xfId="14170"/>
    <cellStyle name="Comma 6 5 3 2 2 3 2" xfId="22185"/>
    <cellStyle name="Comma 6 5 3 2 2 3 2 2" xfId="36210"/>
    <cellStyle name="Comma 6 5 3 2 2 3 3" xfId="28199"/>
    <cellStyle name="Comma 6 5 3 2 2 4" xfId="16176"/>
    <cellStyle name="Comma 6 5 3 2 2 4 2" xfId="30201"/>
    <cellStyle name="Comma 6 5 3 2 2 5" xfId="18178"/>
    <cellStyle name="Comma 6 5 3 2 2 5 2" xfId="32203"/>
    <cellStyle name="Comma 6 5 3 2 2 6" xfId="24192"/>
    <cellStyle name="Comma 6 5 3 2 3" xfId="12154"/>
    <cellStyle name="Comma 6 5 3 2 3 2" xfId="20179"/>
    <cellStyle name="Comma 6 5 3 2 3 2 2" xfId="34204"/>
    <cellStyle name="Comma 6 5 3 2 3 3" xfId="26193"/>
    <cellStyle name="Comma 6 5 3 2 4" xfId="14169"/>
    <cellStyle name="Comma 6 5 3 2 4 2" xfId="22184"/>
    <cellStyle name="Comma 6 5 3 2 4 2 2" xfId="36209"/>
    <cellStyle name="Comma 6 5 3 2 4 3" xfId="28198"/>
    <cellStyle name="Comma 6 5 3 2 5" xfId="16175"/>
    <cellStyle name="Comma 6 5 3 2 5 2" xfId="30200"/>
    <cellStyle name="Comma 6 5 3 2 6" xfId="18177"/>
    <cellStyle name="Comma 6 5 3 2 6 2" xfId="32202"/>
    <cellStyle name="Comma 6 5 3 2 7" xfId="24191"/>
    <cellStyle name="Comma 6 5 3 3" xfId="1414"/>
    <cellStyle name="Comma 6 5 3 3 2" xfId="12156"/>
    <cellStyle name="Comma 6 5 3 3 2 2" xfId="20181"/>
    <cellStyle name="Comma 6 5 3 3 2 2 2" xfId="34206"/>
    <cellStyle name="Comma 6 5 3 3 2 3" xfId="26195"/>
    <cellStyle name="Comma 6 5 3 3 3" xfId="14171"/>
    <cellStyle name="Comma 6 5 3 3 3 2" xfId="22186"/>
    <cellStyle name="Comma 6 5 3 3 3 2 2" xfId="36211"/>
    <cellStyle name="Comma 6 5 3 3 3 3" xfId="28200"/>
    <cellStyle name="Comma 6 5 3 3 4" xfId="16177"/>
    <cellStyle name="Comma 6 5 3 3 4 2" xfId="30202"/>
    <cellStyle name="Comma 6 5 3 3 5" xfId="18179"/>
    <cellStyle name="Comma 6 5 3 3 5 2" xfId="32204"/>
    <cellStyle name="Comma 6 5 3 3 6" xfId="24193"/>
    <cellStyle name="Comma 6 5 3 4" xfId="12153"/>
    <cellStyle name="Comma 6 5 3 4 2" xfId="20178"/>
    <cellStyle name="Comma 6 5 3 4 2 2" xfId="34203"/>
    <cellStyle name="Comma 6 5 3 4 3" xfId="26192"/>
    <cellStyle name="Comma 6 5 3 5" xfId="14168"/>
    <cellStyle name="Comma 6 5 3 5 2" xfId="22183"/>
    <cellStyle name="Comma 6 5 3 5 2 2" xfId="36208"/>
    <cellStyle name="Comma 6 5 3 5 3" xfId="28197"/>
    <cellStyle name="Comma 6 5 3 6" xfId="16174"/>
    <cellStyle name="Comma 6 5 3 6 2" xfId="30199"/>
    <cellStyle name="Comma 6 5 3 7" xfId="18176"/>
    <cellStyle name="Comma 6 5 3 7 2" xfId="32201"/>
    <cellStyle name="Comma 6 5 3 8" xfId="24190"/>
    <cellStyle name="Comma 6 5 4" xfId="1415"/>
    <cellStyle name="Comma 6 5 4 2" xfId="1416"/>
    <cellStyle name="Comma 6 5 4 2 2" xfId="12158"/>
    <cellStyle name="Comma 6 5 4 2 2 2" xfId="20183"/>
    <cellStyle name="Comma 6 5 4 2 2 2 2" xfId="34208"/>
    <cellStyle name="Comma 6 5 4 2 2 3" xfId="26197"/>
    <cellStyle name="Comma 6 5 4 2 3" xfId="14173"/>
    <cellStyle name="Comma 6 5 4 2 3 2" xfId="22188"/>
    <cellStyle name="Comma 6 5 4 2 3 2 2" xfId="36213"/>
    <cellStyle name="Comma 6 5 4 2 3 3" xfId="28202"/>
    <cellStyle name="Comma 6 5 4 2 4" xfId="16179"/>
    <cellStyle name="Comma 6 5 4 2 4 2" xfId="30204"/>
    <cellStyle name="Comma 6 5 4 2 5" xfId="18181"/>
    <cellStyle name="Comma 6 5 4 2 5 2" xfId="32206"/>
    <cellStyle name="Comma 6 5 4 2 6" xfId="24195"/>
    <cellStyle name="Comma 6 5 4 3" xfId="12157"/>
    <cellStyle name="Comma 6 5 4 3 2" xfId="20182"/>
    <cellStyle name="Comma 6 5 4 3 2 2" xfId="34207"/>
    <cellStyle name="Comma 6 5 4 3 3" xfId="26196"/>
    <cellStyle name="Comma 6 5 4 4" xfId="14172"/>
    <cellStyle name="Comma 6 5 4 4 2" xfId="22187"/>
    <cellStyle name="Comma 6 5 4 4 2 2" xfId="36212"/>
    <cellStyle name="Comma 6 5 4 4 3" xfId="28201"/>
    <cellStyle name="Comma 6 5 4 5" xfId="16178"/>
    <cellStyle name="Comma 6 5 4 5 2" xfId="30203"/>
    <cellStyle name="Comma 6 5 4 6" xfId="18180"/>
    <cellStyle name="Comma 6 5 4 6 2" xfId="32205"/>
    <cellStyle name="Comma 6 5 4 7" xfId="24194"/>
    <cellStyle name="Comma 6 5 5" xfId="1417"/>
    <cellStyle name="Comma 6 5 5 2" xfId="1418"/>
    <cellStyle name="Comma 6 5 5 2 2" xfId="12160"/>
    <cellStyle name="Comma 6 5 5 2 2 2" xfId="20185"/>
    <cellStyle name="Comma 6 5 5 2 2 2 2" xfId="34210"/>
    <cellStyle name="Comma 6 5 5 2 2 3" xfId="26199"/>
    <cellStyle name="Comma 6 5 5 2 3" xfId="14175"/>
    <cellStyle name="Comma 6 5 5 2 3 2" xfId="22190"/>
    <cellStyle name="Comma 6 5 5 2 3 2 2" xfId="36215"/>
    <cellStyle name="Comma 6 5 5 2 3 3" xfId="28204"/>
    <cellStyle name="Comma 6 5 5 2 4" xfId="16181"/>
    <cellStyle name="Comma 6 5 5 2 4 2" xfId="30206"/>
    <cellStyle name="Comma 6 5 5 2 5" xfId="18183"/>
    <cellStyle name="Comma 6 5 5 2 5 2" xfId="32208"/>
    <cellStyle name="Comma 6 5 5 2 6" xfId="24197"/>
    <cellStyle name="Comma 6 5 5 3" xfId="12159"/>
    <cellStyle name="Comma 6 5 5 3 2" xfId="20184"/>
    <cellStyle name="Comma 6 5 5 3 2 2" xfId="34209"/>
    <cellStyle name="Comma 6 5 5 3 3" xfId="26198"/>
    <cellStyle name="Comma 6 5 5 4" xfId="14174"/>
    <cellStyle name="Comma 6 5 5 4 2" xfId="22189"/>
    <cellStyle name="Comma 6 5 5 4 2 2" xfId="36214"/>
    <cellStyle name="Comma 6 5 5 4 3" xfId="28203"/>
    <cellStyle name="Comma 6 5 5 5" xfId="16180"/>
    <cellStyle name="Comma 6 5 5 5 2" xfId="30205"/>
    <cellStyle name="Comma 6 5 5 6" xfId="18182"/>
    <cellStyle name="Comma 6 5 5 6 2" xfId="32207"/>
    <cellStyle name="Comma 6 5 5 7" xfId="24196"/>
    <cellStyle name="Comma 6 5 6" xfId="1419"/>
    <cellStyle name="Comma 6 5 6 2" xfId="12161"/>
    <cellStyle name="Comma 6 5 6 2 2" xfId="20186"/>
    <cellStyle name="Comma 6 5 6 2 2 2" xfId="34211"/>
    <cellStyle name="Comma 6 5 6 2 3" xfId="26200"/>
    <cellStyle name="Comma 6 5 6 3" xfId="14176"/>
    <cellStyle name="Comma 6 5 6 3 2" xfId="22191"/>
    <cellStyle name="Comma 6 5 6 3 2 2" xfId="36216"/>
    <cellStyle name="Comma 6 5 6 3 3" xfId="28205"/>
    <cellStyle name="Comma 6 5 6 4" xfId="16182"/>
    <cellStyle name="Comma 6 5 6 4 2" xfId="30207"/>
    <cellStyle name="Comma 6 5 6 5" xfId="18184"/>
    <cellStyle name="Comma 6 5 6 5 2" xfId="32209"/>
    <cellStyle name="Comma 6 5 6 6" xfId="24198"/>
    <cellStyle name="Comma 6 5 7" xfId="12142"/>
    <cellStyle name="Comma 6 5 7 2" xfId="20167"/>
    <cellStyle name="Comma 6 5 7 2 2" xfId="34192"/>
    <cellStyle name="Comma 6 5 7 3" xfId="26181"/>
    <cellStyle name="Comma 6 5 8" xfId="14157"/>
    <cellStyle name="Comma 6 5 8 2" xfId="22172"/>
    <cellStyle name="Comma 6 5 8 2 2" xfId="36197"/>
    <cellStyle name="Comma 6 5 8 3" xfId="28186"/>
    <cellStyle name="Comma 6 5 9" xfId="16163"/>
    <cellStyle name="Comma 6 5 9 2" xfId="30188"/>
    <cellStyle name="Comma 6 6" xfId="1420"/>
    <cellStyle name="Comma 6 6 10" xfId="24199"/>
    <cellStyle name="Comma 6 6 2" xfId="1421"/>
    <cellStyle name="Comma 6 6 2 2" xfId="1422"/>
    <cellStyle name="Comma 6 6 2 2 2" xfId="1423"/>
    <cellStyle name="Comma 6 6 2 2 2 2" xfId="12165"/>
    <cellStyle name="Comma 6 6 2 2 2 2 2" xfId="20190"/>
    <cellStyle name="Comma 6 6 2 2 2 2 2 2" xfId="34215"/>
    <cellStyle name="Comma 6 6 2 2 2 2 3" xfId="26204"/>
    <cellStyle name="Comma 6 6 2 2 2 3" xfId="14180"/>
    <cellStyle name="Comma 6 6 2 2 2 3 2" xfId="22195"/>
    <cellStyle name="Comma 6 6 2 2 2 3 2 2" xfId="36220"/>
    <cellStyle name="Comma 6 6 2 2 2 3 3" xfId="28209"/>
    <cellStyle name="Comma 6 6 2 2 2 4" xfId="16186"/>
    <cellStyle name="Comma 6 6 2 2 2 4 2" xfId="30211"/>
    <cellStyle name="Comma 6 6 2 2 2 5" xfId="18188"/>
    <cellStyle name="Comma 6 6 2 2 2 5 2" xfId="32213"/>
    <cellStyle name="Comma 6 6 2 2 2 6" xfId="24202"/>
    <cellStyle name="Comma 6 6 2 2 3" xfId="12164"/>
    <cellStyle name="Comma 6 6 2 2 3 2" xfId="20189"/>
    <cellStyle name="Comma 6 6 2 2 3 2 2" xfId="34214"/>
    <cellStyle name="Comma 6 6 2 2 3 3" xfId="26203"/>
    <cellStyle name="Comma 6 6 2 2 4" xfId="14179"/>
    <cellStyle name="Comma 6 6 2 2 4 2" xfId="22194"/>
    <cellStyle name="Comma 6 6 2 2 4 2 2" xfId="36219"/>
    <cellStyle name="Comma 6 6 2 2 4 3" xfId="28208"/>
    <cellStyle name="Comma 6 6 2 2 5" xfId="16185"/>
    <cellStyle name="Comma 6 6 2 2 5 2" xfId="30210"/>
    <cellStyle name="Comma 6 6 2 2 6" xfId="18187"/>
    <cellStyle name="Comma 6 6 2 2 6 2" xfId="32212"/>
    <cellStyle name="Comma 6 6 2 2 7" xfId="24201"/>
    <cellStyle name="Comma 6 6 2 3" xfId="1424"/>
    <cellStyle name="Comma 6 6 2 3 2" xfId="12166"/>
    <cellStyle name="Comma 6 6 2 3 2 2" xfId="20191"/>
    <cellStyle name="Comma 6 6 2 3 2 2 2" xfId="34216"/>
    <cellStyle name="Comma 6 6 2 3 2 3" xfId="26205"/>
    <cellStyle name="Comma 6 6 2 3 3" xfId="14181"/>
    <cellStyle name="Comma 6 6 2 3 3 2" xfId="22196"/>
    <cellStyle name="Comma 6 6 2 3 3 2 2" xfId="36221"/>
    <cellStyle name="Comma 6 6 2 3 3 3" xfId="28210"/>
    <cellStyle name="Comma 6 6 2 3 4" xfId="16187"/>
    <cellStyle name="Comma 6 6 2 3 4 2" xfId="30212"/>
    <cellStyle name="Comma 6 6 2 3 5" xfId="18189"/>
    <cellStyle name="Comma 6 6 2 3 5 2" xfId="32214"/>
    <cellStyle name="Comma 6 6 2 3 6" xfId="24203"/>
    <cellStyle name="Comma 6 6 2 4" xfId="12163"/>
    <cellStyle name="Comma 6 6 2 4 2" xfId="20188"/>
    <cellStyle name="Comma 6 6 2 4 2 2" xfId="34213"/>
    <cellStyle name="Comma 6 6 2 4 3" xfId="26202"/>
    <cellStyle name="Comma 6 6 2 5" xfId="14178"/>
    <cellStyle name="Comma 6 6 2 5 2" xfId="22193"/>
    <cellStyle name="Comma 6 6 2 5 2 2" xfId="36218"/>
    <cellStyle name="Comma 6 6 2 5 3" xfId="28207"/>
    <cellStyle name="Comma 6 6 2 6" xfId="16184"/>
    <cellStyle name="Comma 6 6 2 6 2" xfId="30209"/>
    <cellStyle name="Comma 6 6 2 7" xfId="18186"/>
    <cellStyle name="Comma 6 6 2 7 2" xfId="32211"/>
    <cellStyle name="Comma 6 6 2 8" xfId="24200"/>
    <cellStyle name="Comma 6 6 3" xfId="1425"/>
    <cellStyle name="Comma 6 6 3 2" xfId="1426"/>
    <cellStyle name="Comma 6 6 3 2 2" xfId="12168"/>
    <cellStyle name="Comma 6 6 3 2 2 2" xfId="20193"/>
    <cellStyle name="Comma 6 6 3 2 2 2 2" xfId="34218"/>
    <cellStyle name="Comma 6 6 3 2 2 3" xfId="26207"/>
    <cellStyle name="Comma 6 6 3 2 3" xfId="14183"/>
    <cellStyle name="Comma 6 6 3 2 3 2" xfId="22198"/>
    <cellStyle name="Comma 6 6 3 2 3 2 2" xfId="36223"/>
    <cellStyle name="Comma 6 6 3 2 3 3" xfId="28212"/>
    <cellStyle name="Comma 6 6 3 2 4" xfId="16189"/>
    <cellStyle name="Comma 6 6 3 2 4 2" xfId="30214"/>
    <cellStyle name="Comma 6 6 3 2 5" xfId="18191"/>
    <cellStyle name="Comma 6 6 3 2 5 2" xfId="32216"/>
    <cellStyle name="Comma 6 6 3 2 6" xfId="24205"/>
    <cellStyle name="Comma 6 6 3 3" xfId="12167"/>
    <cellStyle name="Comma 6 6 3 3 2" xfId="20192"/>
    <cellStyle name="Comma 6 6 3 3 2 2" xfId="34217"/>
    <cellStyle name="Comma 6 6 3 3 3" xfId="26206"/>
    <cellStyle name="Comma 6 6 3 4" xfId="14182"/>
    <cellStyle name="Comma 6 6 3 4 2" xfId="22197"/>
    <cellStyle name="Comma 6 6 3 4 2 2" xfId="36222"/>
    <cellStyle name="Comma 6 6 3 4 3" xfId="28211"/>
    <cellStyle name="Comma 6 6 3 5" xfId="16188"/>
    <cellStyle name="Comma 6 6 3 5 2" xfId="30213"/>
    <cellStyle name="Comma 6 6 3 6" xfId="18190"/>
    <cellStyle name="Comma 6 6 3 6 2" xfId="32215"/>
    <cellStyle name="Comma 6 6 3 7" xfId="24204"/>
    <cellStyle name="Comma 6 6 4" xfId="1427"/>
    <cellStyle name="Comma 6 6 4 2" xfId="1428"/>
    <cellStyle name="Comma 6 6 4 2 2" xfId="12170"/>
    <cellStyle name="Comma 6 6 4 2 2 2" xfId="20195"/>
    <cellStyle name="Comma 6 6 4 2 2 2 2" xfId="34220"/>
    <cellStyle name="Comma 6 6 4 2 2 3" xfId="26209"/>
    <cellStyle name="Comma 6 6 4 2 3" xfId="14185"/>
    <cellStyle name="Comma 6 6 4 2 3 2" xfId="22200"/>
    <cellStyle name="Comma 6 6 4 2 3 2 2" xfId="36225"/>
    <cellStyle name="Comma 6 6 4 2 3 3" xfId="28214"/>
    <cellStyle name="Comma 6 6 4 2 4" xfId="16191"/>
    <cellStyle name="Comma 6 6 4 2 4 2" xfId="30216"/>
    <cellStyle name="Comma 6 6 4 2 5" xfId="18193"/>
    <cellStyle name="Comma 6 6 4 2 5 2" xfId="32218"/>
    <cellStyle name="Comma 6 6 4 2 6" xfId="24207"/>
    <cellStyle name="Comma 6 6 4 3" xfId="12169"/>
    <cellStyle name="Comma 6 6 4 3 2" xfId="20194"/>
    <cellStyle name="Comma 6 6 4 3 2 2" xfId="34219"/>
    <cellStyle name="Comma 6 6 4 3 3" xfId="26208"/>
    <cellStyle name="Comma 6 6 4 4" xfId="14184"/>
    <cellStyle name="Comma 6 6 4 4 2" xfId="22199"/>
    <cellStyle name="Comma 6 6 4 4 2 2" xfId="36224"/>
    <cellStyle name="Comma 6 6 4 4 3" xfId="28213"/>
    <cellStyle name="Comma 6 6 4 5" xfId="16190"/>
    <cellStyle name="Comma 6 6 4 5 2" xfId="30215"/>
    <cellStyle name="Comma 6 6 4 6" xfId="18192"/>
    <cellStyle name="Comma 6 6 4 6 2" xfId="32217"/>
    <cellStyle name="Comma 6 6 4 7" xfId="24206"/>
    <cellStyle name="Comma 6 6 5" xfId="1429"/>
    <cellStyle name="Comma 6 6 5 2" xfId="12171"/>
    <cellStyle name="Comma 6 6 5 2 2" xfId="20196"/>
    <cellStyle name="Comma 6 6 5 2 2 2" xfId="34221"/>
    <cellStyle name="Comma 6 6 5 2 3" xfId="26210"/>
    <cellStyle name="Comma 6 6 5 3" xfId="14186"/>
    <cellStyle name="Comma 6 6 5 3 2" xfId="22201"/>
    <cellStyle name="Comma 6 6 5 3 2 2" xfId="36226"/>
    <cellStyle name="Comma 6 6 5 3 3" xfId="28215"/>
    <cellStyle name="Comma 6 6 5 4" xfId="16192"/>
    <cellStyle name="Comma 6 6 5 4 2" xfId="30217"/>
    <cellStyle name="Comma 6 6 5 5" xfId="18194"/>
    <cellStyle name="Comma 6 6 5 5 2" xfId="32219"/>
    <cellStyle name="Comma 6 6 5 6" xfId="24208"/>
    <cellStyle name="Comma 6 6 6" xfId="12162"/>
    <cellStyle name="Comma 6 6 6 2" xfId="20187"/>
    <cellStyle name="Comma 6 6 6 2 2" xfId="34212"/>
    <cellStyle name="Comma 6 6 6 3" xfId="26201"/>
    <cellStyle name="Comma 6 6 7" xfId="14177"/>
    <cellStyle name="Comma 6 6 7 2" xfId="22192"/>
    <cellStyle name="Comma 6 6 7 2 2" xfId="36217"/>
    <cellStyle name="Comma 6 6 7 3" xfId="28206"/>
    <cellStyle name="Comma 6 6 8" xfId="16183"/>
    <cellStyle name="Comma 6 6 8 2" xfId="30208"/>
    <cellStyle name="Comma 6 6 9" xfId="18185"/>
    <cellStyle name="Comma 6 6 9 2" xfId="32210"/>
    <cellStyle name="Comma 6 7" xfId="1430"/>
    <cellStyle name="Comma 6 7 2" xfId="1431"/>
    <cellStyle name="Comma 6 7 2 2" xfId="1432"/>
    <cellStyle name="Comma 6 7 2 2 2" xfId="12174"/>
    <cellStyle name="Comma 6 7 2 2 2 2" xfId="20199"/>
    <cellStyle name="Comma 6 7 2 2 2 2 2" xfId="34224"/>
    <cellStyle name="Comma 6 7 2 2 2 3" xfId="26213"/>
    <cellStyle name="Comma 6 7 2 2 3" xfId="14189"/>
    <cellStyle name="Comma 6 7 2 2 3 2" xfId="22204"/>
    <cellStyle name="Comma 6 7 2 2 3 2 2" xfId="36229"/>
    <cellStyle name="Comma 6 7 2 2 3 3" xfId="28218"/>
    <cellStyle name="Comma 6 7 2 2 4" xfId="16195"/>
    <cellStyle name="Comma 6 7 2 2 4 2" xfId="30220"/>
    <cellStyle name="Comma 6 7 2 2 5" xfId="18197"/>
    <cellStyle name="Comma 6 7 2 2 5 2" xfId="32222"/>
    <cellStyle name="Comma 6 7 2 2 6" xfId="24211"/>
    <cellStyle name="Comma 6 7 2 3" xfId="12173"/>
    <cellStyle name="Comma 6 7 2 3 2" xfId="20198"/>
    <cellStyle name="Comma 6 7 2 3 2 2" xfId="34223"/>
    <cellStyle name="Comma 6 7 2 3 3" xfId="26212"/>
    <cellStyle name="Comma 6 7 2 4" xfId="14188"/>
    <cellStyle name="Comma 6 7 2 4 2" xfId="22203"/>
    <cellStyle name="Comma 6 7 2 4 2 2" xfId="36228"/>
    <cellStyle name="Comma 6 7 2 4 3" xfId="28217"/>
    <cellStyle name="Comma 6 7 2 5" xfId="16194"/>
    <cellStyle name="Comma 6 7 2 5 2" xfId="30219"/>
    <cellStyle name="Comma 6 7 2 6" xfId="18196"/>
    <cellStyle name="Comma 6 7 2 6 2" xfId="32221"/>
    <cellStyle name="Comma 6 7 2 7" xfId="24210"/>
    <cellStyle name="Comma 6 7 3" xfId="1433"/>
    <cellStyle name="Comma 6 7 3 2" xfId="12175"/>
    <cellStyle name="Comma 6 7 3 2 2" xfId="20200"/>
    <cellStyle name="Comma 6 7 3 2 2 2" xfId="34225"/>
    <cellStyle name="Comma 6 7 3 2 3" xfId="26214"/>
    <cellStyle name="Comma 6 7 3 3" xfId="14190"/>
    <cellStyle name="Comma 6 7 3 3 2" xfId="22205"/>
    <cellStyle name="Comma 6 7 3 3 2 2" xfId="36230"/>
    <cellStyle name="Comma 6 7 3 3 3" xfId="28219"/>
    <cellStyle name="Comma 6 7 3 4" xfId="16196"/>
    <cellStyle name="Comma 6 7 3 4 2" xfId="30221"/>
    <cellStyle name="Comma 6 7 3 5" xfId="18198"/>
    <cellStyle name="Comma 6 7 3 5 2" xfId="32223"/>
    <cellStyle name="Comma 6 7 3 6" xfId="24212"/>
    <cellStyle name="Comma 6 7 4" xfId="12172"/>
    <cellStyle name="Comma 6 7 4 2" xfId="20197"/>
    <cellStyle name="Comma 6 7 4 2 2" xfId="34222"/>
    <cellStyle name="Comma 6 7 4 3" xfId="26211"/>
    <cellStyle name="Comma 6 7 5" xfId="14187"/>
    <cellStyle name="Comma 6 7 5 2" xfId="22202"/>
    <cellStyle name="Comma 6 7 5 2 2" xfId="36227"/>
    <cellStyle name="Comma 6 7 5 3" xfId="28216"/>
    <cellStyle name="Comma 6 7 6" xfId="16193"/>
    <cellStyle name="Comma 6 7 6 2" xfId="30218"/>
    <cellStyle name="Comma 6 7 7" xfId="18195"/>
    <cellStyle name="Comma 6 7 7 2" xfId="32220"/>
    <cellStyle name="Comma 6 7 8" xfId="24209"/>
    <cellStyle name="Comma 6 8" xfId="1434"/>
    <cellStyle name="Comma 6 8 2" xfId="1435"/>
    <cellStyle name="Comma 6 8 2 2" xfId="12177"/>
    <cellStyle name="Comma 6 8 2 2 2" xfId="20202"/>
    <cellStyle name="Comma 6 8 2 2 2 2" xfId="34227"/>
    <cellStyle name="Comma 6 8 2 2 3" xfId="26216"/>
    <cellStyle name="Comma 6 8 2 3" xfId="14192"/>
    <cellStyle name="Comma 6 8 2 3 2" xfId="22207"/>
    <cellStyle name="Comma 6 8 2 3 2 2" xfId="36232"/>
    <cellStyle name="Comma 6 8 2 3 3" xfId="28221"/>
    <cellStyle name="Comma 6 8 2 4" xfId="16198"/>
    <cellStyle name="Comma 6 8 2 4 2" xfId="30223"/>
    <cellStyle name="Comma 6 8 2 5" xfId="18200"/>
    <cellStyle name="Comma 6 8 2 5 2" xfId="32225"/>
    <cellStyle name="Comma 6 8 2 6" xfId="24214"/>
    <cellStyle name="Comma 6 8 3" xfId="12176"/>
    <cellStyle name="Comma 6 8 3 2" xfId="20201"/>
    <cellStyle name="Comma 6 8 3 2 2" xfId="34226"/>
    <cellStyle name="Comma 6 8 3 3" xfId="26215"/>
    <cellStyle name="Comma 6 8 4" xfId="14191"/>
    <cellStyle name="Comma 6 8 4 2" xfId="22206"/>
    <cellStyle name="Comma 6 8 4 2 2" xfId="36231"/>
    <cellStyle name="Comma 6 8 4 3" xfId="28220"/>
    <cellStyle name="Comma 6 8 5" xfId="16197"/>
    <cellStyle name="Comma 6 8 5 2" xfId="30222"/>
    <cellStyle name="Comma 6 8 6" xfId="18199"/>
    <cellStyle name="Comma 6 8 6 2" xfId="32224"/>
    <cellStyle name="Comma 6 8 7" xfId="24213"/>
    <cellStyle name="Comma 6 9" xfId="1436"/>
    <cellStyle name="Comma 6 9 2" xfId="1437"/>
    <cellStyle name="Comma 6 9 2 2" xfId="12179"/>
    <cellStyle name="Comma 6 9 2 2 2" xfId="20204"/>
    <cellStyle name="Comma 6 9 2 2 2 2" xfId="34229"/>
    <cellStyle name="Comma 6 9 2 2 3" xfId="26218"/>
    <cellStyle name="Comma 6 9 2 3" xfId="14194"/>
    <cellStyle name="Comma 6 9 2 3 2" xfId="22209"/>
    <cellStyle name="Comma 6 9 2 3 2 2" xfId="36234"/>
    <cellStyle name="Comma 6 9 2 3 3" xfId="28223"/>
    <cellStyle name="Comma 6 9 2 4" xfId="16200"/>
    <cellStyle name="Comma 6 9 2 4 2" xfId="30225"/>
    <cellStyle name="Comma 6 9 2 5" xfId="18202"/>
    <cellStyle name="Comma 6 9 2 5 2" xfId="32227"/>
    <cellStyle name="Comma 6 9 2 6" xfId="24216"/>
    <cellStyle name="Comma 6 9 3" xfId="12178"/>
    <cellStyle name="Comma 6 9 3 2" xfId="20203"/>
    <cellStyle name="Comma 6 9 3 2 2" xfId="34228"/>
    <cellStyle name="Comma 6 9 3 3" xfId="26217"/>
    <cellStyle name="Comma 6 9 4" xfId="14193"/>
    <cellStyle name="Comma 6 9 4 2" xfId="22208"/>
    <cellStyle name="Comma 6 9 4 2 2" xfId="36233"/>
    <cellStyle name="Comma 6 9 4 3" xfId="28222"/>
    <cellStyle name="Comma 6 9 5" xfId="16199"/>
    <cellStyle name="Comma 6 9 5 2" xfId="30224"/>
    <cellStyle name="Comma 6 9 6" xfId="18201"/>
    <cellStyle name="Comma 6 9 6 2" xfId="32226"/>
    <cellStyle name="Comma 6 9 7" xfId="24215"/>
    <cellStyle name="Comma 7" xfId="423"/>
    <cellStyle name="Comma 7 2" xfId="424"/>
    <cellStyle name="Comma 7 3" xfId="425"/>
    <cellStyle name="Comma 7 3 2" xfId="11622"/>
    <cellStyle name="Comma 7 4" xfId="11621"/>
    <cellStyle name="Comma 8" xfId="426"/>
    <cellStyle name="Comma 8 10" xfId="11623"/>
    <cellStyle name="Comma 8 2" xfId="427"/>
    <cellStyle name="Comma 8 3" xfId="1438"/>
    <cellStyle name="Comma 8 3 10" xfId="16201"/>
    <cellStyle name="Comma 8 3 10 2" xfId="30226"/>
    <cellStyle name="Comma 8 3 11" xfId="18203"/>
    <cellStyle name="Comma 8 3 11 2" xfId="32228"/>
    <cellStyle name="Comma 8 3 12" xfId="24217"/>
    <cellStyle name="Comma 8 3 2" xfId="1439"/>
    <cellStyle name="Comma 8 3 2 10" xfId="18204"/>
    <cellStyle name="Comma 8 3 2 10 2" xfId="32229"/>
    <cellStyle name="Comma 8 3 2 11" xfId="24218"/>
    <cellStyle name="Comma 8 3 2 2" xfId="1440"/>
    <cellStyle name="Comma 8 3 2 2 10" xfId="24219"/>
    <cellStyle name="Comma 8 3 2 2 2" xfId="1441"/>
    <cellStyle name="Comma 8 3 2 2 2 2" xfId="1442"/>
    <cellStyle name="Comma 8 3 2 2 2 2 2" xfId="1443"/>
    <cellStyle name="Comma 8 3 2 2 2 2 2 2" xfId="12185"/>
    <cellStyle name="Comma 8 3 2 2 2 2 2 2 2" xfId="20210"/>
    <cellStyle name="Comma 8 3 2 2 2 2 2 2 2 2" xfId="34235"/>
    <cellStyle name="Comma 8 3 2 2 2 2 2 2 3" xfId="26224"/>
    <cellStyle name="Comma 8 3 2 2 2 2 2 3" xfId="14200"/>
    <cellStyle name="Comma 8 3 2 2 2 2 2 3 2" xfId="22215"/>
    <cellStyle name="Comma 8 3 2 2 2 2 2 3 2 2" xfId="36240"/>
    <cellStyle name="Comma 8 3 2 2 2 2 2 3 3" xfId="28229"/>
    <cellStyle name="Comma 8 3 2 2 2 2 2 4" xfId="16206"/>
    <cellStyle name="Comma 8 3 2 2 2 2 2 4 2" xfId="30231"/>
    <cellStyle name="Comma 8 3 2 2 2 2 2 5" xfId="18208"/>
    <cellStyle name="Comma 8 3 2 2 2 2 2 5 2" xfId="32233"/>
    <cellStyle name="Comma 8 3 2 2 2 2 2 6" xfId="24222"/>
    <cellStyle name="Comma 8 3 2 2 2 2 3" xfId="12184"/>
    <cellStyle name="Comma 8 3 2 2 2 2 3 2" xfId="20209"/>
    <cellStyle name="Comma 8 3 2 2 2 2 3 2 2" xfId="34234"/>
    <cellStyle name="Comma 8 3 2 2 2 2 3 3" xfId="26223"/>
    <cellStyle name="Comma 8 3 2 2 2 2 4" xfId="14199"/>
    <cellStyle name="Comma 8 3 2 2 2 2 4 2" xfId="22214"/>
    <cellStyle name="Comma 8 3 2 2 2 2 4 2 2" xfId="36239"/>
    <cellStyle name="Comma 8 3 2 2 2 2 4 3" xfId="28228"/>
    <cellStyle name="Comma 8 3 2 2 2 2 5" xfId="16205"/>
    <cellStyle name="Comma 8 3 2 2 2 2 5 2" xfId="30230"/>
    <cellStyle name="Comma 8 3 2 2 2 2 6" xfId="18207"/>
    <cellStyle name="Comma 8 3 2 2 2 2 6 2" xfId="32232"/>
    <cellStyle name="Comma 8 3 2 2 2 2 7" xfId="24221"/>
    <cellStyle name="Comma 8 3 2 2 2 3" xfId="1444"/>
    <cellStyle name="Comma 8 3 2 2 2 3 2" xfId="12186"/>
    <cellStyle name="Comma 8 3 2 2 2 3 2 2" xfId="20211"/>
    <cellStyle name="Comma 8 3 2 2 2 3 2 2 2" xfId="34236"/>
    <cellStyle name="Comma 8 3 2 2 2 3 2 3" xfId="26225"/>
    <cellStyle name="Comma 8 3 2 2 2 3 3" xfId="14201"/>
    <cellStyle name="Comma 8 3 2 2 2 3 3 2" xfId="22216"/>
    <cellStyle name="Comma 8 3 2 2 2 3 3 2 2" xfId="36241"/>
    <cellStyle name="Comma 8 3 2 2 2 3 3 3" xfId="28230"/>
    <cellStyle name="Comma 8 3 2 2 2 3 4" xfId="16207"/>
    <cellStyle name="Comma 8 3 2 2 2 3 4 2" xfId="30232"/>
    <cellStyle name="Comma 8 3 2 2 2 3 5" xfId="18209"/>
    <cellStyle name="Comma 8 3 2 2 2 3 5 2" xfId="32234"/>
    <cellStyle name="Comma 8 3 2 2 2 3 6" xfId="24223"/>
    <cellStyle name="Comma 8 3 2 2 2 4" xfId="12183"/>
    <cellStyle name="Comma 8 3 2 2 2 4 2" xfId="20208"/>
    <cellStyle name="Comma 8 3 2 2 2 4 2 2" xfId="34233"/>
    <cellStyle name="Comma 8 3 2 2 2 4 3" xfId="26222"/>
    <cellStyle name="Comma 8 3 2 2 2 5" xfId="14198"/>
    <cellStyle name="Comma 8 3 2 2 2 5 2" xfId="22213"/>
    <cellStyle name="Comma 8 3 2 2 2 5 2 2" xfId="36238"/>
    <cellStyle name="Comma 8 3 2 2 2 5 3" xfId="28227"/>
    <cellStyle name="Comma 8 3 2 2 2 6" xfId="16204"/>
    <cellStyle name="Comma 8 3 2 2 2 6 2" xfId="30229"/>
    <cellStyle name="Comma 8 3 2 2 2 7" xfId="18206"/>
    <cellStyle name="Comma 8 3 2 2 2 7 2" xfId="32231"/>
    <cellStyle name="Comma 8 3 2 2 2 8" xfId="24220"/>
    <cellStyle name="Comma 8 3 2 2 3" xfId="1445"/>
    <cellStyle name="Comma 8 3 2 2 3 2" xfId="1446"/>
    <cellStyle name="Comma 8 3 2 2 3 2 2" xfId="12188"/>
    <cellStyle name="Comma 8 3 2 2 3 2 2 2" xfId="20213"/>
    <cellStyle name="Comma 8 3 2 2 3 2 2 2 2" xfId="34238"/>
    <cellStyle name="Comma 8 3 2 2 3 2 2 3" xfId="26227"/>
    <cellStyle name="Comma 8 3 2 2 3 2 3" xfId="14203"/>
    <cellStyle name="Comma 8 3 2 2 3 2 3 2" xfId="22218"/>
    <cellStyle name="Comma 8 3 2 2 3 2 3 2 2" xfId="36243"/>
    <cellStyle name="Comma 8 3 2 2 3 2 3 3" xfId="28232"/>
    <cellStyle name="Comma 8 3 2 2 3 2 4" xfId="16209"/>
    <cellStyle name="Comma 8 3 2 2 3 2 4 2" xfId="30234"/>
    <cellStyle name="Comma 8 3 2 2 3 2 5" xfId="18211"/>
    <cellStyle name="Comma 8 3 2 2 3 2 5 2" xfId="32236"/>
    <cellStyle name="Comma 8 3 2 2 3 2 6" xfId="24225"/>
    <cellStyle name="Comma 8 3 2 2 3 3" xfId="12187"/>
    <cellStyle name="Comma 8 3 2 2 3 3 2" xfId="20212"/>
    <cellStyle name="Comma 8 3 2 2 3 3 2 2" xfId="34237"/>
    <cellStyle name="Comma 8 3 2 2 3 3 3" xfId="26226"/>
    <cellStyle name="Comma 8 3 2 2 3 4" xfId="14202"/>
    <cellStyle name="Comma 8 3 2 2 3 4 2" xfId="22217"/>
    <cellStyle name="Comma 8 3 2 2 3 4 2 2" xfId="36242"/>
    <cellStyle name="Comma 8 3 2 2 3 4 3" xfId="28231"/>
    <cellStyle name="Comma 8 3 2 2 3 5" xfId="16208"/>
    <cellStyle name="Comma 8 3 2 2 3 5 2" xfId="30233"/>
    <cellStyle name="Comma 8 3 2 2 3 6" xfId="18210"/>
    <cellStyle name="Comma 8 3 2 2 3 6 2" xfId="32235"/>
    <cellStyle name="Comma 8 3 2 2 3 7" xfId="24224"/>
    <cellStyle name="Comma 8 3 2 2 4" xfId="1447"/>
    <cellStyle name="Comma 8 3 2 2 4 2" xfId="1448"/>
    <cellStyle name="Comma 8 3 2 2 4 2 2" xfId="12190"/>
    <cellStyle name="Comma 8 3 2 2 4 2 2 2" xfId="20215"/>
    <cellStyle name="Comma 8 3 2 2 4 2 2 2 2" xfId="34240"/>
    <cellStyle name="Comma 8 3 2 2 4 2 2 3" xfId="26229"/>
    <cellStyle name="Comma 8 3 2 2 4 2 3" xfId="14205"/>
    <cellStyle name="Comma 8 3 2 2 4 2 3 2" xfId="22220"/>
    <cellStyle name="Comma 8 3 2 2 4 2 3 2 2" xfId="36245"/>
    <cellStyle name="Comma 8 3 2 2 4 2 3 3" xfId="28234"/>
    <cellStyle name="Comma 8 3 2 2 4 2 4" xfId="16211"/>
    <cellStyle name="Comma 8 3 2 2 4 2 4 2" xfId="30236"/>
    <cellStyle name="Comma 8 3 2 2 4 2 5" xfId="18213"/>
    <cellStyle name="Comma 8 3 2 2 4 2 5 2" xfId="32238"/>
    <cellStyle name="Comma 8 3 2 2 4 2 6" xfId="24227"/>
    <cellStyle name="Comma 8 3 2 2 4 3" xfId="12189"/>
    <cellStyle name="Comma 8 3 2 2 4 3 2" xfId="20214"/>
    <cellStyle name="Comma 8 3 2 2 4 3 2 2" xfId="34239"/>
    <cellStyle name="Comma 8 3 2 2 4 3 3" xfId="26228"/>
    <cellStyle name="Comma 8 3 2 2 4 4" xfId="14204"/>
    <cellStyle name="Comma 8 3 2 2 4 4 2" xfId="22219"/>
    <cellStyle name="Comma 8 3 2 2 4 4 2 2" xfId="36244"/>
    <cellStyle name="Comma 8 3 2 2 4 4 3" xfId="28233"/>
    <cellStyle name="Comma 8 3 2 2 4 5" xfId="16210"/>
    <cellStyle name="Comma 8 3 2 2 4 5 2" xfId="30235"/>
    <cellStyle name="Comma 8 3 2 2 4 6" xfId="18212"/>
    <cellStyle name="Comma 8 3 2 2 4 6 2" xfId="32237"/>
    <cellStyle name="Comma 8 3 2 2 4 7" xfId="24226"/>
    <cellStyle name="Comma 8 3 2 2 5" xfId="1449"/>
    <cellStyle name="Comma 8 3 2 2 5 2" xfId="12191"/>
    <cellStyle name="Comma 8 3 2 2 5 2 2" xfId="20216"/>
    <cellStyle name="Comma 8 3 2 2 5 2 2 2" xfId="34241"/>
    <cellStyle name="Comma 8 3 2 2 5 2 3" xfId="26230"/>
    <cellStyle name="Comma 8 3 2 2 5 3" xfId="14206"/>
    <cellStyle name="Comma 8 3 2 2 5 3 2" xfId="22221"/>
    <cellStyle name="Comma 8 3 2 2 5 3 2 2" xfId="36246"/>
    <cellStyle name="Comma 8 3 2 2 5 3 3" xfId="28235"/>
    <cellStyle name="Comma 8 3 2 2 5 4" xfId="16212"/>
    <cellStyle name="Comma 8 3 2 2 5 4 2" xfId="30237"/>
    <cellStyle name="Comma 8 3 2 2 5 5" xfId="18214"/>
    <cellStyle name="Comma 8 3 2 2 5 5 2" xfId="32239"/>
    <cellStyle name="Comma 8 3 2 2 5 6" xfId="24228"/>
    <cellStyle name="Comma 8 3 2 2 6" xfId="12182"/>
    <cellStyle name="Comma 8 3 2 2 6 2" xfId="20207"/>
    <cellStyle name="Comma 8 3 2 2 6 2 2" xfId="34232"/>
    <cellStyle name="Comma 8 3 2 2 6 3" xfId="26221"/>
    <cellStyle name="Comma 8 3 2 2 7" xfId="14197"/>
    <cellStyle name="Comma 8 3 2 2 7 2" xfId="22212"/>
    <cellStyle name="Comma 8 3 2 2 7 2 2" xfId="36237"/>
    <cellStyle name="Comma 8 3 2 2 7 3" xfId="28226"/>
    <cellStyle name="Comma 8 3 2 2 8" xfId="16203"/>
    <cellStyle name="Comma 8 3 2 2 8 2" xfId="30228"/>
    <cellStyle name="Comma 8 3 2 2 9" xfId="18205"/>
    <cellStyle name="Comma 8 3 2 2 9 2" xfId="32230"/>
    <cellStyle name="Comma 8 3 2 3" xfId="1450"/>
    <cellStyle name="Comma 8 3 2 3 2" xfId="1451"/>
    <cellStyle name="Comma 8 3 2 3 2 2" xfId="1452"/>
    <cellStyle name="Comma 8 3 2 3 2 2 2" xfId="12194"/>
    <cellStyle name="Comma 8 3 2 3 2 2 2 2" xfId="20219"/>
    <cellStyle name="Comma 8 3 2 3 2 2 2 2 2" xfId="34244"/>
    <cellStyle name="Comma 8 3 2 3 2 2 2 3" xfId="26233"/>
    <cellStyle name="Comma 8 3 2 3 2 2 3" xfId="14209"/>
    <cellStyle name="Comma 8 3 2 3 2 2 3 2" xfId="22224"/>
    <cellStyle name="Comma 8 3 2 3 2 2 3 2 2" xfId="36249"/>
    <cellStyle name="Comma 8 3 2 3 2 2 3 3" xfId="28238"/>
    <cellStyle name="Comma 8 3 2 3 2 2 4" xfId="16215"/>
    <cellStyle name="Comma 8 3 2 3 2 2 4 2" xfId="30240"/>
    <cellStyle name="Comma 8 3 2 3 2 2 5" xfId="18217"/>
    <cellStyle name="Comma 8 3 2 3 2 2 5 2" xfId="32242"/>
    <cellStyle name="Comma 8 3 2 3 2 2 6" xfId="24231"/>
    <cellStyle name="Comma 8 3 2 3 2 3" xfId="12193"/>
    <cellStyle name="Comma 8 3 2 3 2 3 2" xfId="20218"/>
    <cellStyle name="Comma 8 3 2 3 2 3 2 2" xfId="34243"/>
    <cellStyle name="Comma 8 3 2 3 2 3 3" xfId="26232"/>
    <cellStyle name="Comma 8 3 2 3 2 4" xfId="14208"/>
    <cellStyle name="Comma 8 3 2 3 2 4 2" xfId="22223"/>
    <cellStyle name="Comma 8 3 2 3 2 4 2 2" xfId="36248"/>
    <cellStyle name="Comma 8 3 2 3 2 4 3" xfId="28237"/>
    <cellStyle name="Comma 8 3 2 3 2 5" xfId="16214"/>
    <cellStyle name="Comma 8 3 2 3 2 5 2" xfId="30239"/>
    <cellStyle name="Comma 8 3 2 3 2 6" xfId="18216"/>
    <cellStyle name="Comma 8 3 2 3 2 6 2" xfId="32241"/>
    <cellStyle name="Comma 8 3 2 3 2 7" xfId="24230"/>
    <cellStyle name="Comma 8 3 2 3 3" xfId="1453"/>
    <cellStyle name="Comma 8 3 2 3 3 2" xfId="12195"/>
    <cellStyle name="Comma 8 3 2 3 3 2 2" xfId="20220"/>
    <cellStyle name="Comma 8 3 2 3 3 2 2 2" xfId="34245"/>
    <cellStyle name="Comma 8 3 2 3 3 2 3" xfId="26234"/>
    <cellStyle name="Comma 8 3 2 3 3 3" xfId="14210"/>
    <cellStyle name="Comma 8 3 2 3 3 3 2" xfId="22225"/>
    <cellStyle name="Comma 8 3 2 3 3 3 2 2" xfId="36250"/>
    <cellStyle name="Comma 8 3 2 3 3 3 3" xfId="28239"/>
    <cellStyle name="Comma 8 3 2 3 3 4" xfId="16216"/>
    <cellStyle name="Comma 8 3 2 3 3 4 2" xfId="30241"/>
    <cellStyle name="Comma 8 3 2 3 3 5" xfId="18218"/>
    <cellStyle name="Comma 8 3 2 3 3 5 2" xfId="32243"/>
    <cellStyle name="Comma 8 3 2 3 3 6" xfId="24232"/>
    <cellStyle name="Comma 8 3 2 3 4" xfId="12192"/>
    <cellStyle name="Comma 8 3 2 3 4 2" xfId="20217"/>
    <cellStyle name="Comma 8 3 2 3 4 2 2" xfId="34242"/>
    <cellStyle name="Comma 8 3 2 3 4 3" xfId="26231"/>
    <cellStyle name="Comma 8 3 2 3 5" xfId="14207"/>
    <cellStyle name="Comma 8 3 2 3 5 2" xfId="22222"/>
    <cellStyle name="Comma 8 3 2 3 5 2 2" xfId="36247"/>
    <cellStyle name="Comma 8 3 2 3 5 3" xfId="28236"/>
    <cellStyle name="Comma 8 3 2 3 6" xfId="16213"/>
    <cellStyle name="Comma 8 3 2 3 6 2" xfId="30238"/>
    <cellStyle name="Comma 8 3 2 3 7" xfId="18215"/>
    <cellStyle name="Comma 8 3 2 3 7 2" xfId="32240"/>
    <cellStyle name="Comma 8 3 2 3 8" xfId="24229"/>
    <cellStyle name="Comma 8 3 2 4" xfId="1454"/>
    <cellStyle name="Comma 8 3 2 4 2" xfId="1455"/>
    <cellStyle name="Comma 8 3 2 4 2 2" xfId="12197"/>
    <cellStyle name="Comma 8 3 2 4 2 2 2" xfId="20222"/>
    <cellStyle name="Comma 8 3 2 4 2 2 2 2" xfId="34247"/>
    <cellStyle name="Comma 8 3 2 4 2 2 3" xfId="26236"/>
    <cellStyle name="Comma 8 3 2 4 2 3" xfId="14212"/>
    <cellStyle name="Comma 8 3 2 4 2 3 2" xfId="22227"/>
    <cellStyle name="Comma 8 3 2 4 2 3 2 2" xfId="36252"/>
    <cellStyle name="Comma 8 3 2 4 2 3 3" xfId="28241"/>
    <cellStyle name="Comma 8 3 2 4 2 4" xfId="16218"/>
    <cellStyle name="Comma 8 3 2 4 2 4 2" xfId="30243"/>
    <cellStyle name="Comma 8 3 2 4 2 5" xfId="18220"/>
    <cellStyle name="Comma 8 3 2 4 2 5 2" xfId="32245"/>
    <cellStyle name="Comma 8 3 2 4 2 6" xfId="24234"/>
    <cellStyle name="Comma 8 3 2 4 3" xfId="12196"/>
    <cellStyle name="Comma 8 3 2 4 3 2" xfId="20221"/>
    <cellStyle name="Comma 8 3 2 4 3 2 2" xfId="34246"/>
    <cellStyle name="Comma 8 3 2 4 3 3" xfId="26235"/>
    <cellStyle name="Comma 8 3 2 4 4" xfId="14211"/>
    <cellStyle name="Comma 8 3 2 4 4 2" xfId="22226"/>
    <cellStyle name="Comma 8 3 2 4 4 2 2" xfId="36251"/>
    <cellStyle name="Comma 8 3 2 4 4 3" xfId="28240"/>
    <cellStyle name="Comma 8 3 2 4 5" xfId="16217"/>
    <cellStyle name="Comma 8 3 2 4 5 2" xfId="30242"/>
    <cellStyle name="Comma 8 3 2 4 6" xfId="18219"/>
    <cellStyle name="Comma 8 3 2 4 6 2" xfId="32244"/>
    <cellStyle name="Comma 8 3 2 4 7" xfId="24233"/>
    <cellStyle name="Comma 8 3 2 5" xfId="1456"/>
    <cellStyle name="Comma 8 3 2 5 2" xfId="1457"/>
    <cellStyle name="Comma 8 3 2 5 2 2" xfId="12199"/>
    <cellStyle name="Comma 8 3 2 5 2 2 2" xfId="20224"/>
    <cellStyle name="Comma 8 3 2 5 2 2 2 2" xfId="34249"/>
    <cellStyle name="Comma 8 3 2 5 2 2 3" xfId="26238"/>
    <cellStyle name="Comma 8 3 2 5 2 3" xfId="14214"/>
    <cellStyle name="Comma 8 3 2 5 2 3 2" xfId="22229"/>
    <cellStyle name="Comma 8 3 2 5 2 3 2 2" xfId="36254"/>
    <cellStyle name="Comma 8 3 2 5 2 3 3" xfId="28243"/>
    <cellStyle name="Comma 8 3 2 5 2 4" xfId="16220"/>
    <cellStyle name="Comma 8 3 2 5 2 4 2" xfId="30245"/>
    <cellStyle name="Comma 8 3 2 5 2 5" xfId="18222"/>
    <cellStyle name="Comma 8 3 2 5 2 5 2" xfId="32247"/>
    <cellStyle name="Comma 8 3 2 5 2 6" xfId="24236"/>
    <cellStyle name="Comma 8 3 2 5 3" xfId="12198"/>
    <cellStyle name="Comma 8 3 2 5 3 2" xfId="20223"/>
    <cellStyle name="Comma 8 3 2 5 3 2 2" xfId="34248"/>
    <cellStyle name="Comma 8 3 2 5 3 3" xfId="26237"/>
    <cellStyle name="Comma 8 3 2 5 4" xfId="14213"/>
    <cellStyle name="Comma 8 3 2 5 4 2" xfId="22228"/>
    <cellStyle name="Comma 8 3 2 5 4 2 2" xfId="36253"/>
    <cellStyle name="Comma 8 3 2 5 4 3" xfId="28242"/>
    <cellStyle name="Comma 8 3 2 5 5" xfId="16219"/>
    <cellStyle name="Comma 8 3 2 5 5 2" xfId="30244"/>
    <cellStyle name="Comma 8 3 2 5 6" xfId="18221"/>
    <cellStyle name="Comma 8 3 2 5 6 2" xfId="32246"/>
    <cellStyle name="Comma 8 3 2 5 7" xfId="24235"/>
    <cellStyle name="Comma 8 3 2 6" xfId="1458"/>
    <cellStyle name="Comma 8 3 2 6 2" xfId="12200"/>
    <cellStyle name="Comma 8 3 2 6 2 2" xfId="20225"/>
    <cellStyle name="Comma 8 3 2 6 2 2 2" xfId="34250"/>
    <cellStyle name="Comma 8 3 2 6 2 3" xfId="26239"/>
    <cellStyle name="Comma 8 3 2 6 3" xfId="14215"/>
    <cellStyle name="Comma 8 3 2 6 3 2" xfId="22230"/>
    <cellStyle name="Comma 8 3 2 6 3 2 2" xfId="36255"/>
    <cellStyle name="Comma 8 3 2 6 3 3" xfId="28244"/>
    <cellStyle name="Comma 8 3 2 6 4" xfId="16221"/>
    <cellStyle name="Comma 8 3 2 6 4 2" xfId="30246"/>
    <cellStyle name="Comma 8 3 2 6 5" xfId="18223"/>
    <cellStyle name="Comma 8 3 2 6 5 2" xfId="32248"/>
    <cellStyle name="Comma 8 3 2 6 6" xfId="24237"/>
    <cellStyle name="Comma 8 3 2 7" xfId="12181"/>
    <cellStyle name="Comma 8 3 2 7 2" xfId="20206"/>
    <cellStyle name="Comma 8 3 2 7 2 2" xfId="34231"/>
    <cellStyle name="Comma 8 3 2 7 3" xfId="26220"/>
    <cellStyle name="Comma 8 3 2 8" xfId="14196"/>
    <cellStyle name="Comma 8 3 2 8 2" xfId="22211"/>
    <cellStyle name="Comma 8 3 2 8 2 2" xfId="36236"/>
    <cellStyle name="Comma 8 3 2 8 3" xfId="28225"/>
    <cellStyle name="Comma 8 3 2 9" xfId="16202"/>
    <cellStyle name="Comma 8 3 2 9 2" xfId="30227"/>
    <cellStyle name="Comma 8 3 3" xfId="1459"/>
    <cellStyle name="Comma 8 3 3 10" xfId="24238"/>
    <cellStyle name="Comma 8 3 3 2" xfId="1460"/>
    <cellStyle name="Comma 8 3 3 2 2" xfId="1461"/>
    <cellStyle name="Comma 8 3 3 2 2 2" xfId="1462"/>
    <cellStyle name="Comma 8 3 3 2 2 2 2" xfId="12204"/>
    <cellStyle name="Comma 8 3 3 2 2 2 2 2" xfId="20229"/>
    <cellStyle name="Comma 8 3 3 2 2 2 2 2 2" xfId="34254"/>
    <cellStyle name="Comma 8 3 3 2 2 2 2 3" xfId="26243"/>
    <cellStyle name="Comma 8 3 3 2 2 2 3" xfId="14219"/>
    <cellStyle name="Comma 8 3 3 2 2 2 3 2" xfId="22234"/>
    <cellStyle name="Comma 8 3 3 2 2 2 3 2 2" xfId="36259"/>
    <cellStyle name="Comma 8 3 3 2 2 2 3 3" xfId="28248"/>
    <cellStyle name="Comma 8 3 3 2 2 2 4" xfId="16225"/>
    <cellStyle name="Comma 8 3 3 2 2 2 4 2" xfId="30250"/>
    <cellStyle name="Comma 8 3 3 2 2 2 5" xfId="18227"/>
    <cellStyle name="Comma 8 3 3 2 2 2 5 2" xfId="32252"/>
    <cellStyle name="Comma 8 3 3 2 2 2 6" xfId="24241"/>
    <cellStyle name="Comma 8 3 3 2 2 3" xfId="12203"/>
    <cellStyle name="Comma 8 3 3 2 2 3 2" xfId="20228"/>
    <cellStyle name="Comma 8 3 3 2 2 3 2 2" xfId="34253"/>
    <cellStyle name="Comma 8 3 3 2 2 3 3" xfId="26242"/>
    <cellStyle name="Comma 8 3 3 2 2 4" xfId="14218"/>
    <cellStyle name="Comma 8 3 3 2 2 4 2" xfId="22233"/>
    <cellStyle name="Comma 8 3 3 2 2 4 2 2" xfId="36258"/>
    <cellStyle name="Comma 8 3 3 2 2 4 3" xfId="28247"/>
    <cellStyle name="Comma 8 3 3 2 2 5" xfId="16224"/>
    <cellStyle name="Comma 8 3 3 2 2 5 2" xfId="30249"/>
    <cellStyle name="Comma 8 3 3 2 2 6" xfId="18226"/>
    <cellStyle name="Comma 8 3 3 2 2 6 2" xfId="32251"/>
    <cellStyle name="Comma 8 3 3 2 2 7" xfId="24240"/>
    <cellStyle name="Comma 8 3 3 2 3" xfId="1463"/>
    <cellStyle name="Comma 8 3 3 2 3 2" xfId="12205"/>
    <cellStyle name="Comma 8 3 3 2 3 2 2" xfId="20230"/>
    <cellStyle name="Comma 8 3 3 2 3 2 2 2" xfId="34255"/>
    <cellStyle name="Comma 8 3 3 2 3 2 3" xfId="26244"/>
    <cellStyle name="Comma 8 3 3 2 3 3" xfId="14220"/>
    <cellStyle name="Comma 8 3 3 2 3 3 2" xfId="22235"/>
    <cellStyle name="Comma 8 3 3 2 3 3 2 2" xfId="36260"/>
    <cellStyle name="Comma 8 3 3 2 3 3 3" xfId="28249"/>
    <cellStyle name="Comma 8 3 3 2 3 4" xfId="16226"/>
    <cellStyle name="Comma 8 3 3 2 3 4 2" xfId="30251"/>
    <cellStyle name="Comma 8 3 3 2 3 5" xfId="18228"/>
    <cellStyle name="Comma 8 3 3 2 3 5 2" xfId="32253"/>
    <cellStyle name="Comma 8 3 3 2 3 6" xfId="24242"/>
    <cellStyle name="Comma 8 3 3 2 4" xfId="12202"/>
    <cellStyle name="Comma 8 3 3 2 4 2" xfId="20227"/>
    <cellStyle name="Comma 8 3 3 2 4 2 2" xfId="34252"/>
    <cellStyle name="Comma 8 3 3 2 4 3" xfId="26241"/>
    <cellStyle name="Comma 8 3 3 2 5" xfId="14217"/>
    <cellStyle name="Comma 8 3 3 2 5 2" xfId="22232"/>
    <cellStyle name="Comma 8 3 3 2 5 2 2" xfId="36257"/>
    <cellStyle name="Comma 8 3 3 2 5 3" xfId="28246"/>
    <cellStyle name="Comma 8 3 3 2 6" xfId="16223"/>
    <cellStyle name="Comma 8 3 3 2 6 2" xfId="30248"/>
    <cellStyle name="Comma 8 3 3 2 7" xfId="18225"/>
    <cellStyle name="Comma 8 3 3 2 7 2" xfId="32250"/>
    <cellStyle name="Comma 8 3 3 2 8" xfId="24239"/>
    <cellStyle name="Comma 8 3 3 3" xfId="1464"/>
    <cellStyle name="Comma 8 3 3 3 2" xfId="1465"/>
    <cellStyle name="Comma 8 3 3 3 2 2" xfId="12207"/>
    <cellStyle name="Comma 8 3 3 3 2 2 2" xfId="20232"/>
    <cellStyle name="Comma 8 3 3 3 2 2 2 2" xfId="34257"/>
    <cellStyle name="Comma 8 3 3 3 2 2 3" xfId="26246"/>
    <cellStyle name="Comma 8 3 3 3 2 3" xfId="14222"/>
    <cellStyle name="Comma 8 3 3 3 2 3 2" xfId="22237"/>
    <cellStyle name="Comma 8 3 3 3 2 3 2 2" xfId="36262"/>
    <cellStyle name="Comma 8 3 3 3 2 3 3" xfId="28251"/>
    <cellStyle name="Comma 8 3 3 3 2 4" xfId="16228"/>
    <cellStyle name="Comma 8 3 3 3 2 4 2" xfId="30253"/>
    <cellStyle name="Comma 8 3 3 3 2 5" xfId="18230"/>
    <cellStyle name="Comma 8 3 3 3 2 5 2" xfId="32255"/>
    <cellStyle name="Comma 8 3 3 3 2 6" xfId="24244"/>
    <cellStyle name="Comma 8 3 3 3 3" xfId="12206"/>
    <cellStyle name="Comma 8 3 3 3 3 2" xfId="20231"/>
    <cellStyle name="Comma 8 3 3 3 3 2 2" xfId="34256"/>
    <cellStyle name="Comma 8 3 3 3 3 3" xfId="26245"/>
    <cellStyle name="Comma 8 3 3 3 4" xfId="14221"/>
    <cellStyle name="Comma 8 3 3 3 4 2" xfId="22236"/>
    <cellStyle name="Comma 8 3 3 3 4 2 2" xfId="36261"/>
    <cellStyle name="Comma 8 3 3 3 4 3" xfId="28250"/>
    <cellStyle name="Comma 8 3 3 3 5" xfId="16227"/>
    <cellStyle name="Comma 8 3 3 3 5 2" xfId="30252"/>
    <cellStyle name="Comma 8 3 3 3 6" xfId="18229"/>
    <cellStyle name="Comma 8 3 3 3 6 2" xfId="32254"/>
    <cellStyle name="Comma 8 3 3 3 7" xfId="24243"/>
    <cellStyle name="Comma 8 3 3 4" xfId="1466"/>
    <cellStyle name="Comma 8 3 3 4 2" xfId="1467"/>
    <cellStyle name="Comma 8 3 3 4 2 2" xfId="12209"/>
    <cellStyle name="Comma 8 3 3 4 2 2 2" xfId="20234"/>
    <cellStyle name="Comma 8 3 3 4 2 2 2 2" xfId="34259"/>
    <cellStyle name="Comma 8 3 3 4 2 2 3" xfId="26248"/>
    <cellStyle name="Comma 8 3 3 4 2 3" xfId="14224"/>
    <cellStyle name="Comma 8 3 3 4 2 3 2" xfId="22239"/>
    <cellStyle name="Comma 8 3 3 4 2 3 2 2" xfId="36264"/>
    <cellStyle name="Comma 8 3 3 4 2 3 3" xfId="28253"/>
    <cellStyle name="Comma 8 3 3 4 2 4" xfId="16230"/>
    <cellStyle name="Comma 8 3 3 4 2 4 2" xfId="30255"/>
    <cellStyle name="Comma 8 3 3 4 2 5" xfId="18232"/>
    <cellStyle name="Comma 8 3 3 4 2 5 2" xfId="32257"/>
    <cellStyle name="Comma 8 3 3 4 2 6" xfId="24246"/>
    <cellStyle name="Comma 8 3 3 4 3" xfId="12208"/>
    <cellStyle name="Comma 8 3 3 4 3 2" xfId="20233"/>
    <cellStyle name="Comma 8 3 3 4 3 2 2" xfId="34258"/>
    <cellStyle name="Comma 8 3 3 4 3 3" xfId="26247"/>
    <cellStyle name="Comma 8 3 3 4 4" xfId="14223"/>
    <cellStyle name="Comma 8 3 3 4 4 2" xfId="22238"/>
    <cellStyle name="Comma 8 3 3 4 4 2 2" xfId="36263"/>
    <cellStyle name="Comma 8 3 3 4 4 3" xfId="28252"/>
    <cellStyle name="Comma 8 3 3 4 5" xfId="16229"/>
    <cellStyle name="Comma 8 3 3 4 5 2" xfId="30254"/>
    <cellStyle name="Comma 8 3 3 4 6" xfId="18231"/>
    <cellStyle name="Comma 8 3 3 4 6 2" xfId="32256"/>
    <cellStyle name="Comma 8 3 3 4 7" xfId="24245"/>
    <cellStyle name="Comma 8 3 3 5" xfId="1468"/>
    <cellStyle name="Comma 8 3 3 5 2" xfId="12210"/>
    <cellStyle name="Comma 8 3 3 5 2 2" xfId="20235"/>
    <cellStyle name="Comma 8 3 3 5 2 2 2" xfId="34260"/>
    <cellStyle name="Comma 8 3 3 5 2 3" xfId="26249"/>
    <cellStyle name="Comma 8 3 3 5 3" xfId="14225"/>
    <cellStyle name="Comma 8 3 3 5 3 2" xfId="22240"/>
    <cellStyle name="Comma 8 3 3 5 3 2 2" xfId="36265"/>
    <cellStyle name="Comma 8 3 3 5 3 3" xfId="28254"/>
    <cellStyle name="Comma 8 3 3 5 4" xfId="16231"/>
    <cellStyle name="Comma 8 3 3 5 4 2" xfId="30256"/>
    <cellStyle name="Comma 8 3 3 5 5" xfId="18233"/>
    <cellStyle name="Comma 8 3 3 5 5 2" xfId="32258"/>
    <cellStyle name="Comma 8 3 3 5 6" xfId="24247"/>
    <cellStyle name="Comma 8 3 3 6" xfId="12201"/>
    <cellStyle name="Comma 8 3 3 6 2" xfId="20226"/>
    <cellStyle name="Comma 8 3 3 6 2 2" xfId="34251"/>
    <cellStyle name="Comma 8 3 3 6 3" xfId="26240"/>
    <cellStyle name="Comma 8 3 3 7" xfId="14216"/>
    <cellStyle name="Comma 8 3 3 7 2" xfId="22231"/>
    <cellStyle name="Comma 8 3 3 7 2 2" xfId="36256"/>
    <cellStyle name="Comma 8 3 3 7 3" xfId="28245"/>
    <cellStyle name="Comma 8 3 3 8" xfId="16222"/>
    <cellStyle name="Comma 8 3 3 8 2" xfId="30247"/>
    <cellStyle name="Comma 8 3 3 9" xfId="18224"/>
    <cellStyle name="Comma 8 3 3 9 2" xfId="32249"/>
    <cellStyle name="Comma 8 3 4" xfId="1469"/>
    <cellStyle name="Comma 8 3 4 2" xfId="1470"/>
    <cellStyle name="Comma 8 3 4 2 2" xfId="1471"/>
    <cellStyle name="Comma 8 3 4 2 2 2" xfId="12213"/>
    <cellStyle name="Comma 8 3 4 2 2 2 2" xfId="20238"/>
    <cellStyle name="Comma 8 3 4 2 2 2 2 2" xfId="34263"/>
    <cellStyle name="Comma 8 3 4 2 2 2 3" xfId="26252"/>
    <cellStyle name="Comma 8 3 4 2 2 3" xfId="14228"/>
    <cellStyle name="Comma 8 3 4 2 2 3 2" xfId="22243"/>
    <cellStyle name="Comma 8 3 4 2 2 3 2 2" xfId="36268"/>
    <cellStyle name="Comma 8 3 4 2 2 3 3" xfId="28257"/>
    <cellStyle name="Comma 8 3 4 2 2 4" xfId="16234"/>
    <cellStyle name="Comma 8 3 4 2 2 4 2" xfId="30259"/>
    <cellStyle name="Comma 8 3 4 2 2 5" xfId="18236"/>
    <cellStyle name="Comma 8 3 4 2 2 5 2" xfId="32261"/>
    <cellStyle name="Comma 8 3 4 2 2 6" xfId="24250"/>
    <cellStyle name="Comma 8 3 4 2 3" xfId="12212"/>
    <cellStyle name="Comma 8 3 4 2 3 2" xfId="20237"/>
    <cellStyle name="Comma 8 3 4 2 3 2 2" xfId="34262"/>
    <cellStyle name="Comma 8 3 4 2 3 3" xfId="26251"/>
    <cellStyle name="Comma 8 3 4 2 4" xfId="14227"/>
    <cellStyle name="Comma 8 3 4 2 4 2" xfId="22242"/>
    <cellStyle name="Comma 8 3 4 2 4 2 2" xfId="36267"/>
    <cellStyle name="Comma 8 3 4 2 4 3" xfId="28256"/>
    <cellStyle name="Comma 8 3 4 2 5" xfId="16233"/>
    <cellStyle name="Comma 8 3 4 2 5 2" xfId="30258"/>
    <cellStyle name="Comma 8 3 4 2 6" xfId="18235"/>
    <cellStyle name="Comma 8 3 4 2 6 2" xfId="32260"/>
    <cellStyle name="Comma 8 3 4 2 7" xfId="24249"/>
    <cellStyle name="Comma 8 3 4 3" xfId="1472"/>
    <cellStyle name="Comma 8 3 4 3 2" xfId="12214"/>
    <cellStyle name="Comma 8 3 4 3 2 2" xfId="20239"/>
    <cellStyle name="Comma 8 3 4 3 2 2 2" xfId="34264"/>
    <cellStyle name="Comma 8 3 4 3 2 3" xfId="26253"/>
    <cellStyle name="Comma 8 3 4 3 3" xfId="14229"/>
    <cellStyle name="Comma 8 3 4 3 3 2" xfId="22244"/>
    <cellStyle name="Comma 8 3 4 3 3 2 2" xfId="36269"/>
    <cellStyle name="Comma 8 3 4 3 3 3" xfId="28258"/>
    <cellStyle name="Comma 8 3 4 3 4" xfId="16235"/>
    <cellStyle name="Comma 8 3 4 3 4 2" xfId="30260"/>
    <cellStyle name="Comma 8 3 4 3 5" xfId="18237"/>
    <cellStyle name="Comma 8 3 4 3 5 2" xfId="32262"/>
    <cellStyle name="Comma 8 3 4 3 6" xfId="24251"/>
    <cellStyle name="Comma 8 3 4 4" xfId="12211"/>
    <cellStyle name="Comma 8 3 4 4 2" xfId="20236"/>
    <cellStyle name="Comma 8 3 4 4 2 2" xfId="34261"/>
    <cellStyle name="Comma 8 3 4 4 3" xfId="26250"/>
    <cellStyle name="Comma 8 3 4 5" xfId="14226"/>
    <cellStyle name="Comma 8 3 4 5 2" xfId="22241"/>
    <cellStyle name="Comma 8 3 4 5 2 2" xfId="36266"/>
    <cellStyle name="Comma 8 3 4 5 3" xfId="28255"/>
    <cellStyle name="Comma 8 3 4 6" xfId="16232"/>
    <cellStyle name="Comma 8 3 4 6 2" xfId="30257"/>
    <cellStyle name="Comma 8 3 4 7" xfId="18234"/>
    <cellStyle name="Comma 8 3 4 7 2" xfId="32259"/>
    <cellStyle name="Comma 8 3 4 8" xfId="24248"/>
    <cellStyle name="Comma 8 3 5" xfId="1473"/>
    <cellStyle name="Comma 8 3 5 2" xfId="1474"/>
    <cellStyle name="Comma 8 3 5 2 2" xfId="12216"/>
    <cellStyle name="Comma 8 3 5 2 2 2" xfId="20241"/>
    <cellStyle name="Comma 8 3 5 2 2 2 2" xfId="34266"/>
    <cellStyle name="Comma 8 3 5 2 2 3" xfId="26255"/>
    <cellStyle name="Comma 8 3 5 2 3" xfId="14231"/>
    <cellStyle name="Comma 8 3 5 2 3 2" xfId="22246"/>
    <cellStyle name="Comma 8 3 5 2 3 2 2" xfId="36271"/>
    <cellStyle name="Comma 8 3 5 2 3 3" xfId="28260"/>
    <cellStyle name="Comma 8 3 5 2 4" xfId="16237"/>
    <cellStyle name="Comma 8 3 5 2 4 2" xfId="30262"/>
    <cellStyle name="Comma 8 3 5 2 5" xfId="18239"/>
    <cellStyle name="Comma 8 3 5 2 5 2" xfId="32264"/>
    <cellStyle name="Comma 8 3 5 2 6" xfId="24253"/>
    <cellStyle name="Comma 8 3 5 3" xfId="12215"/>
    <cellStyle name="Comma 8 3 5 3 2" xfId="20240"/>
    <cellStyle name="Comma 8 3 5 3 2 2" xfId="34265"/>
    <cellStyle name="Comma 8 3 5 3 3" xfId="26254"/>
    <cellStyle name="Comma 8 3 5 4" xfId="14230"/>
    <cellStyle name="Comma 8 3 5 4 2" xfId="22245"/>
    <cellStyle name="Comma 8 3 5 4 2 2" xfId="36270"/>
    <cellStyle name="Comma 8 3 5 4 3" xfId="28259"/>
    <cellStyle name="Comma 8 3 5 5" xfId="16236"/>
    <cellStyle name="Comma 8 3 5 5 2" xfId="30261"/>
    <cellStyle name="Comma 8 3 5 6" xfId="18238"/>
    <cellStyle name="Comma 8 3 5 6 2" xfId="32263"/>
    <cellStyle name="Comma 8 3 5 7" xfId="24252"/>
    <cellStyle name="Comma 8 3 6" xfId="1475"/>
    <cellStyle name="Comma 8 3 6 2" xfId="1476"/>
    <cellStyle name="Comma 8 3 6 2 2" xfId="12218"/>
    <cellStyle name="Comma 8 3 6 2 2 2" xfId="20243"/>
    <cellStyle name="Comma 8 3 6 2 2 2 2" xfId="34268"/>
    <cellStyle name="Comma 8 3 6 2 2 3" xfId="26257"/>
    <cellStyle name="Comma 8 3 6 2 3" xfId="14233"/>
    <cellStyle name="Comma 8 3 6 2 3 2" xfId="22248"/>
    <cellStyle name="Comma 8 3 6 2 3 2 2" xfId="36273"/>
    <cellStyle name="Comma 8 3 6 2 3 3" xfId="28262"/>
    <cellStyle name="Comma 8 3 6 2 4" xfId="16239"/>
    <cellStyle name="Comma 8 3 6 2 4 2" xfId="30264"/>
    <cellStyle name="Comma 8 3 6 2 5" xfId="18241"/>
    <cellStyle name="Comma 8 3 6 2 5 2" xfId="32266"/>
    <cellStyle name="Comma 8 3 6 2 6" xfId="24255"/>
    <cellStyle name="Comma 8 3 6 3" xfId="12217"/>
    <cellStyle name="Comma 8 3 6 3 2" xfId="20242"/>
    <cellStyle name="Comma 8 3 6 3 2 2" xfId="34267"/>
    <cellStyle name="Comma 8 3 6 3 3" xfId="26256"/>
    <cellStyle name="Comma 8 3 6 4" xfId="14232"/>
    <cellStyle name="Comma 8 3 6 4 2" xfId="22247"/>
    <cellStyle name="Comma 8 3 6 4 2 2" xfId="36272"/>
    <cellStyle name="Comma 8 3 6 4 3" xfId="28261"/>
    <cellStyle name="Comma 8 3 6 5" xfId="16238"/>
    <cellStyle name="Comma 8 3 6 5 2" xfId="30263"/>
    <cellStyle name="Comma 8 3 6 6" xfId="18240"/>
    <cellStyle name="Comma 8 3 6 6 2" xfId="32265"/>
    <cellStyle name="Comma 8 3 6 7" xfId="24254"/>
    <cellStyle name="Comma 8 3 7" xfId="1477"/>
    <cellStyle name="Comma 8 3 7 2" xfId="12219"/>
    <cellStyle name="Comma 8 3 7 2 2" xfId="20244"/>
    <cellStyle name="Comma 8 3 7 2 2 2" xfId="34269"/>
    <cellStyle name="Comma 8 3 7 2 3" xfId="26258"/>
    <cellStyle name="Comma 8 3 7 3" xfId="14234"/>
    <cellStyle name="Comma 8 3 7 3 2" xfId="22249"/>
    <cellStyle name="Comma 8 3 7 3 2 2" xfId="36274"/>
    <cellStyle name="Comma 8 3 7 3 3" xfId="28263"/>
    <cellStyle name="Comma 8 3 7 4" xfId="16240"/>
    <cellStyle name="Comma 8 3 7 4 2" xfId="30265"/>
    <cellStyle name="Comma 8 3 7 5" xfId="18242"/>
    <cellStyle name="Comma 8 3 7 5 2" xfId="32267"/>
    <cellStyle name="Comma 8 3 7 6" xfId="24256"/>
    <cellStyle name="Comma 8 3 8" xfId="12180"/>
    <cellStyle name="Comma 8 3 8 2" xfId="20205"/>
    <cellStyle name="Comma 8 3 8 2 2" xfId="34230"/>
    <cellStyle name="Comma 8 3 8 3" xfId="26219"/>
    <cellStyle name="Comma 8 3 9" xfId="14195"/>
    <cellStyle name="Comma 8 3 9 2" xfId="22210"/>
    <cellStyle name="Comma 8 3 9 2 2" xfId="36235"/>
    <cellStyle name="Comma 8 3 9 3" xfId="28224"/>
    <cellStyle name="Comma 8 4" xfId="1478"/>
    <cellStyle name="Comma 8 4 10" xfId="18243"/>
    <cellStyle name="Comma 8 4 10 2" xfId="32268"/>
    <cellStyle name="Comma 8 4 11" xfId="24257"/>
    <cellStyle name="Comma 8 4 2" xfId="1479"/>
    <cellStyle name="Comma 8 4 2 10" xfId="24258"/>
    <cellStyle name="Comma 8 4 2 2" xfId="1480"/>
    <cellStyle name="Comma 8 4 2 2 2" xfId="1481"/>
    <cellStyle name="Comma 8 4 2 2 2 2" xfId="1482"/>
    <cellStyle name="Comma 8 4 2 2 2 2 2" xfId="12224"/>
    <cellStyle name="Comma 8 4 2 2 2 2 2 2" xfId="20249"/>
    <cellStyle name="Comma 8 4 2 2 2 2 2 2 2" xfId="34274"/>
    <cellStyle name="Comma 8 4 2 2 2 2 2 3" xfId="26263"/>
    <cellStyle name="Comma 8 4 2 2 2 2 3" xfId="14239"/>
    <cellStyle name="Comma 8 4 2 2 2 2 3 2" xfId="22254"/>
    <cellStyle name="Comma 8 4 2 2 2 2 3 2 2" xfId="36279"/>
    <cellStyle name="Comma 8 4 2 2 2 2 3 3" xfId="28268"/>
    <cellStyle name="Comma 8 4 2 2 2 2 4" xfId="16245"/>
    <cellStyle name="Comma 8 4 2 2 2 2 4 2" xfId="30270"/>
    <cellStyle name="Comma 8 4 2 2 2 2 5" xfId="18247"/>
    <cellStyle name="Comma 8 4 2 2 2 2 5 2" xfId="32272"/>
    <cellStyle name="Comma 8 4 2 2 2 2 6" xfId="24261"/>
    <cellStyle name="Comma 8 4 2 2 2 3" xfId="12223"/>
    <cellStyle name="Comma 8 4 2 2 2 3 2" xfId="20248"/>
    <cellStyle name="Comma 8 4 2 2 2 3 2 2" xfId="34273"/>
    <cellStyle name="Comma 8 4 2 2 2 3 3" xfId="26262"/>
    <cellStyle name="Comma 8 4 2 2 2 4" xfId="14238"/>
    <cellStyle name="Comma 8 4 2 2 2 4 2" xfId="22253"/>
    <cellStyle name="Comma 8 4 2 2 2 4 2 2" xfId="36278"/>
    <cellStyle name="Comma 8 4 2 2 2 4 3" xfId="28267"/>
    <cellStyle name="Comma 8 4 2 2 2 5" xfId="16244"/>
    <cellStyle name="Comma 8 4 2 2 2 5 2" xfId="30269"/>
    <cellStyle name="Comma 8 4 2 2 2 6" xfId="18246"/>
    <cellStyle name="Comma 8 4 2 2 2 6 2" xfId="32271"/>
    <cellStyle name="Comma 8 4 2 2 2 7" xfId="24260"/>
    <cellStyle name="Comma 8 4 2 2 3" xfId="1483"/>
    <cellStyle name="Comma 8 4 2 2 3 2" xfId="12225"/>
    <cellStyle name="Comma 8 4 2 2 3 2 2" xfId="20250"/>
    <cellStyle name="Comma 8 4 2 2 3 2 2 2" xfId="34275"/>
    <cellStyle name="Comma 8 4 2 2 3 2 3" xfId="26264"/>
    <cellStyle name="Comma 8 4 2 2 3 3" xfId="14240"/>
    <cellStyle name="Comma 8 4 2 2 3 3 2" xfId="22255"/>
    <cellStyle name="Comma 8 4 2 2 3 3 2 2" xfId="36280"/>
    <cellStyle name="Comma 8 4 2 2 3 3 3" xfId="28269"/>
    <cellStyle name="Comma 8 4 2 2 3 4" xfId="16246"/>
    <cellStyle name="Comma 8 4 2 2 3 4 2" xfId="30271"/>
    <cellStyle name="Comma 8 4 2 2 3 5" xfId="18248"/>
    <cellStyle name="Comma 8 4 2 2 3 5 2" xfId="32273"/>
    <cellStyle name="Comma 8 4 2 2 3 6" xfId="24262"/>
    <cellStyle name="Comma 8 4 2 2 4" xfId="12222"/>
    <cellStyle name="Comma 8 4 2 2 4 2" xfId="20247"/>
    <cellStyle name="Comma 8 4 2 2 4 2 2" xfId="34272"/>
    <cellStyle name="Comma 8 4 2 2 4 3" xfId="26261"/>
    <cellStyle name="Comma 8 4 2 2 5" xfId="14237"/>
    <cellStyle name="Comma 8 4 2 2 5 2" xfId="22252"/>
    <cellStyle name="Comma 8 4 2 2 5 2 2" xfId="36277"/>
    <cellStyle name="Comma 8 4 2 2 5 3" xfId="28266"/>
    <cellStyle name="Comma 8 4 2 2 6" xfId="16243"/>
    <cellStyle name="Comma 8 4 2 2 6 2" xfId="30268"/>
    <cellStyle name="Comma 8 4 2 2 7" xfId="18245"/>
    <cellStyle name="Comma 8 4 2 2 7 2" xfId="32270"/>
    <cellStyle name="Comma 8 4 2 2 8" xfId="24259"/>
    <cellStyle name="Comma 8 4 2 3" xfId="1484"/>
    <cellStyle name="Comma 8 4 2 3 2" xfId="1485"/>
    <cellStyle name="Comma 8 4 2 3 2 2" xfId="12227"/>
    <cellStyle name="Comma 8 4 2 3 2 2 2" xfId="20252"/>
    <cellStyle name="Comma 8 4 2 3 2 2 2 2" xfId="34277"/>
    <cellStyle name="Comma 8 4 2 3 2 2 3" xfId="26266"/>
    <cellStyle name="Comma 8 4 2 3 2 3" xfId="14242"/>
    <cellStyle name="Comma 8 4 2 3 2 3 2" xfId="22257"/>
    <cellStyle name="Comma 8 4 2 3 2 3 2 2" xfId="36282"/>
    <cellStyle name="Comma 8 4 2 3 2 3 3" xfId="28271"/>
    <cellStyle name="Comma 8 4 2 3 2 4" xfId="16248"/>
    <cellStyle name="Comma 8 4 2 3 2 4 2" xfId="30273"/>
    <cellStyle name="Comma 8 4 2 3 2 5" xfId="18250"/>
    <cellStyle name="Comma 8 4 2 3 2 5 2" xfId="32275"/>
    <cellStyle name="Comma 8 4 2 3 2 6" xfId="24264"/>
    <cellStyle name="Comma 8 4 2 3 3" xfId="12226"/>
    <cellStyle name="Comma 8 4 2 3 3 2" xfId="20251"/>
    <cellStyle name="Comma 8 4 2 3 3 2 2" xfId="34276"/>
    <cellStyle name="Comma 8 4 2 3 3 3" xfId="26265"/>
    <cellStyle name="Comma 8 4 2 3 4" xfId="14241"/>
    <cellStyle name="Comma 8 4 2 3 4 2" xfId="22256"/>
    <cellStyle name="Comma 8 4 2 3 4 2 2" xfId="36281"/>
    <cellStyle name="Comma 8 4 2 3 4 3" xfId="28270"/>
    <cellStyle name="Comma 8 4 2 3 5" xfId="16247"/>
    <cellStyle name="Comma 8 4 2 3 5 2" xfId="30272"/>
    <cellStyle name="Comma 8 4 2 3 6" xfId="18249"/>
    <cellStyle name="Comma 8 4 2 3 6 2" xfId="32274"/>
    <cellStyle name="Comma 8 4 2 3 7" xfId="24263"/>
    <cellStyle name="Comma 8 4 2 4" xfId="1486"/>
    <cellStyle name="Comma 8 4 2 4 2" xfId="1487"/>
    <cellStyle name="Comma 8 4 2 4 2 2" xfId="12229"/>
    <cellStyle name="Comma 8 4 2 4 2 2 2" xfId="20254"/>
    <cellStyle name="Comma 8 4 2 4 2 2 2 2" xfId="34279"/>
    <cellStyle name="Comma 8 4 2 4 2 2 3" xfId="26268"/>
    <cellStyle name="Comma 8 4 2 4 2 3" xfId="14244"/>
    <cellStyle name="Comma 8 4 2 4 2 3 2" xfId="22259"/>
    <cellStyle name="Comma 8 4 2 4 2 3 2 2" xfId="36284"/>
    <cellStyle name="Comma 8 4 2 4 2 3 3" xfId="28273"/>
    <cellStyle name="Comma 8 4 2 4 2 4" xfId="16250"/>
    <cellStyle name="Comma 8 4 2 4 2 4 2" xfId="30275"/>
    <cellStyle name="Comma 8 4 2 4 2 5" xfId="18252"/>
    <cellStyle name="Comma 8 4 2 4 2 5 2" xfId="32277"/>
    <cellStyle name="Comma 8 4 2 4 2 6" xfId="24266"/>
    <cellStyle name="Comma 8 4 2 4 3" xfId="12228"/>
    <cellStyle name="Comma 8 4 2 4 3 2" xfId="20253"/>
    <cellStyle name="Comma 8 4 2 4 3 2 2" xfId="34278"/>
    <cellStyle name="Comma 8 4 2 4 3 3" xfId="26267"/>
    <cellStyle name="Comma 8 4 2 4 4" xfId="14243"/>
    <cellStyle name="Comma 8 4 2 4 4 2" xfId="22258"/>
    <cellStyle name="Comma 8 4 2 4 4 2 2" xfId="36283"/>
    <cellStyle name="Comma 8 4 2 4 4 3" xfId="28272"/>
    <cellStyle name="Comma 8 4 2 4 5" xfId="16249"/>
    <cellStyle name="Comma 8 4 2 4 5 2" xfId="30274"/>
    <cellStyle name="Comma 8 4 2 4 6" xfId="18251"/>
    <cellStyle name="Comma 8 4 2 4 6 2" xfId="32276"/>
    <cellStyle name="Comma 8 4 2 4 7" xfId="24265"/>
    <cellStyle name="Comma 8 4 2 5" xfId="1488"/>
    <cellStyle name="Comma 8 4 2 5 2" xfId="12230"/>
    <cellStyle name="Comma 8 4 2 5 2 2" xfId="20255"/>
    <cellStyle name="Comma 8 4 2 5 2 2 2" xfId="34280"/>
    <cellStyle name="Comma 8 4 2 5 2 3" xfId="26269"/>
    <cellStyle name="Comma 8 4 2 5 3" xfId="14245"/>
    <cellStyle name="Comma 8 4 2 5 3 2" xfId="22260"/>
    <cellStyle name="Comma 8 4 2 5 3 2 2" xfId="36285"/>
    <cellStyle name="Comma 8 4 2 5 3 3" xfId="28274"/>
    <cellStyle name="Comma 8 4 2 5 4" xfId="16251"/>
    <cellStyle name="Comma 8 4 2 5 4 2" xfId="30276"/>
    <cellStyle name="Comma 8 4 2 5 5" xfId="18253"/>
    <cellStyle name="Comma 8 4 2 5 5 2" xfId="32278"/>
    <cellStyle name="Comma 8 4 2 5 6" xfId="24267"/>
    <cellStyle name="Comma 8 4 2 6" xfId="12221"/>
    <cellStyle name="Comma 8 4 2 6 2" xfId="20246"/>
    <cellStyle name="Comma 8 4 2 6 2 2" xfId="34271"/>
    <cellStyle name="Comma 8 4 2 6 3" xfId="26260"/>
    <cellStyle name="Comma 8 4 2 7" xfId="14236"/>
    <cellStyle name="Comma 8 4 2 7 2" xfId="22251"/>
    <cellStyle name="Comma 8 4 2 7 2 2" xfId="36276"/>
    <cellStyle name="Comma 8 4 2 7 3" xfId="28265"/>
    <cellStyle name="Comma 8 4 2 8" xfId="16242"/>
    <cellStyle name="Comma 8 4 2 8 2" xfId="30267"/>
    <cellStyle name="Comma 8 4 2 9" xfId="18244"/>
    <cellStyle name="Comma 8 4 2 9 2" xfId="32269"/>
    <cellStyle name="Comma 8 4 3" xfId="1489"/>
    <cellStyle name="Comma 8 4 3 2" xfId="1490"/>
    <cellStyle name="Comma 8 4 3 2 2" xfId="1491"/>
    <cellStyle name="Comma 8 4 3 2 2 2" xfId="12233"/>
    <cellStyle name="Comma 8 4 3 2 2 2 2" xfId="20258"/>
    <cellStyle name="Comma 8 4 3 2 2 2 2 2" xfId="34283"/>
    <cellStyle name="Comma 8 4 3 2 2 2 3" xfId="26272"/>
    <cellStyle name="Comma 8 4 3 2 2 3" xfId="14248"/>
    <cellStyle name="Comma 8 4 3 2 2 3 2" xfId="22263"/>
    <cellStyle name="Comma 8 4 3 2 2 3 2 2" xfId="36288"/>
    <cellStyle name="Comma 8 4 3 2 2 3 3" xfId="28277"/>
    <cellStyle name="Comma 8 4 3 2 2 4" xfId="16254"/>
    <cellStyle name="Comma 8 4 3 2 2 4 2" xfId="30279"/>
    <cellStyle name="Comma 8 4 3 2 2 5" xfId="18256"/>
    <cellStyle name="Comma 8 4 3 2 2 5 2" xfId="32281"/>
    <cellStyle name="Comma 8 4 3 2 2 6" xfId="24270"/>
    <cellStyle name="Comma 8 4 3 2 3" xfId="12232"/>
    <cellStyle name="Comma 8 4 3 2 3 2" xfId="20257"/>
    <cellStyle name="Comma 8 4 3 2 3 2 2" xfId="34282"/>
    <cellStyle name="Comma 8 4 3 2 3 3" xfId="26271"/>
    <cellStyle name="Comma 8 4 3 2 4" xfId="14247"/>
    <cellStyle name="Comma 8 4 3 2 4 2" xfId="22262"/>
    <cellStyle name="Comma 8 4 3 2 4 2 2" xfId="36287"/>
    <cellStyle name="Comma 8 4 3 2 4 3" xfId="28276"/>
    <cellStyle name="Comma 8 4 3 2 5" xfId="16253"/>
    <cellStyle name="Comma 8 4 3 2 5 2" xfId="30278"/>
    <cellStyle name="Comma 8 4 3 2 6" xfId="18255"/>
    <cellStyle name="Comma 8 4 3 2 6 2" xfId="32280"/>
    <cellStyle name="Comma 8 4 3 2 7" xfId="24269"/>
    <cellStyle name="Comma 8 4 3 3" xfId="1492"/>
    <cellStyle name="Comma 8 4 3 3 2" xfId="12234"/>
    <cellStyle name="Comma 8 4 3 3 2 2" xfId="20259"/>
    <cellStyle name="Comma 8 4 3 3 2 2 2" xfId="34284"/>
    <cellStyle name="Comma 8 4 3 3 2 3" xfId="26273"/>
    <cellStyle name="Comma 8 4 3 3 3" xfId="14249"/>
    <cellStyle name="Comma 8 4 3 3 3 2" xfId="22264"/>
    <cellStyle name="Comma 8 4 3 3 3 2 2" xfId="36289"/>
    <cellStyle name="Comma 8 4 3 3 3 3" xfId="28278"/>
    <cellStyle name="Comma 8 4 3 3 4" xfId="16255"/>
    <cellStyle name="Comma 8 4 3 3 4 2" xfId="30280"/>
    <cellStyle name="Comma 8 4 3 3 5" xfId="18257"/>
    <cellStyle name="Comma 8 4 3 3 5 2" xfId="32282"/>
    <cellStyle name="Comma 8 4 3 3 6" xfId="24271"/>
    <cellStyle name="Comma 8 4 3 4" xfId="12231"/>
    <cellStyle name="Comma 8 4 3 4 2" xfId="20256"/>
    <cellStyle name="Comma 8 4 3 4 2 2" xfId="34281"/>
    <cellStyle name="Comma 8 4 3 4 3" xfId="26270"/>
    <cellStyle name="Comma 8 4 3 5" xfId="14246"/>
    <cellStyle name="Comma 8 4 3 5 2" xfId="22261"/>
    <cellStyle name="Comma 8 4 3 5 2 2" xfId="36286"/>
    <cellStyle name="Comma 8 4 3 5 3" xfId="28275"/>
    <cellStyle name="Comma 8 4 3 6" xfId="16252"/>
    <cellStyle name="Comma 8 4 3 6 2" xfId="30277"/>
    <cellStyle name="Comma 8 4 3 7" xfId="18254"/>
    <cellStyle name="Comma 8 4 3 7 2" xfId="32279"/>
    <cellStyle name="Comma 8 4 3 8" xfId="24268"/>
    <cellStyle name="Comma 8 4 4" xfId="1493"/>
    <cellStyle name="Comma 8 4 4 2" xfId="1494"/>
    <cellStyle name="Comma 8 4 4 2 2" xfId="12236"/>
    <cellStyle name="Comma 8 4 4 2 2 2" xfId="20261"/>
    <cellStyle name="Comma 8 4 4 2 2 2 2" xfId="34286"/>
    <cellStyle name="Comma 8 4 4 2 2 3" xfId="26275"/>
    <cellStyle name="Comma 8 4 4 2 3" xfId="14251"/>
    <cellStyle name="Comma 8 4 4 2 3 2" xfId="22266"/>
    <cellStyle name="Comma 8 4 4 2 3 2 2" xfId="36291"/>
    <cellStyle name="Comma 8 4 4 2 3 3" xfId="28280"/>
    <cellStyle name="Comma 8 4 4 2 4" xfId="16257"/>
    <cellStyle name="Comma 8 4 4 2 4 2" xfId="30282"/>
    <cellStyle name="Comma 8 4 4 2 5" xfId="18259"/>
    <cellStyle name="Comma 8 4 4 2 5 2" xfId="32284"/>
    <cellStyle name="Comma 8 4 4 2 6" xfId="24273"/>
    <cellStyle name="Comma 8 4 4 3" xfId="12235"/>
    <cellStyle name="Comma 8 4 4 3 2" xfId="20260"/>
    <cellStyle name="Comma 8 4 4 3 2 2" xfId="34285"/>
    <cellStyle name="Comma 8 4 4 3 3" xfId="26274"/>
    <cellStyle name="Comma 8 4 4 4" xfId="14250"/>
    <cellStyle name="Comma 8 4 4 4 2" xfId="22265"/>
    <cellStyle name="Comma 8 4 4 4 2 2" xfId="36290"/>
    <cellStyle name="Comma 8 4 4 4 3" xfId="28279"/>
    <cellStyle name="Comma 8 4 4 5" xfId="16256"/>
    <cellStyle name="Comma 8 4 4 5 2" xfId="30281"/>
    <cellStyle name="Comma 8 4 4 6" xfId="18258"/>
    <cellStyle name="Comma 8 4 4 6 2" xfId="32283"/>
    <cellStyle name="Comma 8 4 4 7" xfId="24272"/>
    <cellStyle name="Comma 8 4 5" xfId="1495"/>
    <cellStyle name="Comma 8 4 5 2" xfId="1496"/>
    <cellStyle name="Comma 8 4 5 2 2" xfId="12238"/>
    <cellStyle name="Comma 8 4 5 2 2 2" xfId="20263"/>
    <cellStyle name="Comma 8 4 5 2 2 2 2" xfId="34288"/>
    <cellStyle name="Comma 8 4 5 2 2 3" xfId="26277"/>
    <cellStyle name="Comma 8 4 5 2 3" xfId="14253"/>
    <cellStyle name="Comma 8 4 5 2 3 2" xfId="22268"/>
    <cellStyle name="Comma 8 4 5 2 3 2 2" xfId="36293"/>
    <cellStyle name="Comma 8 4 5 2 3 3" xfId="28282"/>
    <cellStyle name="Comma 8 4 5 2 4" xfId="16259"/>
    <cellStyle name="Comma 8 4 5 2 4 2" xfId="30284"/>
    <cellStyle name="Comma 8 4 5 2 5" xfId="18261"/>
    <cellStyle name="Comma 8 4 5 2 5 2" xfId="32286"/>
    <cellStyle name="Comma 8 4 5 2 6" xfId="24275"/>
    <cellStyle name="Comma 8 4 5 3" xfId="12237"/>
    <cellStyle name="Comma 8 4 5 3 2" xfId="20262"/>
    <cellStyle name="Comma 8 4 5 3 2 2" xfId="34287"/>
    <cellStyle name="Comma 8 4 5 3 3" xfId="26276"/>
    <cellStyle name="Comma 8 4 5 4" xfId="14252"/>
    <cellStyle name="Comma 8 4 5 4 2" xfId="22267"/>
    <cellStyle name="Comma 8 4 5 4 2 2" xfId="36292"/>
    <cellStyle name="Comma 8 4 5 4 3" xfId="28281"/>
    <cellStyle name="Comma 8 4 5 5" xfId="16258"/>
    <cellStyle name="Comma 8 4 5 5 2" xfId="30283"/>
    <cellStyle name="Comma 8 4 5 6" xfId="18260"/>
    <cellStyle name="Comma 8 4 5 6 2" xfId="32285"/>
    <cellStyle name="Comma 8 4 5 7" xfId="24274"/>
    <cellStyle name="Comma 8 4 6" xfId="1497"/>
    <cellStyle name="Comma 8 4 6 2" xfId="12239"/>
    <cellStyle name="Comma 8 4 6 2 2" xfId="20264"/>
    <cellStyle name="Comma 8 4 6 2 2 2" xfId="34289"/>
    <cellStyle name="Comma 8 4 6 2 3" xfId="26278"/>
    <cellStyle name="Comma 8 4 6 3" xfId="14254"/>
    <cellStyle name="Comma 8 4 6 3 2" xfId="22269"/>
    <cellStyle name="Comma 8 4 6 3 2 2" xfId="36294"/>
    <cellStyle name="Comma 8 4 6 3 3" xfId="28283"/>
    <cellStyle name="Comma 8 4 6 4" xfId="16260"/>
    <cellStyle name="Comma 8 4 6 4 2" xfId="30285"/>
    <cellStyle name="Comma 8 4 6 5" xfId="18262"/>
    <cellStyle name="Comma 8 4 6 5 2" xfId="32287"/>
    <cellStyle name="Comma 8 4 6 6" xfId="24276"/>
    <cellStyle name="Comma 8 4 7" xfId="12220"/>
    <cellStyle name="Comma 8 4 7 2" xfId="20245"/>
    <cellStyle name="Comma 8 4 7 2 2" xfId="34270"/>
    <cellStyle name="Comma 8 4 7 3" xfId="26259"/>
    <cellStyle name="Comma 8 4 8" xfId="14235"/>
    <cellStyle name="Comma 8 4 8 2" xfId="22250"/>
    <cellStyle name="Comma 8 4 8 2 2" xfId="36275"/>
    <cellStyle name="Comma 8 4 8 3" xfId="28264"/>
    <cellStyle name="Comma 8 4 9" xfId="16241"/>
    <cellStyle name="Comma 8 4 9 2" xfId="30266"/>
    <cellStyle name="Comma 8 5" xfId="1498"/>
    <cellStyle name="Comma 8 5 10" xfId="24277"/>
    <cellStyle name="Comma 8 5 2" xfId="1499"/>
    <cellStyle name="Comma 8 5 2 2" xfId="1500"/>
    <cellStyle name="Comma 8 5 2 2 2" xfId="1501"/>
    <cellStyle name="Comma 8 5 2 2 2 2" xfId="12243"/>
    <cellStyle name="Comma 8 5 2 2 2 2 2" xfId="20268"/>
    <cellStyle name="Comma 8 5 2 2 2 2 2 2" xfId="34293"/>
    <cellStyle name="Comma 8 5 2 2 2 2 3" xfId="26282"/>
    <cellStyle name="Comma 8 5 2 2 2 3" xfId="14258"/>
    <cellStyle name="Comma 8 5 2 2 2 3 2" xfId="22273"/>
    <cellStyle name="Comma 8 5 2 2 2 3 2 2" xfId="36298"/>
    <cellStyle name="Comma 8 5 2 2 2 3 3" xfId="28287"/>
    <cellStyle name="Comma 8 5 2 2 2 4" xfId="16264"/>
    <cellStyle name="Comma 8 5 2 2 2 4 2" xfId="30289"/>
    <cellStyle name="Comma 8 5 2 2 2 5" xfId="18266"/>
    <cellStyle name="Comma 8 5 2 2 2 5 2" xfId="32291"/>
    <cellStyle name="Comma 8 5 2 2 2 6" xfId="24280"/>
    <cellStyle name="Comma 8 5 2 2 3" xfId="12242"/>
    <cellStyle name="Comma 8 5 2 2 3 2" xfId="20267"/>
    <cellStyle name="Comma 8 5 2 2 3 2 2" xfId="34292"/>
    <cellStyle name="Comma 8 5 2 2 3 3" xfId="26281"/>
    <cellStyle name="Comma 8 5 2 2 4" xfId="14257"/>
    <cellStyle name="Comma 8 5 2 2 4 2" xfId="22272"/>
    <cellStyle name="Comma 8 5 2 2 4 2 2" xfId="36297"/>
    <cellStyle name="Comma 8 5 2 2 4 3" xfId="28286"/>
    <cellStyle name="Comma 8 5 2 2 5" xfId="16263"/>
    <cellStyle name="Comma 8 5 2 2 5 2" xfId="30288"/>
    <cellStyle name="Comma 8 5 2 2 6" xfId="18265"/>
    <cellStyle name="Comma 8 5 2 2 6 2" xfId="32290"/>
    <cellStyle name="Comma 8 5 2 2 7" xfId="24279"/>
    <cellStyle name="Comma 8 5 2 3" xfId="1502"/>
    <cellStyle name="Comma 8 5 2 3 2" xfId="12244"/>
    <cellStyle name="Comma 8 5 2 3 2 2" xfId="20269"/>
    <cellStyle name="Comma 8 5 2 3 2 2 2" xfId="34294"/>
    <cellStyle name="Comma 8 5 2 3 2 3" xfId="26283"/>
    <cellStyle name="Comma 8 5 2 3 3" xfId="14259"/>
    <cellStyle name="Comma 8 5 2 3 3 2" xfId="22274"/>
    <cellStyle name="Comma 8 5 2 3 3 2 2" xfId="36299"/>
    <cellStyle name="Comma 8 5 2 3 3 3" xfId="28288"/>
    <cellStyle name="Comma 8 5 2 3 4" xfId="16265"/>
    <cellStyle name="Comma 8 5 2 3 4 2" xfId="30290"/>
    <cellStyle name="Comma 8 5 2 3 5" xfId="18267"/>
    <cellStyle name="Comma 8 5 2 3 5 2" xfId="32292"/>
    <cellStyle name="Comma 8 5 2 3 6" xfId="24281"/>
    <cellStyle name="Comma 8 5 2 4" xfId="12241"/>
    <cellStyle name="Comma 8 5 2 4 2" xfId="20266"/>
    <cellStyle name="Comma 8 5 2 4 2 2" xfId="34291"/>
    <cellStyle name="Comma 8 5 2 4 3" xfId="26280"/>
    <cellStyle name="Comma 8 5 2 5" xfId="14256"/>
    <cellStyle name="Comma 8 5 2 5 2" xfId="22271"/>
    <cellStyle name="Comma 8 5 2 5 2 2" xfId="36296"/>
    <cellStyle name="Comma 8 5 2 5 3" xfId="28285"/>
    <cellStyle name="Comma 8 5 2 6" xfId="16262"/>
    <cellStyle name="Comma 8 5 2 6 2" xfId="30287"/>
    <cellStyle name="Comma 8 5 2 7" xfId="18264"/>
    <cellStyle name="Comma 8 5 2 7 2" xfId="32289"/>
    <cellStyle name="Comma 8 5 2 8" xfId="24278"/>
    <cellStyle name="Comma 8 5 3" xfId="1503"/>
    <cellStyle name="Comma 8 5 3 2" xfId="1504"/>
    <cellStyle name="Comma 8 5 3 2 2" xfId="12246"/>
    <cellStyle name="Comma 8 5 3 2 2 2" xfId="20271"/>
    <cellStyle name="Comma 8 5 3 2 2 2 2" xfId="34296"/>
    <cellStyle name="Comma 8 5 3 2 2 3" xfId="26285"/>
    <cellStyle name="Comma 8 5 3 2 3" xfId="14261"/>
    <cellStyle name="Comma 8 5 3 2 3 2" xfId="22276"/>
    <cellStyle name="Comma 8 5 3 2 3 2 2" xfId="36301"/>
    <cellStyle name="Comma 8 5 3 2 3 3" xfId="28290"/>
    <cellStyle name="Comma 8 5 3 2 4" xfId="16267"/>
    <cellStyle name="Comma 8 5 3 2 4 2" xfId="30292"/>
    <cellStyle name="Comma 8 5 3 2 5" xfId="18269"/>
    <cellStyle name="Comma 8 5 3 2 5 2" xfId="32294"/>
    <cellStyle name="Comma 8 5 3 2 6" xfId="24283"/>
    <cellStyle name="Comma 8 5 3 3" xfId="12245"/>
    <cellStyle name="Comma 8 5 3 3 2" xfId="20270"/>
    <cellStyle name="Comma 8 5 3 3 2 2" xfId="34295"/>
    <cellStyle name="Comma 8 5 3 3 3" xfId="26284"/>
    <cellStyle name="Comma 8 5 3 4" xfId="14260"/>
    <cellStyle name="Comma 8 5 3 4 2" xfId="22275"/>
    <cellStyle name="Comma 8 5 3 4 2 2" xfId="36300"/>
    <cellStyle name="Comma 8 5 3 4 3" xfId="28289"/>
    <cellStyle name="Comma 8 5 3 5" xfId="16266"/>
    <cellStyle name="Comma 8 5 3 5 2" xfId="30291"/>
    <cellStyle name="Comma 8 5 3 6" xfId="18268"/>
    <cellStyle name="Comma 8 5 3 6 2" xfId="32293"/>
    <cellStyle name="Comma 8 5 3 7" xfId="24282"/>
    <cellStyle name="Comma 8 5 4" xfId="1505"/>
    <cellStyle name="Comma 8 5 4 2" xfId="1506"/>
    <cellStyle name="Comma 8 5 4 2 2" xfId="12248"/>
    <cellStyle name="Comma 8 5 4 2 2 2" xfId="20273"/>
    <cellStyle name="Comma 8 5 4 2 2 2 2" xfId="34298"/>
    <cellStyle name="Comma 8 5 4 2 2 3" xfId="26287"/>
    <cellStyle name="Comma 8 5 4 2 3" xfId="14263"/>
    <cellStyle name="Comma 8 5 4 2 3 2" xfId="22278"/>
    <cellStyle name="Comma 8 5 4 2 3 2 2" xfId="36303"/>
    <cellStyle name="Comma 8 5 4 2 3 3" xfId="28292"/>
    <cellStyle name="Comma 8 5 4 2 4" xfId="16269"/>
    <cellStyle name="Comma 8 5 4 2 4 2" xfId="30294"/>
    <cellStyle name="Comma 8 5 4 2 5" xfId="18271"/>
    <cellStyle name="Comma 8 5 4 2 5 2" xfId="32296"/>
    <cellStyle name="Comma 8 5 4 2 6" xfId="24285"/>
    <cellStyle name="Comma 8 5 4 3" xfId="12247"/>
    <cellStyle name="Comma 8 5 4 3 2" xfId="20272"/>
    <cellStyle name="Comma 8 5 4 3 2 2" xfId="34297"/>
    <cellStyle name="Comma 8 5 4 3 3" xfId="26286"/>
    <cellStyle name="Comma 8 5 4 4" xfId="14262"/>
    <cellStyle name="Comma 8 5 4 4 2" xfId="22277"/>
    <cellStyle name="Comma 8 5 4 4 2 2" xfId="36302"/>
    <cellStyle name="Comma 8 5 4 4 3" xfId="28291"/>
    <cellStyle name="Comma 8 5 4 5" xfId="16268"/>
    <cellStyle name="Comma 8 5 4 5 2" xfId="30293"/>
    <cellStyle name="Comma 8 5 4 6" xfId="18270"/>
    <cellStyle name="Comma 8 5 4 6 2" xfId="32295"/>
    <cellStyle name="Comma 8 5 4 7" xfId="24284"/>
    <cellStyle name="Comma 8 5 5" xfId="1507"/>
    <cellStyle name="Comma 8 5 5 2" xfId="12249"/>
    <cellStyle name="Comma 8 5 5 2 2" xfId="20274"/>
    <cellStyle name="Comma 8 5 5 2 2 2" xfId="34299"/>
    <cellStyle name="Comma 8 5 5 2 3" xfId="26288"/>
    <cellStyle name="Comma 8 5 5 3" xfId="14264"/>
    <cellStyle name="Comma 8 5 5 3 2" xfId="22279"/>
    <cellStyle name="Comma 8 5 5 3 2 2" xfId="36304"/>
    <cellStyle name="Comma 8 5 5 3 3" xfId="28293"/>
    <cellStyle name="Comma 8 5 5 4" xfId="16270"/>
    <cellStyle name="Comma 8 5 5 4 2" xfId="30295"/>
    <cellStyle name="Comma 8 5 5 5" xfId="18272"/>
    <cellStyle name="Comma 8 5 5 5 2" xfId="32297"/>
    <cellStyle name="Comma 8 5 5 6" xfId="24286"/>
    <cellStyle name="Comma 8 5 6" xfId="12240"/>
    <cellStyle name="Comma 8 5 6 2" xfId="20265"/>
    <cellStyle name="Comma 8 5 6 2 2" xfId="34290"/>
    <cellStyle name="Comma 8 5 6 3" xfId="26279"/>
    <cellStyle name="Comma 8 5 7" xfId="14255"/>
    <cellStyle name="Comma 8 5 7 2" xfId="22270"/>
    <cellStyle name="Comma 8 5 7 2 2" xfId="36295"/>
    <cellStyle name="Comma 8 5 7 3" xfId="28284"/>
    <cellStyle name="Comma 8 5 8" xfId="16261"/>
    <cellStyle name="Comma 8 5 8 2" xfId="30286"/>
    <cellStyle name="Comma 8 5 9" xfId="18263"/>
    <cellStyle name="Comma 8 5 9 2" xfId="32288"/>
    <cellStyle name="Comma 8 6" xfId="1508"/>
    <cellStyle name="Comma 8 6 2" xfId="1509"/>
    <cellStyle name="Comma 8 6 2 2" xfId="1510"/>
    <cellStyle name="Comma 8 6 2 2 2" xfId="12252"/>
    <cellStyle name="Comma 8 6 2 2 2 2" xfId="20277"/>
    <cellStyle name="Comma 8 6 2 2 2 2 2" xfId="34302"/>
    <cellStyle name="Comma 8 6 2 2 2 3" xfId="26291"/>
    <cellStyle name="Comma 8 6 2 2 3" xfId="14267"/>
    <cellStyle name="Comma 8 6 2 2 3 2" xfId="22282"/>
    <cellStyle name="Comma 8 6 2 2 3 2 2" xfId="36307"/>
    <cellStyle name="Comma 8 6 2 2 3 3" xfId="28296"/>
    <cellStyle name="Comma 8 6 2 2 4" xfId="16273"/>
    <cellStyle name="Comma 8 6 2 2 4 2" xfId="30298"/>
    <cellStyle name="Comma 8 6 2 2 5" xfId="18275"/>
    <cellStyle name="Comma 8 6 2 2 5 2" xfId="32300"/>
    <cellStyle name="Comma 8 6 2 2 6" xfId="24289"/>
    <cellStyle name="Comma 8 6 2 3" xfId="12251"/>
    <cellStyle name="Comma 8 6 2 3 2" xfId="20276"/>
    <cellStyle name="Comma 8 6 2 3 2 2" xfId="34301"/>
    <cellStyle name="Comma 8 6 2 3 3" xfId="26290"/>
    <cellStyle name="Comma 8 6 2 4" xfId="14266"/>
    <cellStyle name="Comma 8 6 2 4 2" xfId="22281"/>
    <cellStyle name="Comma 8 6 2 4 2 2" xfId="36306"/>
    <cellStyle name="Comma 8 6 2 4 3" xfId="28295"/>
    <cellStyle name="Comma 8 6 2 5" xfId="16272"/>
    <cellStyle name="Comma 8 6 2 5 2" xfId="30297"/>
    <cellStyle name="Comma 8 6 2 6" xfId="18274"/>
    <cellStyle name="Comma 8 6 2 6 2" xfId="32299"/>
    <cellStyle name="Comma 8 6 2 7" xfId="24288"/>
    <cellStyle name="Comma 8 6 3" xfId="1511"/>
    <cellStyle name="Comma 8 6 3 2" xfId="12253"/>
    <cellStyle name="Comma 8 6 3 2 2" xfId="20278"/>
    <cellStyle name="Comma 8 6 3 2 2 2" xfId="34303"/>
    <cellStyle name="Comma 8 6 3 2 3" xfId="26292"/>
    <cellStyle name="Comma 8 6 3 3" xfId="14268"/>
    <cellStyle name="Comma 8 6 3 3 2" xfId="22283"/>
    <cellStyle name="Comma 8 6 3 3 2 2" xfId="36308"/>
    <cellStyle name="Comma 8 6 3 3 3" xfId="28297"/>
    <cellStyle name="Comma 8 6 3 4" xfId="16274"/>
    <cellStyle name="Comma 8 6 3 4 2" xfId="30299"/>
    <cellStyle name="Comma 8 6 3 5" xfId="18276"/>
    <cellStyle name="Comma 8 6 3 5 2" xfId="32301"/>
    <cellStyle name="Comma 8 6 3 6" xfId="24290"/>
    <cellStyle name="Comma 8 6 4" xfId="12250"/>
    <cellStyle name="Comma 8 6 4 2" xfId="20275"/>
    <cellStyle name="Comma 8 6 4 2 2" xfId="34300"/>
    <cellStyle name="Comma 8 6 4 3" xfId="26289"/>
    <cellStyle name="Comma 8 6 5" xfId="14265"/>
    <cellStyle name="Comma 8 6 5 2" xfId="22280"/>
    <cellStyle name="Comma 8 6 5 2 2" xfId="36305"/>
    <cellStyle name="Comma 8 6 5 3" xfId="28294"/>
    <cellStyle name="Comma 8 6 6" xfId="16271"/>
    <cellStyle name="Comma 8 6 6 2" xfId="30296"/>
    <cellStyle name="Comma 8 6 7" xfId="18273"/>
    <cellStyle name="Comma 8 6 7 2" xfId="32298"/>
    <cellStyle name="Comma 8 6 8" xfId="24287"/>
    <cellStyle name="Comma 8 7" xfId="1512"/>
    <cellStyle name="Comma 8 7 2" xfId="1513"/>
    <cellStyle name="Comma 8 7 2 2" xfId="12255"/>
    <cellStyle name="Comma 8 7 2 2 2" xfId="20280"/>
    <cellStyle name="Comma 8 7 2 2 2 2" xfId="34305"/>
    <cellStyle name="Comma 8 7 2 2 3" xfId="26294"/>
    <cellStyle name="Comma 8 7 2 3" xfId="14270"/>
    <cellStyle name="Comma 8 7 2 3 2" xfId="22285"/>
    <cellStyle name="Comma 8 7 2 3 2 2" xfId="36310"/>
    <cellStyle name="Comma 8 7 2 3 3" xfId="28299"/>
    <cellStyle name="Comma 8 7 2 4" xfId="16276"/>
    <cellStyle name="Comma 8 7 2 4 2" xfId="30301"/>
    <cellStyle name="Comma 8 7 2 5" xfId="18278"/>
    <cellStyle name="Comma 8 7 2 5 2" xfId="32303"/>
    <cellStyle name="Comma 8 7 2 6" xfId="24292"/>
    <cellStyle name="Comma 8 7 3" xfId="12254"/>
    <cellStyle name="Comma 8 7 3 2" xfId="20279"/>
    <cellStyle name="Comma 8 7 3 2 2" xfId="34304"/>
    <cellStyle name="Comma 8 7 3 3" xfId="26293"/>
    <cellStyle name="Comma 8 7 4" xfId="14269"/>
    <cellStyle name="Comma 8 7 4 2" xfId="22284"/>
    <cellStyle name="Comma 8 7 4 2 2" xfId="36309"/>
    <cellStyle name="Comma 8 7 4 3" xfId="28298"/>
    <cellStyle name="Comma 8 7 5" xfId="16275"/>
    <cellStyle name="Comma 8 7 5 2" xfId="30300"/>
    <cellStyle name="Comma 8 7 6" xfId="18277"/>
    <cellStyle name="Comma 8 7 6 2" xfId="32302"/>
    <cellStyle name="Comma 8 7 7" xfId="24291"/>
    <cellStyle name="Comma 8 8" xfId="1514"/>
    <cellStyle name="Comma 8 8 2" xfId="1515"/>
    <cellStyle name="Comma 8 8 2 2" xfId="12257"/>
    <cellStyle name="Comma 8 8 2 2 2" xfId="20282"/>
    <cellStyle name="Comma 8 8 2 2 2 2" xfId="34307"/>
    <cellStyle name="Comma 8 8 2 2 3" xfId="26296"/>
    <cellStyle name="Comma 8 8 2 3" xfId="14272"/>
    <cellStyle name="Comma 8 8 2 3 2" xfId="22287"/>
    <cellStyle name="Comma 8 8 2 3 2 2" xfId="36312"/>
    <cellStyle name="Comma 8 8 2 3 3" xfId="28301"/>
    <cellStyle name="Comma 8 8 2 4" xfId="16278"/>
    <cellStyle name="Comma 8 8 2 4 2" xfId="30303"/>
    <cellStyle name="Comma 8 8 2 5" xfId="18280"/>
    <cellStyle name="Comma 8 8 2 5 2" xfId="32305"/>
    <cellStyle name="Comma 8 8 2 6" xfId="24294"/>
    <cellStyle name="Comma 8 8 3" xfId="12256"/>
    <cellStyle name="Comma 8 8 3 2" xfId="20281"/>
    <cellStyle name="Comma 8 8 3 2 2" xfId="34306"/>
    <cellStyle name="Comma 8 8 3 3" xfId="26295"/>
    <cellStyle name="Comma 8 8 4" xfId="14271"/>
    <cellStyle name="Comma 8 8 4 2" xfId="22286"/>
    <cellStyle name="Comma 8 8 4 2 2" xfId="36311"/>
    <cellStyle name="Comma 8 8 4 3" xfId="28300"/>
    <cellStyle name="Comma 8 8 5" xfId="16277"/>
    <cellStyle name="Comma 8 8 5 2" xfId="30302"/>
    <cellStyle name="Comma 8 8 6" xfId="18279"/>
    <cellStyle name="Comma 8 8 6 2" xfId="32304"/>
    <cellStyle name="Comma 8 8 7" xfId="24293"/>
    <cellStyle name="Comma 8 9" xfId="1516"/>
    <cellStyle name="Comma 8 9 2" xfId="12258"/>
    <cellStyle name="Comma 8 9 2 2" xfId="20283"/>
    <cellStyle name="Comma 8 9 2 2 2" xfId="34308"/>
    <cellStyle name="Comma 8 9 2 3" xfId="26297"/>
    <cellStyle name="Comma 8 9 3" xfId="14273"/>
    <cellStyle name="Comma 8 9 3 2" xfId="22288"/>
    <cellStyle name="Comma 8 9 3 2 2" xfId="36313"/>
    <cellStyle name="Comma 8 9 3 3" xfId="28302"/>
    <cellStyle name="Comma 8 9 4" xfId="16279"/>
    <cellStyle name="Comma 8 9 4 2" xfId="30304"/>
    <cellStyle name="Comma 8 9 5" xfId="18281"/>
    <cellStyle name="Comma 8 9 5 2" xfId="32306"/>
    <cellStyle name="Comma 8 9 6" xfId="24295"/>
    <cellStyle name="Comma 9" xfId="428"/>
    <cellStyle name="Comma 9 2" xfId="429"/>
    <cellStyle name="Comma 9 2 2" xfId="1517"/>
    <cellStyle name="Comma 9 2 2 10" xfId="16280"/>
    <cellStyle name="Comma 9 2 2 10 2" xfId="30305"/>
    <cellStyle name="Comma 9 2 2 11" xfId="18282"/>
    <cellStyle name="Comma 9 2 2 11 2" xfId="32307"/>
    <cellStyle name="Comma 9 2 2 12" xfId="24296"/>
    <cellStyle name="Comma 9 2 2 2" xfId="1518"/>
    <cellStyle name="Comma 9 2 2 2 10" xfId="18283"/>
    <cellStyle name="Comma 9 2 2 2 10 2" xfId="32308"/>
    <cellStyle name="Comma 9 2 2 2 11" xfId="24297"/>
    <cellStyle name="Comma 9 2 2 2 2" xfId="1519"/>
    <cellStyle name="Comma 9 2 2 2 2 10" xfId="24298"/>
    <cellStyle name="Comma 9 2 2 2 2 2" xfId="1520"/>
    <cellStyle name="Comma 9 2 2 2 2 2 2" xfId="1521"/>
    <cellStyle name="Comma 9 2 2 2 2 2 2 2" xfId="1522"/>
    <cellStyle name="Comma 9 2 2 2 2 2 2 2 2" xfId="12264"/>
    <cellStyle name="Comma 9 2 2 2 2 2 2 2 2 2" xfId="20289"/>
    <cellStyle name="Comma 9 2 2 2 2 2 2 2 2 2 2" xfId="34314"/>
    <cellStyle name="Comma 9 2 2 2 2 2 2 2 2 3" xfId="26303"/>
    <cellStyle name="Comma 9 2 2 2 2 2 2 2 3" xfId="14279"/>
    <cellStyle name="Comma 9 2 2 2 2 2 2 2 3 2" xfId="22294"/>
    <cellStyle name="Comma 9 2 2 2 2 2 2 2 3 2 2" xfId="36319"/>
    <cellStyle name="Comma 9 2 2 2 2 2 2 2 3 3" xfId="28308"/>
    <cellStyle name="Comma 9 2 2 2 2 2 2 2 4" xfId="16285"/>
    <cellStyle name="Comma 9 2 2 2 2 2 2 2 4 2" xfId="30310"/>
    <cellStyle name="Comma 9 2 2 2 2 2 2 2 5" xfId="18287"/>
    <cellStyle name="Comma 9 2 2 2 2 2 2 2 5 2" xfId="32312"/>
    <cellStyle name="Comma 9 2 2 2 2 2 2 2 6" xfId="24301"/>
    <cellStyle name="Comma 9 2 2 2 2 2 2 3" xfId="12263"/>
    <cellStyle name="Comma 9 2 2 2 2 2 2 3 2" xfId="20288"/>
    <cellStyle name="Comma 9 2 2 2 2 2 2 3 2 2" xfId="34313"/>
    <cellStyle name="Comma 9 2 2 2 2 2 2 3 3" xfId="26302"/>
    <cellStyle name="Comma 9 2 2 2 2 2 2 4" xfId="14278"/>
    <cellStyle name="Comma 9 2 2 2 2 2 2 4 2" xfId="22293"/>
    <cellStyle name="Comma 9 2 2 2 2 2 2 4 2 2" xfId="36318"/>
    <cellStyle name="Comma 9 2 2 2 2 2 2 4 3" xfId="28307"/>
    <cellStyle name="Comma 9 2 2 2 2 2 2 5" xfId="16284"/>
    <cellStyle name="Comma 9 2 2 2 2 2 2 5 2" xfId="30309"/>
    <cellStyle name="Comma 9 2 2 2 2 2 2 6" xfId="18286"/>
    <cellStyle name="Comma 9 2 2 2 2 2 2 6 2" xfId="32311"/>
    <cellStyle name="Comma 9 2 2 2 2 2 2 7" xfId="24300"/>
    <cellStyle name="Comma 9 2 2 2 2 2 3" xfId="1523"/>
    <cellStyle name="Comma 9 2 2 2 2 2 3 2" xfId="12265"/>
    <cellStyle name="Comma 9 2 2 2 2 2 3 2 2" xfId="20290"/>
    <cellStyle name="Comma 9 2 2 2 2 2 3 2 2 2" xfId="34315"/>
    <cellStyle name="Comma 9 2 2 2 2 2 3 2 3" xfId="26304"/>
    <cellStyle name="Comma 9 2 2 2 2 2 3 3" xfId="14280"/>
    <cellStyle name="Comma 9 2 2 2 2 2 3 3 2" xfId="22295"/>
    <cellStyle name="Comma 9 2 2 2 2 2 3 3 2 2" xfId="36320"/>
    <cellStyle name="Comma 9 2 2 2 2 2 3 3 3" xfId="28309"/>
    <cellStyle name="Comma 9 2 2 2 2 2 3 4" xfId="16286"/>
    <cellStyle name="Comma 9 2 2 2 2 2 3 4 2" xfId="30311"/>
    <cellStyle name="Comma 9 2 2 2 2 2 3 5" xfId="18288"/>
    <cellStyle name="Comma 9 2 2 2 2 2 3 5 2" xfId="32313"/>
    <cellStyle name="Comma 9 2 2 2 2 2 3 6" xfId="24302"/>
    <cellStyle name="Comma 9 2 2 2 2 2 4" xfId="12262"/>
    <cellStyle name="Comma 9 2 2 2 2 2 4 2" xfId="20287"/>
    <cellStyle name="Comma 9 2 2 2 2 2 4 2 2" xfId="34312"/>
    <cellStyle name="Comma 9 2 2 2 2 2 4 3" xfId="26301"/>
    <cellStyle name="Comma 9 2 2 2 2 2 5" xfId="14277"/>
    <cellStyle name="Comma 9 2 2 2 2 2 5 2" xfId="22292"/>
    <cellStyle name="Comma 9 2 2 2 2 2 5 2 2" xfId="36317"/>
    <cellStyle name="Comma 9 2 2 2 2 2 5 3" xfId="28306"/>
    <cellStyle name="Comma 9 2 2 2 2 2 6" xfId="16283"/>
    <cellStyle name="Comma 9 2 2 2 2 2 6 2" xfId="30308"/>
    <cellStyle name="Comma 9 2 2 2 2 2 7" xfId="18285"/>
    <cellStyle name="Comma 9 2 2 2 2 2 7 2" xfId="32310"/>
    <cellStyle name="Comma 9 2 2 2 2 2 8" xfId="24299"/>
    <cellStyle name="Comma 9 2 2 2 2 3" xfId="1524"/>
    <cellStyle name="Comma 9 2 2 2 2 3 2" xfId="1525"/>
    <cellStyle name="Comma 9 2 2 2 2 3 2 2" xfId="12267"/>
    <cellStyle name="Comma 9 2 2 2 2 3 2 2 2" xfId="20292"/>
    <cellStyle name="Comma 9 2 2 2 2 3 2 2 2 2" xfId="34317"/>
    <cellStyle name="Comma 9 2 2 2 2 3 2 2 3" xfId="26306"/>
    <cellStyle name="Comma 9 2 2 2 2 3 2 3" xfId="14282"/>
    <cellStyle name="Comma 9 2 2 2 2 3 2 3 2" xfId="22297"/>
    <cellStyle name="Comma 9 2 2 2 2 3 2 3 2 2" xfId="36322"/>
    <cellStyle name="Comma 9 2 2 2 2 3 2 3 3" xfId="28311"/>
    <cellStyle name="Comma 9 2 2 2 2 3 2 4" xfId="16288"/>
    <cellStyle name="Comma 9 2 2 2 2 3 2 4 2" xfId="30313"/>
    <cellStyle name="Comma 9 2 2 2 2 3 2 5" xfId="18290"/>
    <cellStyle name="Comma 9 2 2 2 2 3 2 5 2" xfId="32315"/>
    <cellStyle name="Comma 9 2 2 2 2 3 2 6" xfId="24304"/>
    <cellStyle name="Comma 9 2 2 2 2 3 3" xfId="12266"/>
    <cellStyle name="Comma 9 2 2 2 2 3 3 2" xfId="20291"/>
    <cellStyle name="Comma 9 2 2 2 2 3 3 2 2" xfId="34316"/>
    <cellStyle name="Comma 9 2 2 2 2 3 3 3" xfId="26305"/>
    <cellStyle name="Comma 9 2 2 2 2 3 4" xfId="14281"/>
    <cellStyle name="Comma 9 2 2 2 2 3 4 2" xfId="22296"/>
    <cellStyle name="Comma 9 2 2 2 2 3 4 2 2" xfId="36321"/>
    <cellStyle name="Comma 9 2 2 2 2 3 4 3" xfId="28310"/>
    <cellStyle name="Comma 9 2 2 2 2 3 5" xfId="16287"/>
    <cellStyle name="Comma 9 2 2 2 2 3 5 2" xfId="30312"/>
    <cellStyle name="Comma 9 2 2 2 2 3 6" xfId="18289"/>
    <cellStyle name="Comma 9 2 2 2 2 3 6 2" xfId="32314"/>
    <cellStyle name="Comma 9 2 2 2 2 3 7" xfId="24303"/>
    <cellStyle name="Comma 9 2 2 2 2 4" xfId="1526"/>
    <cellStyle name="Comma 9 2 2 2 2 4 2" xfId="1527"/>
    <cellStyle name="Comma 9 2 2 2 2 4 2 2" xfId="12269"/>
    <cellStyle name="Comma 9 2 2 2 2 4 2 2 2" xfId="20294"/>
    <cellStyle name="Comma 9 2 2 2 2 4 2 2 2 2" xfId="34319"/>
    <cellStyle name="Comma 9 2 2 2 2 4 2 2 3" xfId="26308"/>
    <cellStyle name="Comma 9 2 2 2 2 4 2 3" xfId="14284"/>
    <cellStyle name="Comma 9 2 2 2 2 4 2 3 2" xfId="22299"/>
    <cellStyle name="Comma 9 2 2 2 2 4 2 3 2 2" xfId="36324"/>
    <cellStyle name="Comma 9 2 2 2 2 4 2 3 3" xfId="28313"/>
    <cellStyle name="Comma 9 2 2 2 2 4 2 4" xfId="16290"/>
    <cellStyle name="Comma 9 2 2 2 2 4 2 4 2" xfId="30315"/>
    <cellStyle name="Comma 9 2 2 2 2 4 2 5" xfId="18292"/>
    <cellStyle name="Comma 9 2 2 2 2 4 2 5 2" xfId="32317"/>
    <cellStyle name="Comma 9 2 2 2 2 4 2 6" xfId="24306"/>
    <cellStyle name="Comma 9 2 2 2 2 4 3" xfId="12268"/>
    <cellStyle name="Comma 9 2 2 2 2 4 3 2" xfId="20293"/>
    <cellStyle name="Comma 9 2 2 2 2 4 3 2 2" xfId="34318"/>
    <cellStyle name="Comma 9 2 2 2 2 4 3 3" xfId="26307"/>
    <cellStyle name="Comma 9 2 2 2 2 4 4" xfId="14283"/>
    <cellStyle name="Comma 9 2 2 2 2 4 4 2" xfId="22298"/>
    <cellStyle name="Comma 9 2 2 2 2 4 4 2 2" xfId="36323"/>
    <cellStyle name="Comma 9 2 2 2 2 4 4 3" xfId="28312"/>
    <cellStyle name="Comma 9 2 2 2 2 4 5" xfId="16289"/>
    <cellStyle name="Comma 9 2 2 2 2 4 5 2" xfId="30314"/>
    <cellStyle name="Comma 9 2 2 2 2 4 6" xfId="18291"/>
    <cellStyle name="Comma 9 2 2 2 2 4 6 2" xfId="32316"/>
    <cellStyle name="Comma 9 2 2 2 2 4 7" xfId="24305"/>
    <cellStyle name="Comma 9 2 2 2 2 5" xfId="1528"/>
    <cellStyle name="Comma 9 2 2 2 2 5 2" xfId="12270"/>
    <cellStyle name="Comma 9 2 2 2 2 5 2 2" xfId="20295"/>
    <cellStyle name="Comma 9 2 2 2 2 5 2 2 2" xfId="34320"/>
    <cellStyle name="Comma 9 2 2 2 2 5 2 3" xfId="26309"/>
    <cellStyle name="Comma 9 2 2 2 2 5 3" xfId="14285"/>
    <cellStyle name="Comma 9 2 2 2 2 5 3 2" xfId="22300"/>
    <cellStyle name="Comma 9 2 2 2 2 5 3 2 2" xfId="36325"/>
    <cellStyle name="Comma 9 2 2 2 2 5 3 3" xfId="28314"/>
    <cellStyle name="Comma 9 2 2 2 2 5 4" xfId="16291"/>
    <cellStyle name="Comma 9 2 2 2 2 5 4 2" xfId="30316"/>
    <cellStyle name="Comma 9 2 2 2 2 5 5" xfId="18293"/>
    <cellStyle name="Comma 9 2 2 2 2 5 5 2" xfId="32318"/>
    <cellStyle name="Comma 9 2 2 2 2 5 6" xfId="24307"/>
    <cellStyle name="Comma 9 2 2 2 2 6" xfId="12261"/>
    <cellStyle name="Comma 9 2 2 2 2 6 2" xfId="20286"/>
    <cellStyle name="Comma 9 2 2 2 2 6 2 2" xfId="34311"/>
    <cellStyle name="Comma 9 2 2 2 2 6 3" xfId="26300"/>
    <cellStyle name="Comma 9 2 2 2 2 7" xfId="14276"/>
    <cellStyle name="Comma 9 2 2 2 2 7 2" xfId="22291"/>
    <cellStyle name="Comma 9 2 2 2 2 7 2 2" xfId="36316"/>
    <cellStyle name="Comma 9 2 2 2 2 7 3" xfId="28305"/>
    <cellStyle name="Comma 9 2 2 2 2 8" xfId="16282"/>
    <cellStyle name="Comma 9 2 2 2 2 8 2" xfId="30307"/>
    <cellStyle name="Comma 9 2 2 2 2 9" xfId="18284"/>
    <cellStyle name="Comma 9 2 2 2 2 9 2" xfId="32309"/>
    <cellStyle name="Comma 9 2 2 2 3" xfId="1529"/>
    <cellStyle name="Comma 9 2 2 2 3 2" xfId="1530"/>
    <cellStyle name="Comma 9 2 2 2 3 2 2" xfId="1531"/>
    <cellStyle name="Comma 9 2 2 2 3 2 2 2" xfId="12273"/>
    <cellStyle name="Comma 9 2 2 2 3 2 2 2 2" xfId="20298"/>
    <cellStyle name="Comma 9 2 2 2 3 2 2 2 2 2" xfId="34323"/>
    <cellStyle name="Comma 9 2 2 2 3 2 2 2 3" xfId="26312"/>
    <cellStyle name="Comma 9 2 2 2 3 2 2 3" xfId="14288"/>
    <cellStyle name="Comma 9 2 2 2 3 2 2 3 2" xfId="22303"/>
    <cellStyle name="Comma 9 2 2 2 3 2 2 3 2 2" xfId="36328"/>
    <cellStyle name="Comma 9 2 2 2 3 2 2 3 3" xfId="28317"/>
    <cellStyle name="Comma 9 2 2 2 3 2 2 4" xfId="16294"/>
    <cellStyle name="Comma 9 2 2 2 3 2 2 4 2" xfId="30319"/>
    <cellStyle name="Comma 9 2 2 2 3 2 2 5" xfId="18296"/>
    <cellStyle name="Comma 9 2 2 2 3 2 2 5 2" xfId="32321"/>
    <cellStyle name="Comma 9 2 2 2 3 2 2 6" xfId="24310"/>
    <cellStyle name="Comma 9 2 2 2 3 2 3" xfId="12272"/>
    <cellStyle name="Comma 9 2 2 2 3 2 3 2" xfId="20297"/>
    <cellStyle name="Comma 9 2 2 2 3 2 3 2 2" xfId="34322"/>
    <cellStyle name="Comma 9 2 2 2 3 2 3 3" xfId="26311"/>
    <cellStyle name="Comma 9 2 2 2 3 2 4" xfId="14287"/>
    <cellStyle name="Comma 9 2 2 2 3 2 4 2" xfId="22302"/>
    <cellStyle name="Comma 9 2 2 2 3 2 4 2 2" xfId="36327"/>
    <cellStyle name="Comma 9 2 2 2 3 2 4 3" xfId="28316"/>
    <cellStyle name="Comma 9 2 2 2 3 2 5" xfId="16293"/>
    <cellStyle name="Comma 9 2 2 2 3 2 5 2" xfId="30318"/>
    <cellStyle name="Comma 9 2 2 2 3 2 6" xfId="18295"/>
    <cellStyle name="Comma 9 2 2 2 3 2 6 2" xfId="32320"/>
    <cellStyle name="Comma 9 2 2 2 3 2 7" xfId="24309"/>
    <cellStyle name="Comma 9 2 2 2 3 3" xfId="1532"/>
    <cellStyle name="Comma 9 2 2 2 3 3 2" xfId="12274"/>
    <cellStyle name="Comma 9 2 2 2 3 3 2 2" xfId="20299"/>
    <cellStyle name="Comma 9 2 2 2 3 3 2 2 2" xfId="34324"/>
    <cellStyle name="Comma 9 2 2 2 3 3 2 3" xfId="26313"/>
    <cellStyle name="Comma 9 2 2 2 3 3 3" xfId="14289"/>
    <cellStyle name="Comma 9 2 2 2 3 3 3 2" xfId="22304"/>
    <cellStyle name="Comma 9 2 2 2 3 3 3 2 2" xfId="36329"/>
    <cellStyle name="Comma 9 2 2 2 3 3 3 3" xfId="28318"/>
    <cellStyle name="Comma 9 2 2 2 3 3 4" xfId="16295"/>
    <cellStyle name="Comma 9 2 2 2 3 3 4 2" xfId="30320"/>
    <cellStyle name="Comma 9 2 2 2 3 3 5" xfId="18297"/>
    <cellStyle name="Comma 9 2 2 2 3 3 5 2" xfId="32322"/>
    <cellStyle name="Comma 9 2 2 2 3 3 6" xfId="24311"/>
    <cellStyle name="Comma 9 2 2 2 3 4" xfId="12271"/>
    <cellStyle name="Comma 9 2 2 2 3 4 2" xfId="20296"/>
    <cellStyle name="Comma 9 2 2 2 3 4 2 2" xfId="34321"/>
    <cellStyle name="Comma 9 2 2 2 3 4 3" xfId="26310"/>
    <cellStyle name="Comma 9 2 2 2 3 5" xfId="14286"/>
    <cellStyle name="Comma 9 2 2 2 3 5 2" xfId="22301"/>
    <cellStyle name="Comma 9 2 2 2 3 5 2 2" xfId="36326"/>
    <cellStyle name="Comma 9 2 2 2 3 5 3" xfId="28315"/>
    <cellStyle name="Comma 9 2 2 2 3 6" xfId="16292"/>
    <cellStyle name="Comma 9 2 2 2 3 6 2" xfId="30317"/>
    <cellStyle name="Comma 9 2 2 2 3 7" xfId="18294"/>
    <cellStyle name="Comma 9 2 2 2 3 7 2" xfId="32319"/>
    <cellStyle name="Comma 9 2 2 2 3 8" xfId="24308"/>
    <cellStyle name="Comma 9 2 2 2 4" xfId="1533"/>
    <cellStyle name="Comma 9 2 2 2 4 2" xfId="1534"/>
    <cellStyle name="Comma 9 2 2 2 4 2 2" xfId="12276"/>
    <cellStyle name="Comma 9 2 2 2 4 2 2 2" xfId="20301"/>
    <cellStyle name="Comma 9 2 2 2 4 2 2 2 2" xfId="34326"/>
    <cellStyle name="Comma 9 2 2 2 4 2 2 3" xfId="26315"/>
    <cellStyle name="Comma 9 2 2 2 4 2 3" xfId="14291"/>
    <cellStyle name="Comma 9 2 2 2 4 2 3 2" xfId="22306"/>
    <cellStyle name="Comma 9 2 2 2 4 2 3 2 2" xfId="36331"/>
    <cellStyle name="Comma 9 2 2 2 4 2 3 3" xfId="28320"/>
    <cellStyle name="Comma 9 2 2 2 4 2 4" xfId="16297"/>
    <cellStyle name="Comma 9 2 2 2 4 2 4 2" xfId="30322"/>
    <cellStyle name="Comma 9 2 2 2 4 2 5" xfId="18299"/>
    <cellStyle name="Comma 9 2 2 2 4 2 5 2" xfId="32324"/>
    <cellStyle name="Comma 9 2 2 2 4 2 6" xfId="24313"/>
    <cellStyle name="Comma 9 2 2 2 4 3" xfId="12275"/>
    <cellStyle name="Comma 9 2 2 2 4 3 2" xfId="20300"/>
    <cellStyle name="Comma 9 2 2 2 4 3 2 2" xfId="34325"/>
    <cellStyle name="Comma 9 2 2 2 4 3 3" xfId="26314"/>
    <cellStyle name="Comma 9 2 2 2 4 4" xfId="14290"/>
    <cellStyle name="Comma 9 2 2 2 4 4 2" xfId="22305"/>
    <cellStyle name="Comma 9 2 2 2 4 4 2 2" xfId="36330"/>
    <cellStyle name="Comma 9 2 2 2 4 4 3" xfId="28319"/>
    <cellStyle name="Comma 9 2 2 2 4 5" xfId="16296"/>
    <cellStyle name="Comma 9 2 2 2 4 5 2" xfId="30321"/>
    <cellStyle name="Comma 9 2 2 2 4 6" xfId="18298"/>
    <cellStyle name="Comma 9 2 2 2 4 6 2" xfId="32323"/>
    <cellStyle name="Comma 9 2 2 2 4 7" xfId="24312"/>
    <cellStyle name="Comma 9 2 2 2 5" xfId="1535"/>
    <cellStyle name="Comma 9 2 2 2 5 2" xfId="1536"/>
    <cellStyle name="Comma 9 2 2 2 5 2 2" xfId="12278"/>
    <cellStyle name="Comma 9 2 2 2 5 2 2 2" xfId="20303"/>
    <cellStyle name="Comma 9 2 2 2 5 2 2 2 2" xfId="34328"/>
    <cellStyle name="Comma 9 2 2 2 5 2 2 3" xfId="26317"/>
    <cellStyle name="Comma 9 2 2 2 5 2 3" xfId="14293"/>
    <cellStyle name="Comma 9 2 2 2 5 2 3 2" xfId="22308"/>
    <cellStyle name="Comma 9 2 2 2 5 2 3 2 2" xfId="36333"/>
    <cellStyle name="Comma 9 2 2 2 5 2 3 3" xfId="28322"/>
    <cellStyle name="Comma 9 2 2 2 5 2 4" xfId="16299"/>
    <cellStyle name="Comma 9 2 2 2 5 2 4 2" xfId="30324"/>
    <cellStyle name="Comma 9 2 2 2 5 2 5" xfId="18301"/>
    <cellStyle name="Comma 9 2 2 2 5 2 5 2" xfId="32326"/>
    <cellStyle name="Comma 9 2 2 2 5 2 6" xfId="24315"/>
    <cellStyle name="Comma 9 2 2 2 5 3" xfId="12277"/>
    <cellStyle name="Comma 9 2 2 2 5 3 2" xfId="20302"/>
    <cellStyle name="Comma 9 2 2 2 5 3 2 2" xfId="34327"/>
    <cellStyle name="Comma 9 2 2 2 5 3 3" xfId="26316"/>
    <cellStyle name="Comma 9 2 2 2 5 4" xfId="14292"/>
    <cellStyle name="Comma 9 2 2 2 5 4 2" xfId="22307"/>
    <cellStyle name="Comma 9 2 2 2 5 4 2 2" xfId="36332"/>
    <cellStyle name="Comma 9 2 2 2 5 4 3" xfId="28321"/>
    <cellStyle name="Comma 9 2 2 2 5 5" xfId="16298"/>
    <cellStyle name="Comma 9 2 2 2 5 5 2" xfId="30323"/>
    <cellStyle name="Comma 9 2 2 2 5 6" xfId="18300"/>
    <cellStyle name="Comma 9 2 2 2 5 6 2" xfId="32325"/>
    <cellStyle name="Comma 9 2 2 2 5 7" xfId="24314"/>
    <cellStyle name="Comma 9 2 2 2 6" xfId="1537"/>
    <cellStyle name="Comma 9 2 2 2 6 2" xfId="12279"/>
    <cellStyle name="Comma 9 2 2 2 6 2 2" xfId="20304"/>
    <cellStyle name="Comma 9 2 2 2 6 2 2 2" xfId="34329"/>
    <cellStyle name="Comma 9 2 2 2 6 2 3" xfId="26318"/>
    <cellStyle name="Comma 9 2 2 2 6 3" xfId="14294"/>
    <cellStyle name="Comma 9 2 2 2 6 3 2" xfId="22309"/>
    <cellStyle name="Comma 9 2 2 2 6 3 2 2" xfId="36334"/>
    <cellStyle name="Comma 9 2 2 2 6 3 3" xfId="28323"/>
    <cellStyle name="Comma 9 2 2 2 6 4" xfId="16300"/>
    <cellStyle name="Comma 9 2 2 2 6 4 2" xfId="30325"/>
    <cellStyle name="Comma 9 2 2 2 6 5" xfId="18302"/>
    <cellStyle name="Comma 9 2 2 2 6 5 2" xfId="32327"/>
    <cellStyle name="Comma 9 2 2 2 6 6" xfId="24316"/>
    <cellStyle name="Comma 9 2 2 2 7" xfId="12260"/>
    <cellStyle name="Comma 9 2 2 2 7 2" xfId="20285"/>
    <cellStyle name="Comma 9 2 2 2 7 2 2" xfId="34310"/>
    <cellStyle name="Comma 9 2 2 2 7 3" xfId="26299"/>
    <cellStyle name="Comma 9 2 2 2 8" xfId="14275"/>
    <cellStyle name="Comma 9 2 2 2 8 2" xfId="22290"/>
    <cellStyle name="Comma 9 2 2 2 8 2 2" xfId="36315"/>
    <cellStyle name="Comma 9 2 2 2 8 3" xfId="28304"/>
    <cellStyle name="Comma 9 2 2 2 9" xfId="16281"/>
    <cellStyle name="Comma 9 2 2 2 9 2" xfId="30306"/>
    <cellStyle name="Comma 9 2 2 3" xfId="1538"/>
    <cellStyle name="Comma 9 2 2 3 10" xfId="24317"/>
    <cellStyle name="Comma 9 2 2 3 2" xfId="1539"/>
    <cellStyle name="Comma 9 2 2 3 2 2" xfId="1540"/>
    <cellStyle name="Comma 9 2 2 3 2 2 2" xfId="1541"/>
    <cellStyle name="Comma 9 2 2 3 2 2 2 2" xfId="12283"/>
    <cellStyle name="Comma 9 2 2 3 2 2 2 2 2" xfId="20308"/>
    <cellStyle name="Comma 9 2 2 3 2 2 2 2 2 2" xfId="34333"/>
    <cellStyle name="Comma 9 2 2 3 2 2 2 2 3" xfId="26322"/>
    <cellStyle name="Comma 9 2 2 3 2 2 2 3" xfId="14298"/>
    <cellStyle name="Comma 9 2 2 3 2 2 2 3 2" xfId="22313"/>
    <cellStyle name="Comma 9 2 2 3 2 2 2 3 2 2" xfId="36338"/>
    <cellStyle name="Comma 9 2 2 3 2 2 2 3 3" xfId="28327"/>
    <cellStyle name="Comma 9 2 2 3 2 2 2 4" xfId="16304"/>
    <cellStyle name="Comma 9 2 2 3 2 2 2 4 2" xfId="30329"/>
    <cellStyle name="Comma 9 2 2 3 2 2 2 5" xfId="18306"/>
    <cellStyle name="Comma 9 2 2 3 2 2 2 5 2" xfId="32331"/>
    <cellStyle name="Comma 9 2 2 3 2 2 2 6" xfId="24320"/>
    <cellStyle name="Comma 9 2 2 3 2 2 3" xfId="12282"/>
    <cellStyle name="Comma 9 2 2 3 2 2 3 2" xfId="20307"/>
    <cellStyle name="Comma 9 2 2 3 2 2 3 2 2" xfId="34332"/>
    <cellStyle name="Comma 9 2 2 3 2 2 3 3" xfId="26321"/>
    <cellStyle name="Comma 9 2 2 3 2 2 4" xfId="14297"/>
    <cellStyle name="Comma 9 2 2 3 2 2 4 2" xfId="22312"/>
    <cellStyle name="Comma 9 2 2 3 2 2 4 2 2" xfId="36337"/>
    <cellStyle name="Comma 9 2 2 3 2 2 4 3" xfId="28326"/>
    <cellStyle name="Comma 9 2 2 3 2 2 5" xfId="16303"/>
    <cellStyle name="Comma 9 2 2 3 2 2 5 2" xfId="30328"/>
    <cellStyle name="Comma 9 2 2 3 2 2 6" xfId="18305"/>
    <cellStyle name="Comma 9 2 2 3 2 2 6 2" xfId="32330"/>
    <cellStyle name="Comma 9 2 2 3 2 2 7" xfId="24319"/>
    <cellStyle name="Comma 9 2 2 3 2 3" xfId="1542"/>
    <cellStyle name="Comma 9 2 2 3 2 3 2" xfId="12284"/>
    <cellStyle name="Comma 9 2 2 3 2 3 2 2" xfId="20309"/>
    <cellStyle name="Comma 9 2 2 3 2 3 2 2 2" xfId="34334"/>
    <cellStyle name="Comma 9 2 2 3 2 3 2 3" xfId="26323"/>
    <cellStyle name="Comma 9 2 2 3 2 3 3" xfId="14299"/>
    <cellStyle name="Comma 9 2 2 3 2 3 3 2" xfId="22314"/>
    <cellStyle name="Comma 9 2 2 3 2 3 3 2 2" xfId="36339"/>
    <cellStyle name="Comma 9 2 2 3 2 3 3 3" xfId="28328"/>
    <cellStyle name="Comma 9 2 2 3 2 3 4" xfId="16305"/>
    <cellStyle name="Comma 9 2 2 3 2 3 4 2" xfId="30330"/>
    <cellStyle name="Comma 9 2 2 3 2 3 5" xfId="18307"/>
    <cellStyle name="Comma 9 2 2 3 2 3 5 2" xfId="32332"/>
    <cellStyle name="Comma 9 2 2 3 2 3 6" xfId="24321"/>
    <cellStyle name="Comma 9 2 2 3 2 4" xfId="12281"/>
    <cellStyle name="Comma 9 2 2 3 2 4 2" xfId="20306"/>
    <cellStyle name="Comma 9 2 2 3 2 4 2 2" xfId="34331"/>
    <cellStyle name="Comma 9 2 2 3 2 4 3" xfId="26320"/>
    <cellStyle name="Comma 9 2 2 3 2 5" xfId="14296"/>
    <cellStyle name="Comma 9 2 2 3 2 5 2" xfId="22311"/>
    <cellStyle name="Comma 9 2 2 3 2 5 2 2" xfId="36336"/>
    <cellStyle name="Comma 9 2 2 3 2 5 3" xfId="28325"/>
    <cellStyle name="Comma 9 2 2 3 2 6" xfId="16302"/>
    <cellStyle name="Comma 9 2 2 3 2 6 2" xfId="30327"/>
    <cellStyle name="Comma 9 2 2 3 2 7" xfId="18304"/>
    <cellStyle name="Comma 9 2 2 3 2 7 2" xfId="32329"/>
    <cellStyle name="Comma 9 2 2 3 2 8" xfId="24318"/>
    <cellStyle name="Comma 9 2 2 3 3" xfId="1543"/>
    <cellStyle name="Comma 9 2 2 3 3 2" xfId="1544"/>
    <cellStyle name="Comma 9 2 2 3 3 2 2" xfId="12286"/>
    <cellStyle name="Comma 9 2 2 3 3 2 2 2" xfId="20311"/>
    <cellStyle name="Comma 9 2 2 3 3 2 2 2 2" xfId="34336"/>
    <cellStyle name="Comma 9 2 2 3 3 2 2 3" xfId="26325"/>
    <cellStyle name="Comma 9 2 2 3 3 2 3" xfId="14301"/>
    <cellStyle name="Comma 9 2 2 3 3 2 3 2" xfId="22316"/>
    <cellStyle name="Comma 9 2 2 3 3 2 3 2 2" xfId="36341"/>
    <cellStyle name="Comma 9 2 2 3 3 2 3 3" xfId="28330"/>
    <cellStyle name="Comma 9 2 2 3 3 2 4" xfId="16307"/>
    <cellStyle name="Comma 9 2 2 3 3 2 4 2" xfId="30332"/>
    <cellStyle name="Comma 9 2 2 3 3 2 5" xfId="18309"/>
    <cellStyle name="Comma 9 2 2 3 3 2 5 2" xfId="32334"/>
    <cellStyle name="Comma 9 2 2 3 3 2 6" xfId="24323"/>
    <cellStyle name="Comma 9 2 2 3 3 3" xfId="12285"/>
    <cellStyle name="Comma 9 2 2 3 3 3 2" xfId="20310"/>
    <cellStyle name="Comma 9 2 2 3 3 3 2 2" xfId="34335"/>
    <cellStyle name="Comma 9 2 2 3 3 3 3" xfId="26324"/>
    <cellStyle name="Comma 9 2 2 3 3 4" xfId="14300"/>
    <cellStyle name="Comma 9 2 2 3 3 4 2" xfId="22315"/>
    <cellStyle name="Comma 9 2 2 3 3 4 2 2" xfId="36340"/>
    <cellStyle name="Comma 9 2 2 3 3 4 3" xfId="28329"/>
    <cellStyle name="Comma 9 2 2 3 3 5" xfId="16306"/>
    <cellStyle name="Comma 9 2 2 3 3 5 2" xfId="30331"/>
    <cellStyle name="Comma 9 2 2 3 3 6" xfId="18308"/>
    <cellStyle name="Comma 9 2 2 3 3 6 2" xfId="32333"/>
    <cellStyle name="Comma 9 2 2 3 3 7" xfId="24322"/>
    <cellStyle name="Comma 9 2 2 3 4" xfId="1545"/>
    <cellStyle name="Comma 9 2 2 3 4 2" xfId="1546"/>
    <cellStyle name="Comma 9 2 2 3 4 2 2" xfId="12288"/>
    <cellStyle name="Comma 9 2 2 3 4 2 2 2" xfId="20313"/>
    <cellStyle name="Comma 9 2 2 3 4 2 2 2 2" xfId="34338"/>
    <cellStyle name="Comma 9 2 2 3 4 2 2 3" xfId="26327"/>
    <cellStyle name="Comma 9 2 2 3 4 2 3" xfId="14303"/>
    <cellStyle name="Comma 9 2 2 3 4 2 3 2" xfId="22318"/>
    <cellStyle name="Comma 9 2 2 3 4 2 3 2 2" xfId="36343"/>
    <cellStyle name="Comma 9 2 2 3 4 2 3 3" xfId="28332"/>
    <cellStyle name="Comma 9 2 2 3 4 2 4" xfId="16309"/>
    <cellStyle name="Comma 9 2 2 3 4 2 4 2" xfId="30334"/>
    <cellStyle name="Comma 9 2 2 3 4 2 5" xfId="18311"/>
    <cellStyle name="Comma 9 2 2 3 4 2 5 2" xfId="32336"/>
    <cellStyle name="Comma 9 2 2 3 4 2 6" xfId="24325"/>
    <cellStyle name="Comma 9 2 2 3 4 3" xfId="12287"/>
    <cellStyle name="Comma 9 2 2 3 4 3 2" xfId="20312"/>
    <cellStyle name="Comma 9 2 2 3 4 3 2 2" xfId="34337"/>
    <cellStyle name="Comma 9 2 2 3 4 3 3" xfId="26326"/>
    <cellStyle name="Comma 9 2 2 3 4 4" xfId="14302"/>
    <cellStyle name="Comma 9 2 2 3 4 4 2" xfId="22317"/>
    <cellStyle name="Comma 9 2 2 3 4 4 2 2" xfId="36342"/>
    <cellStyle name="Comma 9 2 2 3 4 4 3" xfId="28331"/>
    <cellStyle name="Comma 9 2 2 3 4 5" xfId="16308"/>
    <cellStyle name="Comma 9 2 2 3 4 5 2" xfId="30333"/>
    <cellStyle name="Comma 9 2 2 3 4 6" xfId="18310"/>
    <cellStyle name="Comma 9 2 2 3 4 6 2" xfId="32335"/>
    <cellStyle name="Comma 9 2 2 3 4 7" xfId="24324"/>
    <cellStyle name="Comma 9 2 2 3 5" xfId="1547"/>
    <cellStyle name="Comma 9 2 2 3 5 2" xfId="12289"/>
    <cellStyle name="Comma 9 2 2 3 5 2 2" xfId="20314"/>
    <cellStyle name="Comma 9 2 2 3 5 2 2 2" xfId="34339"/>
    <cellStyle name="Comma 9 2 2 3 5 2 3" xfId="26328"/>
    <cellStyle name="Comma 9 2 2 3 5 3" xfId="14304"/>
    <cellStyle name="Comma 9 2 2 3 5 3 2" xfId="22319"/>
    <cellStyle name="Comma 9 2 2 3 5 3 2 2" xfId="36344"/>
    <cellStyle name="Comma 9 2 2 3 5 3 3" xfId="28333"/>
    <cellStyle name="Comma 9 2 2 3 5 4" xfId="16310"/>
    <cellStyle name="Comma 9 2 2 3 5 4 2" xfId="30335"/>
    <cellStyle name="Comma 9 2 2 3 5 5" xfId="18312"/>
    <cellStyle name="Comma 9 2 2 3 5 5 2" xfId="32337"/>
    <cellStyle name="Comma 9 2 2 3 5 6" xfId="24326"/>
    <cellStyle name="Comma 9 2 2 3 6" xfId="12280"/>
    <cellStyle name="Comma 9 2 2 3 6 2" xfId="20305"/>
    <cellStyle name="Comma 9 2 2 3 6 2 2" xfId="34330"/>
    <cellStyle name="Comma 9 2 2 3 6 3" xfId="26319"/>
    <cellStyle name="Comma 9 2 2 3 7" xfId="14295"/>
    <cellStyle name="Comma 9 2 2 3 7 2" xfId="22310"/>
    <cellStyle name="Comma 9 2 2 3 7 2 2" xfId="36335"/>
    <cellStyle name="Comma 9 2 2 3 7 3" xfId="28324"/>
    <cellStyle name="Comma 9 2 2 3 8" xfId="16301"/>
    <cellStyle name="Comma 9 2 2 3 8 2" xfId="30326"/>
    <cellStyle name="Comma 9 2 2 3 9" xfId="18303"/>
    <cellStyle name="Comma 9 2 2 3 9 2" xfId="32328"/>
    <cellStyle name="Comma 9 2 2 4" xfId="1548"/>
    <cellStyle name="Comma 9 2 2 4 2" xfId="1549"/>
    <cellStyle name="Comma 9 2 2 4 2 2" xfId="1550"/>
    <cellStyle name="Comma 9 2 2 4 2 2 2" xfId="12292"/>
    <cellStyle name="Comma 9 2 2 4 2 2 2 2" xfId="20317"/>
    <cellStyle name="Comma 9 2 2 4 2 2 2 2 2" xfId="34342"/>
    <cellStyle name="Comma 9 2 2 4 2 2 2 3" xfId="26331"/>
    <cellStyle name="Comma 9 2 2 4 2 2 3" xfId="14307"/>
    <cellStyle name="Comma 9 2 2 4 2 2 3 2" xfId="22322"/>
    <cellStyle name="Comma 9 2 2 4 2 2 3 2 2" xfId="36347"/>
    <cellStyle name="Comma 9 2 2 4 2 2 3 3" xfId="28336"/>
    <cellStyle name="Comma 9 2 2 4 2 2 4" xfId="16313"/>
    <cellStyle name="Comma 9 2 2 4 2 2 4 2" xfId="30338"/>
    <cellStyle name="Comma 9 2 2 4 2 2 5" xfId="18315"/>
    <cellStyle name="Comma 9 2 2 4 2 2 5 2" xfId="32340"/>
    <cellStyle name="Comma 9 2 2 4 2 2 6" xfId="24329"/>
    <cellStyle name="Comma 9 2 2 4 2 3" xfId="12291"/>
    <cellStyle name="Comma 9 2 2 4 2 3 2" xfId="20316"/>
    <cellStyle name="Comma 9 2 2 4 2 3 2 2" xfId="34341"/>
    <cellStyle name="Comma 9 2 2 4 2 3 3" xfId="26330"/>
    <cellStyle name="Comma 9 2 2 4 2 4" xfId="14306"/>
    <cellStyle name="Comma 9 2 2 4 2 4 2" xfId="22321"/>
    <cellStyle name="Comma 9 2 2 4 2 4 2 2" xfId="36346"/>
    <cellStyle name="Comma 9 2 2 4 2 4 3" xfId="28335"/>
    <cellStyle name="Comma 9 2 2 4 2 5" xfId="16312"/>
    <cellStyle name="Comma 9 2 2 4 2 5 2" xfId="30337"/>
    <cellStyle name="Comma 9 2 2 4 2 6" xfId="18314"/>
    <cellStyle name="Comma 9 2 2 4 2 6 2" xfId="32339"/>
    <cellStyle name="Comma 9 2 2 4 2 7" xfId="24328"/>
    <cellStyle name="Comma 9 2 2 4 3" xfId="1551"/>
    <cellStyle name="Comma 9 2 2 4 3 2" xfId="12293"/>
    <cellStyle name="Comma 9 2 2 4 3 2 2" xfId="20318"/>
    <cellStyle name="Comma 9 2 2 4 3 2 2 2" xfId="34343"/>
    <cellStyle name="Comma 9 2 2 4 3 2 3" xfId="26332"/>
    <cellStyle name="Comma 9 2 2 4 3 3" xfId="14308"/>
    <cellStyle name="Comma 9 2 2 4 3 3 2" xfId="22323"/>
    <cellStyle name="Comma 9 2 2 4 3 3 2 2" xfId="36348"/>
    <cellStyle name="Comma 9 2 2 4 3 3 3" xfId="28337"/>
    <cellStyle name="Comma 9 2 2 4 3 4" xfId="16314"/>
    <cellStyle name="Comma 9 2 2 4 3 4 2" xfId="30339"/>
    <cellStyle name="Comma 9 2 2 4 3 5" xfId="18316"/>
    <cellStyle name="Comma 9 2 2 4 3 5 2" xfId="32341"/>
    <cellStyle name="Comma 9 2 2 4 3 6" xfId="24330"/>
    <cellStyle name="Comma 9 2 2 4 4" xfId="12290"/>
    <cellStyle name="Comma 9 2 2 4 4 2" xfId="20315"/>
    <cellStyle name="Comma 9 2 2 4 4 2 2" xfId="34340"/>
    <cellStyle name="Comma 9 2 2 4 4 3" xfId="26329"/>
    <cellStyle name="Comma 9 2 2 4 5" xfId="14305"/>
    <cellStyle name="Comma 9 2 2 4 5 2" xfId="22320"/>
    <cellStyle name="Comma 9 2 2 4 5 2 2" xfId="36345"/>
    <cellStyle name="Comma 9 2 2 4 5 3" xfId="28334"/>
    <cellStyle name="Comma 9 2 2 4 6" xfId="16311"/>
    <cellStyle name="Comma 9 2 2 4 6 2" xfId="30336"/>
    <cellStyle name="Comma 9 2 2 4 7" xfId="18313"/>
    <cellStyle name="Comma 9 2 2 4 7 2" xfId="32338"/>
    <cellStyle name="Comma 9 2 2 4 8" xfId="24327"/>
    <cellStyle name="Comma 9 2 2 5" xfId="1552"/>
    <cellStyle name="Comma 9 2 2 5 2" xfId="1553"/>
    <cellStyle name="Comma 9 2 2 5 2 2" xfId="12295"/>
    <cellStyle name="Comma 9 2 2 5 2 2 2" xfId="20320"/>
    <cellStyle name="Comma 9 2 2 5 2 2 2 2" xfId="34345"/>
    <cellStyle name="Comma 9 2 2 5 2 2 3" xfId="26334"/>
    <cellStyle name="Comma 9 2 2 5 2 3" xfId="14310"/>
    <cellStyle name="Comma 9 2 2 5 2 3 2" xfId="22325"/>
    <cellStyle name="Comma 9 2 2 5 2 3 2 2" xfId="36350"/>
    <cellStyle name="Comma 9 2 2 5 2 3 3" xfId="28339"/>
    <cellStyle name="Comma 9 2 2 5 2 4" xfId="16316"/>
    <cellStyle name="Comma 9 2 2 5 2 4 2" xfId="30341"/>
    <cellStyle name="Comma 9 2 2 5 2 5" xfId="18318"/>
    <cellStyle name="Comma 9 2 2 5 2 5 2" xfId="32343"/>
    <cellStyle name="Comma 9 2 2 5 2 6" xfId="24332"/>
    <cellStyle name="Comma 9 2 2 5 3" xfId="12294"/>
    <cellStyle name="Comma 9 2 2 5 3 2" xfId="20319"/>
    <cellStyle name="Comma 9 2 2 5 3 2 2" xfId="34344"/>
    <cellStyle name="Comma 9 2 2 5 3 3" xfId="26333"/>
    <cellStyle name="Comma 9 2 2 5 4" xfId="14309"/>
    <cellStyle name="Comma 9 2 2 5 4 2" xfId="22324"/>
    <cellStyle name="Comma 9 2 2 5 4 2 2" xfId="36349"/>
    <cellStyle name="Comma 9 2 2 5 4 3" xfId="28338"/>
    <cellStyle name="Comma 9 2 2 5 5" xfId="16315"/>
    <cellStyle name="Comma 9 2 2 5 5 2" xfId="30340"/>
    <cellStyle name="Comma 9 2 2 5 6" xfId="18317"/>
    <cellStyle name="Comma 9 2 2 5 6 2" xfId="32342"/>
    <cellStyle name="Comma 9 2 2 5 7" xfId="24331"/>
    <cellStyle name="Comma 9 2 2 6" xfId="1554"/>
    <cellStyle name="Comma 9 2 2 6 2" xfId="1555"/>
    <cellStyle name="Comma 9 2 2 6 2 2" xfId="12297"/>
    <cellStyle name="Comma 9 2 2 6 2 2 2" xfId="20322"/>
    <cellStyle name="Comma 9 2 2 6 2 2 2 2" xfId="34347"/>
    <cellStyle name="Comma 9 2 2 6 2 2 3" xfId="26336"/>
    <cellStyle name="Comma 9 2 2 6 2 3" xfId="14312"/>
    <cellStyle name="Comma 9 2 2 6 2 3 2" xfId="22327"/>
    <cellStyle name="Comma 9 2 2 6 2 3 2 2" xfId="36352"/>
    <cellStyle name="Comma 9 2 2 6 2 3 3" xfId="28341"/>
    <cellStyle name="Comma 9 2 2 6 2 4" xfId="16318"/>
    <cellStyle name="Comma 9 2 2 6 2 4 2" xfId="30343"/>
    <cellStyle name="Comma 9 2 2 6 2 5" xfId="18320"/>
    <cellStyle name="Comma 9 2 2 6 2 5 2" xfId="32345"/>
    <cellStyle name="Comma 9 2 2 6 2 6" xfId="24334"/>
    <cellStyle name="Comma 9 2 2 6 3" xfId="12296"/>
    <cellStyle name="Comma 9 2 2 6 3 2" xfId="20321"/>
    <cellStyle name="Comma 9 2 2 6 3 2 2" xfId="34346"/>
    <cellStyle name="Comma 9 2 2 6 3 3" xfId="26335"/>
    <cellStyle name="Comma 9 2 2 6 4" xfId="14311"/>
    <cellStyle name="Comma 9 2 2 6 4 2" xfId="22326"/>
    <cellStyle name="Comma 9 2 2 6 4 2 2" xfId="36351"/>
    <cellStyle name="Comma 9 2 2 6 4 3" xfId="28340"/>
    <cellStyle name="Comma 9 2 2 6 5" xfId="16317"/>
    <cellStyle name="Comma 9 2 2 6 5 2" xfId="30342"/>
    <cellStyle name="Comma 9 2 2 6 6" xfId="18319"/>
    <cellStyle name="Comma 9 2 2 6 6 2" xfId="32344"/>
    <cellStyle name="Comma 9 2 2 6 7" xfId="24333"/>
    <cellStyle name="Comma 9 2 2 7" xfId="1556"/>
    <cellStyle name="Comma 9 2 2 7 2" xfId="12298"/>
    <cellStyle name="Comma 9 2 2 7 2 2" xfId="20323"/>
    <cellStyle name="Comma 9 2 2 7 2 2 2" xfId="34348"/>
    <cellStyle name="Comma 9 2 2 7 2 3" xfId="26337"/>
    <cellStyle name="Comma 9 2 2 7 3" xfId="14313"/>
    <cellStyle name="Comma 9 2 2 7 3 2" xfId="22328"/>
    <cellStyle name="Comma 9 2 2 7 3 2 2" xfId="36353"/>
    <cellStyle name="Comma 9 2 2 7 3 3" xfId="28342"/>
    <cellStyle name="Comma 9 2 2 7 4" xfId="16319"/>
    <cellStyle name="Comma 9 2 2 7 4 2" xfId="30344"/>
    <cellStyle name="Comma 9 2 2 7 5" xfId="18321"/>
    <cellStyle name="Comma 9 2 2 7 5 2" xfId="32346"/>
    <cellStyle name="Comma 9 2 2 7 6" xfId="24335"/>
    <cellStyle name="Comma 9 2 2 8" xfId="12259"/>
    <cellStyle name="Comma 9 2 2 8 2" xfId="20284"/>
    <cellStyle name="Comma 9 2 2 8 2 2" xfId="34309"/>
    <cellStyle name="Comma 9 2 2 8 3" xfId="26298"/>
    <cellStyle name="Comma 9 2 2 9" xfId="14274"/>
    <cellStyle name="Comma 9 2 2 9 2" xfId="22289"/>
    <cellStyle name="Comma 9 2 2 9 2 2" xfId="36314"/>
    <cellStyle name="Comma 9 2 2 9 3" xfId="28303"/>
    <cellStyle name="Comma 9 3" xfId="1557"/>
    <cellStyle name="Comma 9 3 10" xfId="16320"/>
    <cellStyle name="Comma 9 3 10 2" xfId="30345"/>
    <cellStyle name="Comma 9 3 11" xfId="18322"/>
    <cellStyle name="Comma 9 3 11 2" xfId="32347"/>
    <cellStyle name="Comma 9 3 12" xfId="24336"/>
    <cellStyle name="Comma 9 3 2" xfId="1558"/>
    <cellStyle name="Comma 9 3 2 10" xfId="18323"/>
    <cellStyle name="Comma 9 3 2 10 2" xfId="32348"/>
    <cellStyle name="Comma 9 3 2 11" xfId="24337"/>
    <cellStyle name="Comma 9 3 2 2" xfId="1559"/>
    <cellStyle name="Comma 9 3 2 2 10" xfId="24338"/>
    <cellStyle name="Comma 9 3 2 2 2" xfId="1560"/>
    <cellStyle name="Comma 9 3 2 2 2 2" xfId="1561"/>
    <cellStyle name="Comma 9 3 2 2 2 2 2" xfId="1562"/>
    <cellStyle name="Comma 9 3 2 2 2 2 2 2" xfId="12304"/>
    <cellStyle name="Comma 9 3 2 2 2 2 2 2 2" xfId="20329"/>
    <cellStyle name="Comma 9 3 2 2 2 2 2 2 2 2" xfId="34354"/>
    <cellStyle name="Comma 9 3 2 2 2 2 2 2 3" xfId="26343"/>
    <cellStyle name="Comma 9 3 2 2 2 2 2 3" xfId="14319"/>
    <cellStyle name="Comma 9 3 2 2 2 2 2 3 2" xfId="22334"/>
    <cellStyle name="Comma 9 3 2 2 2 2 2 3 2 2" xfId="36359"/>
    <cellStyle name="Comma 9 3 2 2 2 2 2 3 3" xfId="28348"/>
    <cellStyle name="Comma 9 3 2 2 2 2 2 4" xfId="16325"/>
    <cellStyle name="Comma 9 3 2 2 2 2 2 4 2" xfId="30350"/>
    <cellStyle name="Comma 9 3 2 2 2 2 2 5" xfId="18327"/>
    <cellStyle name="Comma 9 3 2 2 2 2 2 5 2" xfId="32352"/>
    <cellStyle name="Comma 9 3 2 2 2 2 2 6" xfId="24341"/>
    <cellStyle name="Comma 9 3 2 2 2 2 3" xfId="12303"/>
    <cellStyle name="Comma 9 3 2 2 2 2 3 2" xfId="20328"/>
    <cellStyle name="Comma 9 3 2 2 2 2 3 2 2" xfId="34353"/>
    <cellStyle name="Comma 9 3 2 2 2 2 3 3" xfId="26342"/>
    <cellStyle name="Comma 9 3 2 2 2 2 4" xfId="14318"/>
    <cellStyle name="Comma 9 3 2 2 2 2 4 2" xfId="22333"/>
    <cellStyle name="Comma 9 3 2 2 2 2 4 2 2" xfId="36358"/>
    <cellStyle name="Comma 9 3 2 2 2 2 4 3" xfId="28347"/>
    <cellStyle name="Comma 9 3 2 2 2 2 5" xfId="16324"/>
    <cellStyle name="Comma 9 3 2 2 2 2 5 2" xfId="30349"/>
    <cellStyle name="Comma 9 3 2 2 2 2 6" xfId="18326"/>
    <cellStyle name="Comma 9 3 2 2 2 2 6 2" xfId="32351"/>
    <cellStyle name="Comma 9 3 2 2 2 2 7" xfId="24340"/>
    <cellStyle name="Comma 9 3 2 2 2 3" xfId="1563"/>
    <cellStyle name="Comma 9 3 2 2 2 3 2" xfId="12305"/>
    <cellStyle name="Comma 9 3 2 2 2 3 2 2" xfId="20330"/>
    <cellStyle name="Comma 9 3 2 2 2 3 2 2 2" xfId="34355"/>
    <cellStyle name="Comma 9 3 2 2 2 3 2 3" xfId="26344"/>
    <cellStyle name="Comma 9 3 2 2 2 3 3" xfId="14320"/>
    <cellStyle name="Comma 9 3 2 2 2 3 3 2" xfId="22335"/>
    <cellStyle name="Comma 9 3 2 2 2 3 3 2 2" xfId="36360"/>
    <cellStyle name="Comma 9 3 2 2 2 3 3 3" xfId="28349"/>
    <cellStyle name="Comma 9 3 2 2 2 3 4" xfId="16326"/>
    <cellStyle name="Comma 9 3 2 2 2 3 4 2" xfId="30351"/>
    <cellStyle name="Comma 9 3 2 2 2 3 5" xfId="18328"/>
    <cellStyle name="Comma 9 3 2 2 2 3 5 2" xfId="32353"/>
    <cellStyle name="Comma 9 3 2 2 2 3 6" xfId="24342"/>
    <cellStyle name="Comma 9 3 2 2 2 4" xfId="12302"/>
    <cellStyle name="Comma 9 3 2 2 2 4 2" xfId="20327"/>
    <cellStyle name="Comma 9 3 2 2 2 4 2 2" xfId="34352"/>
    <cellStyle name="Comma 9 3 2 2 2 4 3" xfId="26341"/>
    <cellStyle name="Comma 9 3 2 2 2 5" xfId="14317"/>
    <cellStyle name="Comma 9 3 2 2 2 5 2" xfId="22332"/>
    <cellStyle name="Comma 9 3 2 2 2 5 2 2" xfId="36357"/>
    <cellStyle name="Comma 9 3 2 2 2 5 3" xfId="28346"/>
    <cellStyle name="Comma 9 3 2 2 2 6" xfId="16323"/>
    <cellStyle name="Comma 9 3 2 2 2 6 2" xfId="30348"/>
    <cellStyle name="Comma 9 3 2 2 2 7" xfId="18325"/>
    <cellStyle name="Comma 9 3 2 2 2 7 2" xfId="32350"/>
    <cellStyle name="Comma 9 3 2 2 2 8" xfId="24339"/>
    <cellStyle name="Comma 9 3 2 2 3" xfId="1564"/>
    <cellStyle name="Comma 9 3 2 2 3 2" xfId="1565"/>
    <cellStyle name="Comma 9 3 2 2 3 2 2" xfId="12307"/>
    <cellStyle name="Comma 9 3 2 2 3 2 2 2" xfId="20332"/>
    <cellStyle name="Comma 9 3 2 2 3 2 2 2 2" xfId="34357"/>
    <cellStyle name="Comma 9 3 2 2 3 2 2 3" xfId="26346"/>
    <cellStyle name="Comma 9 3 2 2 3 2 3" xfId="14322"/>
    <cellStyle name="Comma 9 3 2 2 3 2 3 2" xfId="22337"/>
    <cellStyle name="Comma 9 3 2 2 3 2 3 2 2" xfId="36362"/>
    <cellStyle name="Comma 9 3 2 2 3 2 3 3" xfId="28351"/>
    <cellStyle name="Comma 9 3 2 2 3 2 4" xfId="16328"/>
    <cellStyle name="Comma 9 3 2 2 3 2 4 2" xfId="30353"/>
    <cellStyle name="Comma 9 3 2 2 3 2 5" xfId="18330"/>
    <cellStyle name="Comma 9 3 2 2 3 2 5 2" xfId="32355"/>
    <cellStyle name="Comma 9 3 2 2 3 2 6" xfId="24344"/>
    <cellStyle name="Comma 9 3 2 2 3 3" xfId="12306"/>
    <cellStyle name="Comma 9 3 2 2 3 3 2" xfId="20331"/>
    <cellStyle name="Comma 9 3 2 2 3 3 2 2" xfId="34356"/>
    <cellStyle name="Comma 9 3 2 2 3 3 3" xfId="26345"/>
    <cellStyle name="Comma 9 3 2 2 3 4" xfId="14321"/>
    <cellStyle name="Comma 9 3 2 2 3 4 2" xfId="22336"/>
    <cellStyle name="Comma 9 3 2 2 3 4 2 2" xfId="36361"/>
    <cellStyle name="Comma 9 3 2 2 3 4 3" xfId="28350"/>
    <cellStyle name="Comma 9 3 2 2 3 5" xfId="16327"/>
    <cellStyle name="Comma 9 3 2 2 3 5 2" xfId="30352"/>
    <cellStyle name="Comma 9 3 2 2 3 6" xfId="18329"/>
    <cellStyle name="Comma 9 3 2 2 3 6 2" xfId="32354"/>
    <cellStyle name="Comma 9 3 2 2 3 7" xfId="24343"/>
    <cellStyle name="Comma 9 3 2 2 4" xfId="1566"/>
    <cellStyle name="Comma 9 3 2 2 4 2" xfId="1567"/>
    <cellStyle name="Comma 9 3 2 2 4 2 2" xfId="12309"/>
    <cellStyle name="Comma 9 3 2 2 4 2 2 2" xfId="20334"/>
    <cellStyle name="Comma 9 3 2 2 4 2 2 2 2" xfId="34359"/>
    <cellStyle name="Comma 9 3 2 2 4 2 2 3" xfId="26348"/>
    <cellStyle name="Comma 9 3 2 2 4 2 3" xfId="14324"/>
    <cellStyle name="Comma 9 3 2 2 4 2 3 2" xfId="22339"/>
    <cellStyle name="Comma 9 3 2 2 4 2 3 2 2" xfId="36364"/>
    <cellStyle name="Comma 9 3 2 2 4 2 3 3" xfId="28353"/>
    <cellStyle name="Comma 9 3 2 2 4 2 4" xfId="16330"/>
    <cellStyle name="Comma 9 3 2 2 4 2 4 2" xfId="30355"/>
    <cellStyle name="Comma 9 3 2 2 4 2 5" xfId="18332"/>
    <cellStyle name="Comma 9 3 2 2 4 2 5 2" xfId="32357"/>
    <cellStyle name="Comma 9 3 2 2 4 2 6" xfId="24346"/>
    <cellStyle name="Comma 9 3 2 2 4 3" xfId="12308"/>
    <cellStyle name="Comma 9 3 2 2 4 3 2" xfId="20333"/>
    <cellStyle name="Comma 9 3 2 2 4 3 2 2" xfId="34358"/>
    <cellStyle name="Comma 9 3 2 2 4 3 3" xfId="26347"/>
    <cellStyle name="Comma 9 3 2 2 4 4" xfId="14323"/>
    <cellStyle name="Comma 9 3 2 2 4 4 2" xfId="22338"/>
    <cellStyle name="Comma 9 3 2 2 4 4 2 2" xfId="36363"/>
    <cellStyle name="Comma 9 3 2 2 4 4 3" xfId="28352"/>
    <cellStyle name="Comma 9 3 2 2 4 5" xfId="16329"/>
    <cellStyle name="Comma 9 3 2 2 4 5 2" xfId="30354"/>
    <cellStyle name="Comma 9 3 2 2 4 6" xfId="18331"/>
    <cellStyle name="Comma 9 3 2 2 4 6 2" xfId="32356"/>
    <cellStyle name="Comma 9 3 2 2 4 7" xfId="24345"/>
    <cellStyle name="Comma 9 3 2 2 5" xfId="1568"/>
    <cellStyle name="Comma 9 3 2 2 5 2" xfId="12310"/>
    <cellStyle name="Comma 9 3 2 2 5 2 2" xfId="20335"/>
    <cellStyle name="Comma 9 3 2 2 5 2 2 2" xfId="34360"/>
    <cellStyle name="Comma 9 3 2 2 5 2 3" xfId="26349"/>
    <cellStyle name="Comma 9 3 2 2 5 3" xfId="14325"/>
    <cellStyle name="Comma 9 3 2 2 5 3 2" xfId="22340"/>
    <cellStyle name="Comma 9 3 2 2 5 3 2 2" xfId="36365"/>
    <cellStyle name="Comma 9 3 2 2 5 3 3" xfId="28354"/>
    <cellStyle name="Comma 9 3 2 2 5 4" xfId="16331"/>
    <cellStyle name="Comma 9 3 2 2 5 4 2" xfId="30356"/>
    <cellStyle name="Comma 9 3 2 2 5 5" xfId="18333"/>
    <cellStyle name="Comma 9 3 2 2 5 5 2" xfId="32358"/>
    <cellStyle name="Comma 9 3 2 2 5 6" xfId="24347"/>
    <cellStyle name="Comma 9 3 2 2 6" xfId="12301"/>
    <cellStyle name="Comma 9 3 2 2 6 2" xfId="20326"/>
    <cellStyle name="Comma 9 3 2 2 6 2 2" xfId="34351"/>
    <cellStyle name="Comma 9 3 2 2 6 3" xfId="26340"/>
    <cellStyle name="Comma 9 3 2 2 7" xfId="14316"/>
    <cellStyle name="Comma 9 3 2 2 7 2" xfId="22331"/>
    <cellStyle name="Comma 9 3 2 2 7 2 2" xfId="36356"/>
    <cellStyle name="Comma 9 3 2 2 7 3" xfId="28345"/>
    <cellStyle name="Comma 9 3 2 2 8" xfId="16322"/>
    <cellStyle name="Comma 9 3 2 2 8 2" xfId="30347"/>
    <cellStyle name="Comma 9 3 2 2 9" xfId="18324"/>
    <cellStyle name="Comma 9 3 2 2 9 2" xfId="32349"/>
    <cellStyle name="Comma 9 3 2 3" xfId="1569"/>
    <cellStyle name="Comma 9 3 2 3 2" xfId="1570"/>
    <cellStyle name="Comma 9 3 2 3 2 2" xfId="1571"/>
    <cellStyle name="Comma 9 3 2 3 2 2 2" xfId="12313"/>
    <cellStyle name="Comma 9 3 2 3 2 2 2 2" xfId="20338"/>
    <cellStyle name="Comma 9 3 2 3 2 2 2 2 2" xfId="34363"/>
    <cellStyle name="Comma 9 3 2 3 2 2 2 3" xfId="26352"/>
    <cellStyle name="Comma 9 3 2 3 2 2 3" xfId="14328"/>
    <cellStyle name="Comma 9 3 2 3 2 2 3 2" xfId="22343"/>
    <cellStyle name="Comma 9 3 2 3 2 2 3 2 2" xfId="36368"/>
    <cellStyle name="Comma 9 3 2 3 2 2 3 3" xfId="28357"/>
    <cellStyle name="Comma 9 3 2 3 2 2 4" xfId="16334"/>
    <cellStyle name="Comma 9 3 2 3 2 2 4 2" xfId="30359"/>
    <cellStyle name="Comma 9 3 2 3 2 2 5" xfId="18336"/>
    <cellStyle name="Comma 9 3 2 3 2 2 5 2" xfId="32361"/>
    <cellStyle name="Comma 9 3 2 3 2 2 6" xfId="24350"/>
    <cellStyle name="Comma 9 3 2 3 2 3" xfId="12312"/>
    <cellStyle name="Comma 9 3 2 3 2 3 2" xfId="20337"/>
    <cellStyle name="Comma 9 3 2 3 2 3 2 2" xfId="34362"/>
    <cellStyle name="Comma 9 3 2 3 2 3 3" xfId="26351"/>
    <cellStyle name="Comma 9 3 2 3 2 4" xfId="14327"/>
    <cellStyle name="Comma 9 3 2 3 2 4 2" xfId="22342"/>
    <cellStyle name="Comma 9 3 2 3 2 4 2 2" xfId="36367"/>
    <cellStyle name="Comma 9 3 2 3 2 4 3" xfId="28356"/>
    <cellStyle name="Comma 9 3 2 3 2 5" xfId="16333"/>
    <cellStyle name="Comma 9 3 2 3 2 5 2" xfId="30358"/>
    <cellStyle name="Comma 9 3 2 3 2 6" xfId="18335"/>
    <cellStyle name="Comma 9 3 2 3 2 6 2" xfId="32360"/>
    <cellStyle name="Comma 9 3 2 3 2 7" xfId="24349"/>
    <cellStyle name="Comma 9 3 2 3 3" xfId="1572"/>
    <cellStyle name="Comma 9 3 2 3 3 2" xfId="12314"/>
    <cellStyle name="Comma 9 3 2 3 3 2 2" xfId="20339"/>
    <cellStyle name="Comma 9 3 2 3 3 2 2 2" xfId="34364"/>
    <cellStyle name="Comma 9 3 2 3 3 2 3" xfId="26353"/>
    <cellStyle name="Comma 9 3 2 3 3 3" xfId="14329"/>
    <cellStyle name="Comma 9 3 2 3 3 3 2" xfId="22344"/>
    <cellStyle name="Comma 9 3 2 3 3 3 2 2" xfId="36369"/>
    <cellStyle name="Comma 9 3 2 3 3 3 3" xfId="28358"/>
    <cellStyle name="Comma 9 3 2 3 3 4" xfId="16335"/>
    <cellStyle name="Comma 9 3 2 3 3 4 2" xfId="30360"/>
    <cellStyle name="Comma 9 3 2 3 3 5" xfId="18337"/>
    <cellStyle name="Comma 9 3 2 3 3 5 2" xfId="32362"/>
    <cellStyle name="Comma 9 3 2 3 3 6" xfId="24351"/>
    <cellStyle name="Comma 9 3 2 3 4" xfId="12311"/>
    <cellStyle name="Comma 9 3 2 3 4 2" xfId="20336"/>
    <cellStyle name="Comma 9 3 2 3 4 2 2" xfId="34361"/>
    <cellStyle name="Comma 9 3 2 3 4 3" xfId="26350"/>
    <cellStyle name="Comma 9 3 2 3 5" xfId="14326"/>
    <cellStyle name="Comma 9 3 2 3 5 2" xfId="22341"/>
    <cellStyle name="Comma 9 3 2 3 5 2 2" xfId="36366"/>
    <cellStyle name="Comma 9 3 2 3 5 3" xfId="28355"/>
    <cellStyle name="Comma 9 3 2 3 6" xfId="16332"/>
    <cellStyle name="Comma 9 3 2 3 6 2" xfId="30357"/>
    <cellStyle name="Comma 9 3 2 3 7" xfId="18334"/>
    <cellStyle name="Comma 9 3 2 3 7 2" xfId="32359"/>
    <cellStyle name="Comma 9 3 2 3 8" xfId="24348"/>
    <cellStyle name="Comma 9 3 2 4" xfId="1573"/>
    <cellStyle name="Comma 9 3 2 4 2" xfId="1574"/>
    <cellStyle name="Comma 9 3 2 4 2 2" xfId="12316"/>
    <cellStyle name="Comma 9 3 2 4 2 2 2" xfId="20341"/>
    <cellStyle name="Comma 9 3 2 4 2 2 2 2" xfId="34366"/>
    <cellStyle name="Comma 9 3 2 4 2 2 3" xfId="26355"/>
    <cellStyle name="Comma 9 3 2 4 2 3" xfId="14331"/>
    <cellStyle name="Comma 9 3 2 4 2 3 2" xfId="22346"/>
    <cellStyle name="Comma 9 3 2 4 2 3 2 2" xfId="36371"/>
    <cellStyle name="Comma 9 3 2 4 2 3 3" xfId="28360"/>
    <cellStyle name="Comma 9 3 2 4 2 4" xfId="16337"/>
    <cellStyle name="Comma 9 3 2 4 2 4 2" xfId="30362"/>
    <cellStyle name="Comma 9 3 2 4 2 5" xfId="18339"/>
    <cellStyle name="Comma 9 3 2 4 2 5 2" xfId="32364"/>
    <cellStyle name="Comma 9 3 2 4 2 6" xfId="24353"/>
    <cellStyle name="Comma 9 3 2 4 3" xfId="12315"/>
    <cellStyle name="Comma 9 3 2 4 3 2" xfId="20340"/>
    <cellStyle name="Comma 9 3 2 4 3 2 2" xfId="34365"/>
    <cellStyle name="Comma 9 3 2 4 3 3" xfId="26354"/>
    <cellStyle name="Comma 9 3 2 4 4" xfId="14330"/>
    <cellStyle name="Comma 9 3 2 4 4 2" xfId="22345"/>
    <cellStyle name="Comma 9 3 2 4 4 2 2" xfId="36370"/>
    <cellStyle name="Comma 9 3 2 4 4 3" xfId="28359"/>
    <cellStyle name="Comma 9 3 2 4 5" xfId="16336"/>
    <cellStyle name="Comma 9 3 2 4 5 2" xfId="30361"/>
    <cellStyle name="Comma 9 3 2 4 6" xfId="18338"/>
    <cellStyle name="Comma 9 3 2 4 6 2" xfId="32363"/>
    <cellStyle name="Comma 9 3 2 4 7" xfId="24352"/>
    <cellStyle name="Comma 9 3 2 5" xfId="1575"/>
    <cellStyle name="Comma 9 3 2 5 2" xfId="1576"/>
    <cellStyle name="Comma 9 3 2 5 2 2" xfId="12318"/>
    <cellStyle name="Comma 9 3 2 5 2 2 2" xfId="20343"/>
    <cellStyle name="Comma 9 3 2 5 2 2 2 2" xfId="34368"/>
    <cellStyle name="Comma 9 3 2 5 2 2 3" xfId="26357"/>
    <cellStyle name="Comma 9 3 2 5 2 3" xfId="14333"/>
    <cellStyle name="Comma 9 3 2 5 2 3 2" xfId="22348"/>
    <cellStyle name="Comma 9 3 2 5 2 3 2 2" xfId="36373"/>
    <cellStyle name="Comma 9 3 2 5 2 3 3" xfId="28362"/>
    <cellStyle name="Comma 9 3 2 5 2 4" xfId="16339"/>
    <cellStyle name="Comma 9 3 2 5 2 4 2" xfId="30364"/>
    <cellStyle name="Comma 9 3 2 5 2 5" xfId="18341"/>
    <cellStyle name="Comma 9 3 2 5 2 5 2" xfId="32366"/>
    <cellStyle name="Comma 9 3 2 5 2 6" xfId="24355"/>
    <cellStyle name="Comma 9 3 2 5 3" xfId="12317"/>
    <cellStyle name="Comma 9 3 2 5 3 2" xfId="20342"/>
    <cellStyle name="Comma 9 3 2 5 3 2 2" xfId="34367"/>
    <cellStyle name="Comma 9 3 2 5 3 3" xfId="26356"/>
    <cellStyle name="Comma 9 3 2 5 4" xfId="14332"/>
    <cellStyle name="Comma 9 3 2 5 4 2" xfId="22347"/>
    <cellStyle name="Comma 9 3 2 5 4 2 2" xfId="36372"/>
    <cellStyle name="Comma 9 3 2 5 4 3" xfId="28361"/>
    <cellStyle name="Comma 9 3 2 5 5" xfId="16338"/>
    <cellStyle name="Comma 9 3 2 5 5 2" xfId="30363"/>
    <cellStyle name="Comma 9 3 2 5 6" xfId="18340"/>
    <cellStyle name="Comma 9 3 2 5 6 2" xfId="32365"/>
    <cellStyle name="Comma 9 3 2 5 7" xfId="24354"/>
    <cellStyle name="Comma 9 3 2 6" xfId="1577"/>
    <cellStyle name="Comma 9 3 2 6 2" xfId="12319"/>
    <cellStyle name="Comma 9 3 2 6 2 2" xfId="20344"/>
    <cellStyle name="Comma 9 3 2 6 2 2 2" xfId="34369"/>
    <cellStyle name="Comma 9 3 2 6 2 3" xfId="26358"/>
    <cellStyle name="Comma 9 3 2 6 3" xfId="14334"/>
    <cellStyle name="Comma 9 3 2 6 3 2" xfId="22349"/>
    <cellStyle name="Comma 9 3 2 6 3 2 2" xfId="36374"/>
    <cellStyle name="Comma 9 3 2 6 3 3" xfId="28363"/>
    <cellStyle name="Comma 9 3 2 6 4" xfId="16340"/>
    <cellStyle name="Comma 9 3 2 6 4 2" xfId="30365"/>
    <cellStyle name="Comma 9 3 2 6 5" xfId="18342"/>
    <cellStyle name="Comma 9 3 2 6 5 2" xfId="32367"/>
    <cellStyle name="Comma 9 3 2 6 6" xfId="24356"/>
    <cellStyle name="Comma 9 3 2 7" xfId="12300"/>
    <cellStyle name="Comma 9 3 2 7 2" xfId="20325"/>
    <cellStyle name="Comma 9 3 2 7 2 2" xfId="34350"/>
    <cellStyle name="Comma 9 3 2 7 3" xfId="26339"/>
    <cellStyle name="Comma 9 3 2 8" xfId="14315"/>
    <cellStyle name="Comma 9 3 2 8 2" xfId="22330"/>
    <cellStyle name="Comma 9 3 2 8 2 2" xfId="36355"/>
    <cellStyle name="Comma 9 3 2 8 3" xfId="28344"/>
    <cellStyle name="Comma 9 3 2 9" xfId="16321"/>
    <cellStyle name="Comma 9 3 2 9 2" xfId="30346"/>
    <cellStyle name="Comma 9 3 3" xfId="1578"/>
    <cellStyle name="Comma 9 3 3 10" xfId="24357"/>
    <cellStyle name="Comma 9 3 3 2" xfId="1579"/>
    <cellStyle name="Comma 9 3 3 2 2" xfId="1580"/>
    <cellStyle name="Comma 9 3 3 2 2 2" xfId="1581"/>
    <cellStyle name="Comma 9 3 3 2 2 2 2" xfId="12323"/>
    <cellStyle name="Comma 9 3 3 2 2 2 2 2" xfId="20348"/>
    <cellStyle name="Comma 9 3 3 2 2 2 2 2 2" xfId="34373"/>
    <cellStyle name="Comma 9 3 3 2 2 2 2 3" xfId="26362"/>
    <cellStyle name="Comma 9 3 3 2 2 2 3" xfId="14338"/>
    <cellStyle name="Comma 9 3 3 2 2 2 3 2" xfId="22353"/>
    <cellStyle name="Comma 9 3 3 2 2 2 3 2 2" xfId="36378"/>
    <cellStyle name="Comma 9 3 3 2 2 2 3 3" xfId="28367"/>
    <cellStyle name="Comma 9 3 3 2 2 2 4" xfId="16344"/>
    <cellStyle name="Comma 9 3 3 2 2 2 4 2" xfId="30369"/>
    <cellStyle name="Comma 9 3 3 2 2 2 5" xfId="18346"/>
    <cellStyle name="Comma 9 3 3 2 2 2 5 2" xfId="32371"/>
    <cellStyle name="Comma 9 3 3 2 2 2 6" xfId="24360"/>
    <cellStyle name="Comma 9 3 3 2 2 3" xfId="12322"/>
    <cellStyle name="Comma 9 3 3 2 2 3 2" xfId="20347"/>
    <cellStyle name="Comma 9 3 3 2 2 3 2 2" xfId="34372"/>
    <cellStyle name="Comma 9 3 3 2 2 3 3" xfId="26361"/>
    <cellStyle name="Comma 9 3 3 2 2 4" xfId="14337"/>
    <cellStyle name="Comma 9 3 3 2 2 4 2" xfId="22352"/>
    <cellStyle name="Comma 9 3 3 2 2 4 2 2" xfId="36377"/>
    <cellStyle name="Comma 9 3 3 2 2 4 3" xfId="28366"/>
    <cellStyle name="Comma 9 3 3 2 2 5" xfId="16343"/>
    <cellStyle name="Comma 9 3 3 2 2 5 2" xfId="30368"/>
    <cellStyle name="Comma 9 3 3 2 2 6" xfId="18345"/>
    <cellStyle name="Comma 9 3 3 2 2 6 2" xfId="32370"/>
    <cellStyle name="Comma 9 3 3 2 2 7" xfId="24359"/>
    <cellStyle name="Comma 9 3 3 2 3" xfId="1582"/>
    <cellStyle name="Comma 9 3 3 2 3 2" xfId="12324"/>
    <cellStyle name="Comma 9 3 3 2 3 2 2" xfId="20349"/>
    <cellStyle name="Comma 9 3 3 2 3 2 2 2" xfId="34374"/>
    <cellStyle name="Comma 9 3 3 2 3 2 3" xfId="26363"/>
    <cellStyle name="Comma 9 3 3 2 3 3" xfId="14339"/>
    <cellStyle name="Comma 9 3 3 2 3 3 2" xfId="22354"/>
    <cellStyle name="Comma 9 3 3 2 3 3 2 2" xfId="36379"/>
    <cellStyle name="Comma 9 3 3 2 3 3 3" xfId="28368"/>
    <cellStyle name="Comma 9 3 3 2 3 4" xfId="16345"/>
    <cellStyle name="Comma 9 3 3 2 3 4 2" xfId="30370"/>
    <cellStyle name="Comma 9 3 3 2 3 5" xfId="18347"/>
    <cellStyle name="Comma 9 3 3 2 3 5 2" xfId="32372"/>
    <cellStyle name="Comma 9 3 3 2 3 6" xfId="24361"/>
    <cellStyle name="Comma 9 3 3 2 4" xfId="12321"/>
    <cellStyle name="Comma 9 3 3 2 4 2" xfId="20346"/>
    <cellStyle name="Comma 9 3 3 2 4 2 2" xfId="34371"/>
    <cellStyle name="Comma 9 3 3 2 4 3" xfId="26360"/>
    <cellStyle name="Comma 9 3 3 2 5" xfId="14336"/>
    <cellStyle name="Comma 9 3 3 2 5 2" xfId="22351"/>
    <cellStyle name="Comma 9 3 3 2 5 2 2" xfId="36376"/>
    <cellStyle name="Comma 9 3 3 2 5 3" xfId="28365"/>
    <cellStyle name="Comma 9 3 3 2 6" xfId="16342"/>
    <cellStyle name="Comma 9 3 3 2 6 2" xfId="30367"/>
    <cellStyle name="Comma 9 3 3 2 7" xfId="18344"/>
    <cellStyle name="Comma 9 3 3 2 7 2" xfId="32369"/>
    <cellStyle name="Comma 9 3 3 2 8" xfId="24358"/>
    <cellStyle name="Comma 9 3 3 3" xfId="1583"/>
    <cellStyle name="Comma 9 3 3 3 2" xfId="1584"/>
    <cellStyle name="Comma 9 3 3 3 2 2" xfId="12326"/>
    <cellStyle name="Comma 9 3 3 3 2 2 2" xfId="20351"/>
    <cellStyle name="Comma 9 3 3 3 2 2 2 2" xfId="34376"/>
    <cellStyle name="Comma 9 3 3 3 2 2 3" xfId="26365"/>
    <cellStyle name="Comma 9 3 3 3 2 3" xfId="14341"/>
    <cellStyle name="Comma 9 3 3 3 2 3 2" xfId="22356"/>
    <cellStyle name="Comma 9 3 3 3 2 3 2 2" xfId="36381"/>
    <cellStyle name="Comma 9 3 3 3 2 3 3" xfId="28370"/>
    <cellStyle name="Comma 9 3 3 3 2 4" xfId="16347"/>
    <cellStyle name="Comma 9 3 3 3 2 4 2" xfId="30372"/>
    <cellStyle name="Comma 9 3 3 3 2 5" xfId="18349"/>
    <cellStyle name="Comma 9 3 3 3 2 5 2" xfId="32374"/>
    <cellStyle name="Comma 9 3 3 3 2 6" xfId="24363"/>
    <cellStyle name="Comma 9 3 3 3 3" xfId="12325"/>
    <cellStyle name="Comma 9 3 3 3 3 2" xfId="20350"/>
    <cellStyle name="Comma 9 3 3 3 3 2 2" xfId="34375"/>
    <cellStyle name="Comma 9 3 3 3 3 3" xfId="26364"/>
    <cellStyle name="Comma 9 3 3 3 4" xfId="14340"/>
    <cellStyle name="Comma 9 3 3 3 4 2" xfId="22355"/>
    <cellStyle name="Comma 9 3 3 3 4 2 2" xfId="36380"/>
    <cellStyle name="Comma 9 3 3 3 4 3" xfId="28369"/>
    <cellStyle name="Comma 9 3 3 3 5" xfId="16346"/>
    <cellStyle name="Comma 9 3 3 3 5 2" xfId="30371"/>
    <cellStyle name="Comma 9 3 3 3 6" xfId="18348"/>
    <cellStyle name="Comma 9 3 3 3 6 2" xfId="32373"/>
    <cellStyle name="Comma 9 3 3 3 7" xfId="24362"/>
    <cellStyle name="Comma 9 3 3 4" xfId="1585"/>
    <cellStyle name="Comma 9 3 3 4 2" xfId="1586"/>
    <cellStyle name="Comma 9 3 3 4 2 2" xfId="12328"/>
    <cellStyle name="Comma 9 3 3 4 2 2 2" xfId="20353"/>
    <cellStyle name="Comma 9 3 3 4 2 2 2 2" xfId="34378"/>
    <cellStyle name="Comma 9 3 3 4 2 2 3" xfId="26367"/>
    <cellStyle name="Comma 9 3 3 4 2 3" xfId="14343"/>
    <cellStyle name="Comma 9 3 3 4 2 3 2" xfId="22358"/>
    <cellStyle name="Comma 9 3 3 4 2 3 2 2" xfId="36383"/>
    <cellStyle name="Comma 9 3 3 4 2 3 3" xfId="28372"/>
    <cellStyle name="Comma 9 3 3 4 2 4" xfId="16349"/>
    <cellStyle name="Comma 9 3 3 4 2 4 2" xfId="30374"/>
    <cellStyle name="Comma 9 3 3 4 2 5" xfId="18351"/>
    <cellStyle name="Comma 9 3 3 4 2 5 2" xfId="32376"/>
    <cellStyle name="Comma 9 3 3 4 2 6" xfId="24365"/>
    <cellStyle name="Comma 9 3 3 4 3" xfId="12327"/>
    <cellStyle name="Comma 9 3 3 4 3 2" xfId="20352"/>
    <cellStyle name="Comma 9 3 3 4 3 2 2" xfId="34377"/>
    <cellStyle name="Comma 9 3 3 4 3 3" xfId="26366"/>
    <cellStyle name="Comma 9 3 3 4 4" xfId="14342"/>
    <cellStyle name="Comma 9 3 3 4 4 2" xfId="22357"/>
    <cellStyle name="Comma 9 3 3 4 4 2 2" xfId="36382"/>
    <cellStyle name="Comma 9 3 3 4 4 3" xfId="28371"/>
    <cellStyle name="Comma 9 3 3 4 5" xfId="16348"/>
    <cellStyle name="Comma 9 3 3 4 5 2" xfId="30373"/>
    <cellStyle name="Comma 9 3 3 4 6" xfId="18350"/>
    <cellStyle name="Comma 9 3 3 4 6 2" xfId="32375"/>
    <cellStyle name="Comma 9 3 3 4 7" xfId="24364"/>
    <cellStyle name="Comma 9 3 3 5" xfId="1587"/>
    <cellStyle name="Comma 9 3 3 5 2" xfId="12329"/>
    <cellStyle name="Comma 9 3 3 5 2 2" xfId="20354"/>
    <cellStyle name="Comma 9 3 3 5 2 2 2" xfId="34379"/>
    <cellStyle name="Comma 9 3 3 5 2 3" xfId="26368"/>
    <cellStyle name="Comma 9 3 3 5 3" xfId="14344"/>
    <cellStyle name="Comma 9 3 3 5 3 2" xfId="22359"/>
    <cellStyle name="Comma 9 3 3 5 3 2 2" xfId="36384"/>
    <cellStyle name="Comma 9 3 3 5 3 3" xfId="28373"/>
    <cellStyle name="Comma 9 3 3 5 4" xfId="16350"/>
    <cellStyle name="Comma 9 3 3 5 4 2" xfId="30375"/>
    <cellStyle name="Comma 9 3 3 5 5" xfId="18352"/>
    <cellStyle name="Comma 9 3 3 5 5 2" xfId="32377"/>
    <cellStyle name="Comma 9 3 3 5 6" xfId="24366"/>
    <cellStyle name="Comma 9 3 3 6" xfId="12320"/>
    <cellStyle name="Comma 9 3 3 6 2" xfId="20345"/>
    <cellStyle name="Comma 9 3 3 6 2 2" xfId="34370"/>
    <cellStyle name="Comma 9 3 3 6 3" xfId="26359"/>
    <cellStyle name="Comma 9 3 3 7" xfId="14335"/>
    <cellStyle name="Comma 9 3 3 7 2" xfId="22350"/>
    <cellStyle name="Comma 9 3 3 7 2 2" xfId="36375"/>
    <cellStyle name="Comma 9 3 3 7 3" xfId="28364"/>
    <cellStyle name="Comma 9 3 3 8" xfId="16341"/>
    <cellStyle name="Comma 9 3 3 8 2" xfId="30366"/>
    <cellStyle name="Comma 9 3 3 9" xfId="18343"/>
    <cellStyle name="Comma 9 3 3 9 2" xfId="32368"/>
    <cellStyle name="Comma 9 3 4" xfId="1588"/>
    <cellStyle name="Comma 9 3 4 2" xfId="1589"/>
    <cellStyle name="Comma 9 3 4 2 2" xfId="1590"/>
    <cellStyle name="Comma 9 3 4 2 2 2" xfId="12332"/>
    <cellStyle name="Comma 9 3 4 2 2 2 2" xfId="20357"/>
    <cellStyle name="Comma 9 3 4 2 2 2 2 2" xfId="34382"/>
    <cellStyle name="Comma 9 3 4 2 2 2 3" xfId="26371"/>
    <cellStyle name="Comma 9 3 4 2 2 3" xfId="14347"/>
    <cellStyle name="Comma 9 3 4 2 2 3 2" xfId="22362"/>
    <cellStyle name="Comma 9 3 4 2 2 3 2 2" xfId="36387"/>
    <cellStyle name="Comma 9 3 4 2 2 3 3" xfId="28376"/>
    <cellStyle name="Comma 9 3 4 2 2 4" xfId="16353"/>
    <cellStyle name="Comma 9 3 4 2 2 4 2" xfId="30378"/>
    <cellStyle name="Comma 9 3 4 2 2 5" xfId="18355"/>
    <cellStyle name="Comma 9 3 4 2 2 5 2" xfId="32380"/>
    <cellStyle name="Comma 9 3 4 2 2 6" xfId="24369"/>
    <cellStyle name="Comma 9 3 4 2 3" xfId="12331"/>
    <cellStyle name="Comma 9 3 4 2 3 2" xfId="20356"/>
    <cellStyle name="Comma 9 3 4 2 3 2 2" xfId="34381"/>
    <cellStyle name="Comma 9 3 4 2 3 3" xfId="26370"/>
    <cellStyle name="Comma 9 3 4 2 4" xfId="14346"/>
    <cellStyle name="Comma 9 3 4 2 4 2" xfId="22361"/>
    <cellStyle name="Comma 9 3 4 2 4 2 2" xfId="36386"/>
    <cellStyle name="Comma 9 3 4 2 4 3" xfId="28375"/>
    <cellStyle name="Comma 9 3 4 2 5" xfId="16352"/>
    <cellStyle name="Comma 9 3 4 2 5 2" xfId="30377"/>
    <cellStyle name="Comma 9 3 4 2 6" xfId="18354"/>
    <cellStyle name="Comma 9 3 4 2 6 2" xfId="32379"/>
    <cellStyle name="Comma 9 3 4 2 7" xfId="24368"/>
    <cellStyle name="Comma 9 3 4 3" xfId="1591"/>
    <cellStyle name="Comma 9 3 4 3 2" xfId="12333"/>
    <cellStyle name="Comma 9 3 4 3 2 2" xfId="20358"/>
    <cellStyle name="Comma 9 3 4 3 2 2 2" xfId="34383"/>
    <cellStyle name="Comma 9 3 4 3 2 3" xfId="26372"/>
    <cellStyle name="Comma 9 3 4 3 3" xfId="14348"/>
    <cellStyle name="Comma 9 3 4 3 3 2" xfId="22363"/>
    <cellStyle name="Comma 9 3 4 3 3 2 2" xfId="36388"/>
    <cellStyle name="Comma 9 3 4 3 3 3" xfId="28377"/>
    <cellStyle name="Comma 9 3 4 3 4" xfId="16354"/>
    <cellStyle name="Comma 9 3 4 3 4 2" xfId="30379"/>
    <cellStyle name="Comma 9 3 4 3 5" xfId="18356"/>
    <cellStyle name="Comma 9 3 4 3 5 2" xfId="32381"/>
    <cellStyle name="Comma 9 3 4 3 6" xfId="24370"/>
    <cellStyle name="Comma 9 3 4 4" xfId="12330"/>
    <cellStyle name="Comma 9 3 4 4 2" xfId="20355"/>
    <cellStyle name="Comma 9 3 4 4 2 2" xfId="34380"/>
    <cellStyle name="Comma 9 3 4 4 3" xfId="26369"/>
    <cellStyle name="Comma 9 3 4 5" xfId="14345"/>
    <cellStyle name="Comma 9 3 4 5 2" xfId="22360"/>
    <cellStyle name="Comma 9 3 4 5 2 2" xfId="36385"/>
    <cellStyle name="Comma 9 3 4 5 3" xfId="28374"/>
    <cellStyle name="Comma 9 3 4 6" xfId="16351"/>
    <cellStyle name="Comma 9 3 4 6 2" xfId="30376"/>
    <cellStyle name="Comma 9 3 4 7" xfId="18353"/>
    <cellStyle name="Comma 9 3 4 7 2" xfId="32378"/>
    <cellStyle name="Comma 9 3 4 8" xfId="24367"/>
    <cellStyle name="Comma 9 3 5" xfId="1592"/>
    <cellStyle name="Comma 9 3 5 2" xfId="1593"/>
    <cellStyle name="Comma 9 3 5 2 2" xfId="12335"/>
    <cellStyle name="Comma 9 3 5 2 2 2" xfId="20360"/>
    <cellStyle name="Comma 9 3 5 2 2 2 2" xfId="34385"/>
    <cellStyle name="Comma 9 3 5 2 2 3" xfId="26374"/>
    <cellStyle name="Comma 9 3 5 2 3" xfId="14350"/>
    <cellStyle name="Comma 9 3 5 2 3 2" xfId="22365"/>
    <cellStyle name="Comma 9 3 5 2 3 2 2" xfId="36390"/>
    <cellStyle name="Comma 9 3 5 2 3 3" xfId="28379"/>
    <cellStyle name="Comma 9 3 5 2 4" xfId="16356"/>
    <cellStyle name="Comma 9 3 5 2 4 2" xfId="30381"/>
    <cellStyle name="Comma 9 3 5 2 5" xfId="18358"/>
    <cellStyle name="Comma 9 3 5 2 5 2" xfId="32383"/>
    <cellStyle name="Comma 9 3 5 2 6" xfId="24372"/>
    <cellStyle name="Comma 9 3 5 3" xfId="12334"/>
    <cellStyle name="Comma 9 3 5 3 2" xfId="20359"/>
    <cellStyle name="Comma 9 3 5 3 2 2" xfId="34384"/>
    <cellStyle name="Comma 9 3 5 3 3" xfId="26373"/>
    <cellStyle name="Comma 9 3 5 4" xfId="14349"/>
    <cellStyle name="Comma 9 3 5 4 2" xfId="22364"/>
    <cellStyle name="Comma 9 3 5 4 2 2" xfId="36389"/>
    <cellStyle name="Comma 9 3 5 4 3" xfId="28378"/>
    <cellStyle name="Comma 9 3 5 5" xfId="16355"/>
    <cellStyle name="Comma 9 3 5 5 2" xfId="30380"/>
    <cellStyle name="Comma 9 3 5 6" xfId="18357"/>
    <cellStyle name="Comma 9 3 5 6 2" xfId="32382"/>
    <cellStyle name="Comma 9 3 5 7" xfId="24371"/>
    <cellStyle name="Comma 9 3 6" xfId="1594"/>
    <cellStyle name="Comma 9 3 6 2" xfId="1595"/>
    <cellStyle name="Comma 9 3 6 2 2" xfId="12337"/>
    <cellStyle name="Comma 9 3 6 2 2 2" xfId="20362"/>
    <cellStyle name="Comma 9 3 6 2 2 2 2" xfId="34387"/>
    <cellStyle name="Comma 9 3 6 2 2 3" xfId="26376"/>
    <cellStyle name="Comma 9 3 6 2 3" xfId="14352"/>
    <cellStyle name="Comma 9 3 6 2 3 2" xfId="22367"/>
    <cellStyle name="Comma 9 3 6 2 3 2 2" xfId="36392"/>
    <cellStyle name="Comma 9 3 6 2 3 3" xfId="28381"/>
    <cellStyle name="Comma 9 3 6 2 4" xfId="16358"/>
    <cellStyle name="Comma 9 3 6 2 4 2" xfId="30383"/>
    <cellStyle name="Comma 9 3 6 2 5" xfId="18360"/>
    <cellStyle name="Comma 9 3 6 2 5 2" xfId="32385"/>
    <cellStyle name="Comma 9 3 6 2 6" xfId="24374"/>
    <cellStyle name="Comma 9 3 6 3" xfId="12336"/>
    <cellStyle name="Comma 9 3 6 3 2" xfId="20361"/>
    <cellStyle name="Comma 9 3 6 3 2 2" xfId="34386"/>
    <cellStyle name="Comma 9 3 6 3 3" xfId="26375"/>
    <cellStyle name="Comma 9 3 6 4" xfId="14351"/>
    <cellStyle name="Comma 9 3 6 4 2" xfId="22366"/>
    <cellStyle name="Comma 9 3 6 4 2 2" xfId="36391"/>
    <cellStyle name="Comma 9 3 6 4 3" xfId="28380"/>
    <cellStyle name="Comma 9 3 6 5" xfId="16357"/>
    <cellStyle name="Comma 9 3 6 5 2" xfId="30382"/>
    <cellStyle name="Comma 9 3 6 6" xfId="18359"/>
    <cellStyle name="Comma 9 3 6 6 2" xfId="32384"/>
    <cellStyle name="Comma 9 3 6 7" xfId="24373"/>
    <cellStyle name="Comma 9 3 7" xfId="1596"/>
    <cellStyle name="Comma 9 3 7 2" xfId="12338"/>
    <cellStyle name="Comma 9 3 7 2 2" xfId="20363"/>
    <cellStyle name="Comma 9 3 7 2 2 2" xfId="34388"/>
    <cellStyle name="Comma 9 3 7 2 3" xfId="26377"/>
    <cellStyle name="Comma 9 3 7 3" xfId="14353"/>
    <cellStyle name="Comma 9 3 7 3 2" xfId="22368"/>
    <cellStyle name="Comma 9 3 7 3 2 2" xfId="36393"/>
    <cellStyle name="Comma 9 3 7 3 3" xfId="28382"/>
    <cellStyle name="Comma 9 3 7 4" xfId="16359"/>
    <cellStyle name="Comma 9 3 7 4 2" xfId="30384"/>
    <cellStyle name="Comma 9 3 7 5" xfId="18361"/>
    <cellStyle name="Comma 9 3 7 5 2" xfId="32386"/>
    <cellStyle name="Comma 9 3 7 6" xfId="24375"/>
    <cellStyle name="Comma 9 3 8" xfId="12299"/>
    <cellStyle name="Comma 9 3 8 2" xfId="20324"/>
    <cellStyle name="Comma 9 3 8 2 2" xfId="34349"/>
    <cellStyle name="Comma 9 3 8 3" xfId="26338"/>
    <cellStyle name="Comma 9 3 9" xfId="14314"/>
    <cellStyle name="Comma 9 3 9 2" xfId="22329"/>
    <cellStyle name="Comma 9 3 9 2 2" xfId="36354"/>
    <cellStyle name="Comma 9 3 9 3" xfId="28343"/>
    <cellStyle name="Comma0" xfId="430"/>
    <cellStyle name="Comma0 - Style2" xfId="431"/>
    <cellStyle name="Config Data" xfId="432"/>
    <cellStyle name="cost_per_kw" xfId="433"/>
    <cellStyle name="Currency" xfId="434" builtinId="4"/>
    <cellStyle name="Currency [$0]" xfId="435"/>
    <cellStyle name="Currency [£0]" xfId="436"/>
    <cellStyle name="Currency 2" xfId="437"/>
    <cellStyle name="Currency 2 2" xfId="438"/>
    <cellStyle name="Currency 2 2 2" xfId="1597"/>
    <cellStyle name="Currency 2 2 3" xfId="1598"/>
    <cellStyle name="Currency 2 3" xfId="1599"/>
    <cellStyle name="Currency 3" xfId="439"/>
    <cellStyle name="Currency 3 2" xfId="440"/>
    <cellStyle name="Currency 4" xfId="441"/>
    <cellStyle name="Currency 4 2" xfId="1600"/>
    <cellStyle name="Currency 4 2 10" xfId="18362"/>
    <cellStyle name="Currency 4 2 10 2" xfId="32387"/>
    <cellStyle name="Currency 4 2 11" xfId="24376"/>
    <cellStyle name="Currency 4 2 2" xfId="1601"/>
    <cellStyle name="Currency 4 2 2 10" xfId="24377"/>
    <cellStyle name="Currency 4 2 2 2" xfId="1602"/>
    <cellStyle name="Currency 4 2 2 2 2" xfId="1603"/>
    <cellStyle name="Currency 4 2 2 2 2 2" xfId="1604"/>
    <cellStyle name="Currency 4 2 2 2 2 2 2" xfId="12343"/>
    <cellStyle name="Currency 4 2 2 2 2 2 2 2" xfId="20368"/>
    <cellStyle name="Currency 4 2 2 2 2 2 2 2 2" xfId="34393"/>
    <cellStyle name="Currency 4 2 2 2 2 2 2 3" xfId="26382"/>
    <cellStyle name="Currency 4 2 2 2 2 2 3" xfId="14358"/>
    <cellStyle name="Currency 4 2 2 2 2 2 3 2" xfId="22373"/>
    <cellStyle name="Currency 4 2 2 2 2 2 3 2 2" xfId="36398"/>
    <cellStyle name="Currency 4 2 2 2 2 2 3 3" xfId="28387"/>
    <cellStyle name="Currency 4 2 2 2 2 2 4" xfId="16364"/>
    <cellStyle name="Currency 4 2 2 2 2 2 4 2" xfId="30389"/>
    <cellStyle name="Currency 4 2 2 2 2 2 5" xfId="18366"/>
    <cellStyle name="Currency 4 2 2 2 2 2 5 2" xfId="32391"/>
    <cellStyle name="Currency 4 2 2 2 2 2 6" xfId="24380"/>
    <cellStyle name="Currency 4 2 2 2 2 3" xfId="12342"/>
    <cellStyle name="Currency 4 2 2 2 2 3 2" xfId="20367"/>
    <cellStyle name="Currency 4 2 2 2 2 3 2 2" xfId="34392"/>
    <cellStyle name="Currency 4 2 2 2 2 3 3" xfId="26381"/>
    <cellStyle name="Currency 4 2 2 2 2 4" xfId="14357"/>
    <cellStyle name="Currency 4 2 2 2 2 4 2" xfId="22372"/>
    <cellStyle name="Currency 4 2 2 2 2 4 2 2" xfId="36397"/>
    <cellStyle name="Currency 4 2 2 2 2 4 3" xfId="28386"/>
    <cellStyle name="Currency 4 2 2 2 2 5" xfId="16363"/>
    <cellStyle name="Currency 4 2 2 2 2 5 2" xfId="30388"/>
    <cellStyle name="Currency 4 2 2 2 2 6" xfId="18365"/>
    <cellStyle name="Currency 4 2 2 2 2 6 2" xfId="32390"/>
    <cellStyle name="Currency 4 2 2 2 2 7" xfId="24379"/>
    <cellStyle name="Currency 4 2 2 2 3" xfId="1605"/>
    <cellStyle name="Currency 4 2 2 2 3 2" xfId="12344"/>
    <cellStyle name="Currency 4 2 2 2 3 2 2" xfId="20369"/>
    <cellStyle name="Currency 4 2 2 2 3 2 2 2" xfId="34394"/>
    <cellStyle name="Currency 4 2 2 2 3 2 3" xfId="26383"/>
    <cellStyle name="Currency 4 2 2 2 3 3" xfId="14359"/>
    <cellStyle name="Currency 4 2 2 2 3 3 2" xfId="22374"/>
    <cellStyle name="Currency 4 2 2 2 3 3 2 2" xfId="36399"/>
    <cellStyle name="Currency 4 2 2 2 3 3 3" xfId="28388"/>
    <cellStyle name="Currency 4 2 2 2 3 4" xfId="16365"/>
    <cellStyle name="Currency 4 2 2 2 3 4 2" xfId="30390"/>
    <cellStyle name="Currency 4 2 2 2 3 5" xfId="18367"/>
    <cellStyle name="Currency 4 2 2 2 3 5 2" xfId="32392"/>
    <cellStyle name="Currency 4 2 2 2 3 6" xfId="24381"/>
    <cellStyle name="Currency 4 2 2 2 4" xfId="12341"/>
    <cellStyle name="Currency 4 2 2 2 4 2" xfId="20366"/>
    <cellStyle name="Currency 4 2 2 2 4 2 2" xfId="34391"/>
    <cellStyle name="Currency 4 2 2 2 4 3" xfId="26380"/>
    <cellStyle name="Currency 4 2 2 2 5" xfId="14356"/>
    <cellStyle name="Currency 4 2 2 2 5 2" xfId="22371"/>
    <cellStyle name="Currency 4 2 2 2 5 2 2" xfId="36396"/>
    <cellStyle name="Currency 4 2 2 2 5 3" xfId="28385"/>
    <cellStyle name="Currency 4 2 2 2 6" xfId="16362"/>
    <cellStyle name="Currency 4 2 2 2 6 2" xfId="30387"/>
    <cellStyle name="Currency 4 2 2 2 7" xfId="18364"/>
    <cellStyle name="Currency 4 2 2 2 7 2" xfId="32389"/>
    <cellStyle name="Currency 4 2 2 2 8" xfId="24378"/>
    <cellStyle name="Currency 4 2 2 3" xfId="1606"/>
    <cellStyle name="Currency 4 2 2 3 2" xfId="1607"/>
    <cellStyle name="Currency 4 2 2 3 2 2" xfId="12346"/>
    <cellStyle name="Currency 4 2 2 3 2 2 2" xfId="20371"/>
    <cellStyle name="Currency 4 2 2 3 2 2 2 2" xfId="34396"/>
    <cellStyle name="Currency 4 2 2 3 2 2 3" xfId="26385"/>
    <cellStyle name="Currency 4 2 2 3 2 3" xfId="14361"/>
    <cellStyle name="Currency 4 2 2 3 2 3 2" xfId="22376"/>
    <cellStyle name="Currency 4 2 2 3 2 3 2 2" xfId="36401"/>
    <cellStyle name="Currency 4 2 2 3 2 3 3" xfId="28390"/>
    <cellStyle name="Currency 4 2 2 3 2 4" xfId="16367"/>
    <cellStyle name="Currency 4 2 2 3 2 4 2" xfId="30392"/>
    <cellStyle name="Currency 4 2 2 3 2 5" xfId="18369"/>
    <cellStyle name="Currency 4 2 2 3 2 5 2" xfId="32394"/>
    <cellStyle name="Currency 4 2 2 3 2 6" xfId="24383"/>
    <cellStyle name="Currency 4 2 2 3 3" xfId="12345"/>
    <cellStyle name="Currency 4 2 2 3 3 2" xfId="20370"/>
    <cellStyle name="Currency 4 2 2 3 3 2 2" xfId="34395"/>
    <cellStyle name="Currency 4 2 2 3 3 3" xfId="26384"/>
    <cellStyle name="Currency 4 2 2 3 4" xfId="14360"/>
    <cellStyle name="Currency 4 2 2 3 4 2" xfId="22375"/>
    <cellStyle name="Currency 4 2 2 3 4 2 2" xfId="36400"/>
    <cellStyle name="Currency 4 2 2 3 4 3" xfId="28389"/>
    <cellStyle name="Currency 4 2 2 3 5" xfId="16366"/>
    <cellStyle name="Currency 4 2 2 3 5 2" xfId="30391"/>
    <cellStyle name="Currency 4 2 2 3 6" xfId="18368"/>
    <cellStyle name="Currency 4 2 2 3 6 2" xfId="32393"/>
    <cellStyle name="Currency 4 2 2 3 7" xfId="24382"/>
    <cellStyle name="Currency 4 2 2 4" xfId="1608"/>
    <cellStyle name="Currency 4 2 2 4 2" xfId="1609"/>
    <cellStyle name="Currency 4 2 2 4 2 2" xfId="12348"/>
    <cellStyle name="Currency 4 2 2 4 2 2 2" xfId="20373"/>
    <cellStyle name="Currency 4 2 2 4 2 2 2 2" xfId="34398"/>
    <cellStyle name="Currency 4 2 2 4 2 2 3" xfId="26387"/>
    <cellStyle name="Currency 4 2 2 4 2 3" xfId="14363"/>
    <cellStyle name="Currency 4 2 2 4 2 3 2" xfId="22378"/>
    <cellStyle name="Currency 4 2 2 4 2 3 2 2" xfId="36403"/>
    <cellStyle name="Currency 4 2 2 4 2 3 3" xfId="28392"/>
    <cellStyle name="Currency 4 2 2 4 2 4" xfId="16369"/>
    <cellStyle name="Currency 4 2 2 4 2 4 2" xfId="30394"/>
    <cellStyle name="Currency 4 2 2 4 2 5" xfId="18371"/>
    <cellStyle name="Currency 4 2 2 4 2 5 2" xfId="32396"/>
    <cellStyle name="Currency 4 2 2 4 2 6" xfId="24385"/>
    <cellStyle name="Currency 4 2 2 4 3" xfId="12347"/>
    <cellStyle name="Currency 4 2 2 4 3 2" xfId="20372"/>
    <cellStyle name="Currency 4 2 2 4 3 2 2" xfId="34397"/>
    <cellStyle name="Currency 4 2 2 4 3 3" xfId="26386"/>
    <cellStyle name="Currency 4 2 2 4 4" xfId="14362"/>
    <cellStyle name="Currency 4 2 2 4 4 2" xfId="22377"/>
    <cellStyle name="Currency 4 2 2 4 4 2 2" xfId="36402"/>
    <cellStyle name="Currency 4 2 2 4 4 3" xfId="28391"/>
    <cellStyle name="Currency 4 2 2 4 5" xfId="16368"/>
    <cellStyle name="Currency 4 2 2 4 5 2" xfId="30393"/>
    <cellStyle name="Currency 4 2 2 4 6" xfId="18370"/>
    <cellStyle name="Currency 4 2 2 4 6 2" xfId="32395"/>
    <cellStyle name="Currency 4 2 2 4 7" xfId="24384"/>
    <cellStyle name="Currency 4 2 2 5" xfId="1610"/>
    <cellStyle name="Currency 4 2 2 5 2" xfId="12349"/>
    <cellStyle name="Currency 4 2 2 5 2 2" xfId="20374"/>
    <cellStyle name="Currency 4 2 2 5 2 2 2" xfId="34399"/>
    <cellStyle name="Currency 4 2 2 5 2 3" xfId="26388"/>
    <cellStyle name="Currency 4 2 2 5 3" xfId="14364"/>
    <cellStyle name="Currency 4 2 2 5 3 2" xfId="22379"/>
    <cellStyle name="Currency 4 2 2 5 3 2 2" xfId="36404"/>
    <cellStyle name="Currency 4 2 2 5 3 3" xfId="28393"/>
    <cellStyle name="Currency 4 2 2 5 4" xfId="16370"/>
    <cellStyle name="Currency 4 2 2 5 4 2" xfId="30395"/>
    <cellStyle name="Currency 4 2 2 5 5" xfId="18372"/>
    <cellStyle name="Currency 4 2 2 5 5 2" xfId="32397"/>
    <cellStyle name="Currency 4 2 2 5 6" xfId="24386"/>
    <cellStyle name="Currency 4 2 2 6" xfId="12340"/>
    <cellStyle name="Currency 4 2 2 6 2" xfId="20365"/>
    <cellStyle name="Currency 4 2 2 6 2 2" xfId="34390"/>
    <cellStyle name="Currency 4 2 2 6 3" xfId="26379"/>
    <cellStyle name="Currency 4 2 2 7" xfId="14355"/>
    <cellStyle name="Currency 4 2 2 7 2" xfId="22370"/>
    <cellStyle name="Currency 4 2 2 7 2 2" xfId="36395"/>
    <cellStyle name="Currency 4 2 2 7 3" xfId="28384"/>
    <cellStyle name="Currency 4 2 2 8" xfId="16361"/>
    <cellStyle name="Currency 4 2 2 8 2" xfId="30386"/>
    <cellStyle name="Currency 4 2 2 9" xfId="18363"/>
    <cellStyle name="Currency 4 2 2 9 2" xfId="32388"/>
    <cellStyle name="Currency 4 2 3" xfId="1611"/>
    <cellStyle name="Currency 4 2 3 2" xfId="1612"/>
    <cellStyle name="Currency 4 2 3 2 2" xfId="1613"/>
    <cellStyle name="Currency 4 2 3 2 2 2" xfId="12352"/>
    <cellStyle name="Currency 4 2 3 2 2 2 2" xfId="20377"/>
    <cellStyle name="Currency 4 2 3 2 2 2 2 2" xfId="34402"/>
    <cellStyle name="Currency 4 2 3 2 2 2 3" xfId="26391"/>
    <cellStyle name="Currency 4 2 3 2 2 3" xfId="14367"/>
    <cellStyle name="Currency 4 2 3 2 2 3 2" xfId="22382"/>
    <cellStyle name="Currency 4 2 3 2 2 3 2 2" xfId="36407"/>
    <cellStyle name="Currency 4 2 3 2 2 3 3" xfId="28396"/>
    <cellStyle name="Currency 4 2 3 2 2 4" xfId="16373"/>
    <cellStyle name="Currency 4 2 3 2 2 4 2" xfId="30398"/>
    <cellStyle name="Currency 4 2 3 2 2 5" xfId="18375"/>
    <cellStyle name="Currency 4 2 3 2 2 5 2" xfId="32400"/>
    <cellStyle name="Currency 4 2 3 2 2 6" xfId="24389"/>
    <cellStyle name="Currency 4 2 3 2 3" xfId="12351"/>
    <cellStyle name="Currency 4 2 3 2 3 2" xfId="20376"/>
    <cellStyle name="Currency 4 2 3 2 3 2 2" xfId="34401"/>
    <cellStyle name="Currency 4 2 3 2 3 3" xfId="26390"/>
    <cellStyle name="Currency 4 2 3 2 4" xfId="14366"/>
    <cellStyle name="Currency 4 2 3 2 4 2" xfId="22381"/>
    <cellStyle name="Currency 4 2 3 2 4 2 2" xfId="36406"/>
    <cellStyle name="Currency 4 2 3 2 4 3" xfId="28395"/>
    <cellStyle name="Currency 4 2 3 2 5" xfId="16372"/>
    <cellStyle name="Currency 4 2 3 2 5 2" xfId="30397"/>
    <cellStyle name="Currency 4 2 3 2 6" xfId="18374"/>
    <cellStyle name="Currency 4 2 3 2 6 2" xfId="32399"/>
    <cellStyle name="Currency 4 2 3 2 7" xfId="24388"/>
    <cellStyle name="Currency 4 2 3 3" xfId="1614"/>
    <cellStyle name="Currency 4 2 3 3 2" xfId="12353"/>
    <cellStyle name="Currency 4 2 3 3 2 2" xfId="20378"/>
    <cellStyle name="Currency 4 2 3 3 2 2 2" xfId="34403"/>
    <cellStyle name="Currency 4 2 3 3 2 3" xfId="26392"/>
    <cellStyle name="Currency 4 2 3 3 3" xfId="14368"/>
    <cellStyle name="Currency 4 2 3 3 3 2" xfId="22383"/>
    <cellStyle name="Currency 4 2 3 3 3 2 2" xfId="36408"/>
    <cellStyle name="Currency 4 2 3 3 3 3" xfId="28397"/>
    <cellStyle name="Currency 4 2 3 3 4" xfId="16374"/>
    <cellStyle name="Currency 4 2 3 3 4 2" xfId="30399"/>
    <cellStyle name="Currency 4 2 3 3 5" xfId="18376"/>
    <cellStyle name="Currency 4 2 3 3 5 2" xfId="32401"/>
    <cellStyle name="Currency 4 2 3 3 6" xfId="24390"/>
    <cellStyle name="Currency 4 2 3 4" xfId="12350"/>
    <cellStyle name="Currency 4 2 3 4 2" xfId="20375"/>
    <cellStyle name="Currency 4 2 3 4 2 2" xfId="34400"/>
    <cellStyle name="Currency 4 2 3 4 3" xfId="26389"/>
    <cellStyle name="Currency 4 2 3 5" xfId="14365"/>
    <cellStyle name="Currency 4 2 3 5 2" xfId="22380"/>
    <cellStyle name="Currency 4 2 3 5 2 2" xfId="36405"/>
    <cellStyle name="Currency 4 2 3 5 3" xfId="28394"/>
    <cellStyle name="Currency 4 2 3 6" xfId="16371"/>
    <cellStyle name="Currency 4 2 3 6 2" xfId="30396"/>
    <cellStyle name="Currency 4 2 3 7" xfId="18373"/>
    <cellStyle name="Currency 4 2 3 7 2" xfId="32398"/>
    <cellStyle name="Currency 4 2 3 8" xfId="24387"/>
    <cellStyle name="Currency 4 2 4" xfId="1615"/>
    <cellStyle name="Currency 4 2 4 2" xfId="1616"/>
    <cellStyle name="Currency 4 2 4 2 2" xfId="12355"/>
    <cellStyle name="Currency 4 2 4 2 2 2" xfId="20380"/>
    <cellStyle name="Currency 4 2 4 2 2 2 2" xfId="34405"/>
    <cellStyle name="Currency 4 2 4 2 2 3" xfId="26394"/>
    <cellStyle name="Currency 4 2 4 2 3" xfId="14370"/>
    <cellStyle name="Currency 4 2 4 2 3 2" xfId="22385"/>
    <cellStyle name="Currency 4 2 4 2 3 2 2" xfId="36410"/>
    <cellStyle name="Currency 4 2 4 2 3 3" xfId="28399"/>
    <cellStyle name="Currency 4 2 4 2 4" xfId="16376"/>
    <cellStyle name="Currency 4 2 4 2 4 2" xfId="30401"/>
    <cellStyle name="Currency 4 2 4 2 5" xfId="18378"/>
    <cellStyle name="Currency 4 2 4 2 5 2" xfId="32403"/>
    <cellStyle name="Currency 4 2 4 2 6" xfId="24392"/>
    <cellStyle name="Currency 4 2 4 3" xfId="12354"/>
    <cellStyle name="Currency 4 2 4 3 2" xfId="20379"/>
    <cellStyle name="Currency 4 2 4 3 2 2" xfId="34404"/>
    <cellStyle name="Currency 4 2 4 3 3" xfId="26393"/>
    <cellStyle name="Currency 4 2 4 4" xfId="14369"/>
    <cellStyle name="Currency 4 2 4 4 2" xfId="22384"/>
    <cellStyle name="Currency 4 2 4 4 2 2" xfId="36409"/>
    <cellStyle name="Currency 4 2 4 4 3" xfId="28398"/>
    <cellStyle name="Currency 4 2 4 5" xfId="16375"/>
    <cellStyle name="Currency 4 2 4 5 2" xfId="30400"/>
    <cellStyle name="Currency 4 2 4 6" xfId="18377"/>
    <cellStyle name="Currency 4 2 4 6 2" xfId="32402"/>
    <cellStyle name="Currency 4 2 4 7" xfId="24391"/>
    <cellStyle name="Currency 4 2 5" xfId="1617"/>
    <cellStyle name="Currency 4 2 5 2" xfId="1618"/>
    <cellStyle name="Currency 4 2 5 2 2" xfId="12357"/>
    <cellStyle name="Currency 4 2 5 2 2 2" xfId="20382"/>
    <cellStyle name="Currency 4 2 5 2 2 2 2" xfId="34407"/>
    <cellStyle name="Currency 4 2 5 2 2 3" xfId="26396"/>
    <cellStyle name="Currency 4 2 5 2 3" xfId="14372"/>
    <cellStyle name="Currency 4 2 5 2 3 2" xfId="22387"/>
    <cellStyle name="Currency 4 2 5 2 3 2 2" xfId="36412"/>
    <cellStyle name="Currency 4 2 5 2 3 3" xfId="28401"/>
    <cellStyle name="Currency 4 2 5 2 4" xfId="16378"/>
    <cellStyle name="Currency 4 2 5 2 4 2" xfId="30403"/>
    <cellStyle name="Currency 4 2 5 2 5" xfId="18380"/>
    <cellStyle name="Currency 4 2 5 2 5 2" xfId="32405"/>
    <cellStyle name="Currency 4 2 5 2 6" xfId="24394"/>
    <cellStyle name="Currency 4 2 5 3" xfId="12356"/>
    <cellStyle name="Currency 4 2 5 3 2" xfId="20381"/>
    <cellStyle name="Currency 4 2 5 3 2 2" xfId="34406"/>
    <cellStyle name="Currency 4 2 5 3 3" xfId="26395"/>
    <cellStyle name="Currency 4 2 5 4" xfId="14371"/>
    <cellStyle name="Currency 4 2 5 4 2" xfId="22386"/>
    <cellStyle name="Currency 4 2 5 4 2 2" xfId="36411"/>
    <cellStyle name="Currency 4 2 5 4 3" xfId="28400"/>
    <cellStyle name="Currency 4 2 5 5" xfId="16377"/>
    <cellStyle name="Currency 4 2 5 5 2" xfId="30402"/>
    <cellStyle name="Currency 4 2 5 6" xfId="18379"/>
    <cellStyle name="Currency 4 2 5 6 2" xfId="32404"/>
    <cellStyle name="Currency 4 2 5 7" xfId="24393"/>
    <cellStyle name="Currency 4 2 6" xfId="1619"/>
    <cellStyle name="Currency 4 2 6 2" xfId="12358"/>
    <cellStyle name="Currency 4 2 6 2 2" xfId="20383"/>
    <cellStyle name="Currency 4 2 6 2 2 2" xfId="34408"/>
    <cellStyle name="Currency 4 2 6 2 3" xfId="26397"/>
    <cellStyle name="Currency 4 2 6 3" xfId="14373"/>
    <cellStyle name="Currency 4 2 6 3 2" xfId="22388"/>
    <cellStyle name="Currency 4 2 6 3 2 2" xfId="36413"/>
    <cellStyle name="Currency 4 2 6 3 3" xfId="28402"/>
    <cellStyle name="Currency 4 2 6 4" xfId="16379"/>
    <cellStyle name="Currency 4 2 6 4 2" xfId="30404"/>
    <cellStyle name="Currency 4 2 6 5" xfId="18381"/>
    <cellStyle name="Currency 4 2 6 5 2" xfId="32406"/>
    <cellStyle name="Currency 4 2 6 6" xfId="24395"/>
    <cellStyle name="Currency 4 2 7" xfId="12339"/>
    <cellStyle name="Currency 4 2 7 2" xfId="20364"/>
    <cellStyle name="Currency 4 2 7 2 2" xfId="34389"/>
    <cellStyle name="Currency 4 2 7 3" xfId="26378"/>
    <cellStyle name="Currency 4 2 8" xfId="14354"/>
    <cellStyle name="Currency 4 2 8 2" xfId="22369"/>
    <cellStyle name="Currency 4 2 8 2 2" xfId="36394"/>
    <cellStyle name="Currency 4 2 8 3" xfId="28383"/>
    <cellStyle name="Currency 4 2 9" xfId="16360"/>
    <cellStyle name="Currency 4 2 9 2" xfId="30385"/>
    <cellStyle name="Currency 4 3" xfId="1620"/>
    <cellStyle name="Currency 4 3 10" xfId="24396"/>
    <cellStyle name="Currency 4 3 2" xfId="1621"/>
    <cellStyle name="Currency 4 3 2 2" xfId="1622"/>
    <cellStyle name="Currency 4 3 2 2 2" xfId="1623"/>
    <cellStyle name="Currency 4 3 2 2 2 2" xfId="12362"/>
    <cellStyle name="Currency 4 3 2 2 2 2 2" xfId="20387"/>
    <cellStyle name="Currency 4 3 2 2 2 2 2 2" xfId="34412"/>
    <cellStyle name="Currency 4 3 2 2 2 2 3" xfId="26401"/>
    <cellStyle name="Currency 4 3 2 2 2 3" xfId="14377"/>
    <cellStyle name="Currency 4 3 2 2 2 3 2" xfId="22392"/>
    <cellStyle name="Currency 4 3 2 2 2 3 2 2" xfId="36417"/>
    <cellStyle name="Currency 4 3 2 2 2 3 3" xfId="28406"/>
    <cellStyle name="Currency 4 3 2 2 2 4" xfId="16383"/>
    <cellStyle name="Currency 4 3 2 2 2 4 2" xfId="30408"/>
    <cellStyle name="Currency 4 3 2 2 2 5" xfId="18385"/>
    <cellStyle name="Currency 4 3 2 2 2 5 2" xfId="32410"/>
    <cellStyle name="Currency 4 3 2 2 2 6" xfId="24399"/>
    <cellStyle name="Currency 4 3 2 2 3" xfId="12361"/>
    <cellStyle name="Currency 4 3 2 2 3 2" xfId="20386"/>
    <cellStyle name="Currency 4 3 2 2 3 2 2" xfId="34411"/>
    <cellStyle name="Currency 4 3 2 2 3 3" xfId="26400"/>
    <cellStyle name="Currency 4 3 2 2 4" xfId="14376"/>
    <cellStyle name="Currency 4 3 2 2 4 2" xfId="22391"/>
    <cellStyle name="Currency 4 3 2 2 4 2 2" xfId="36416"/>
    <cellStyle name="Currency 4 3 2 2 4 3" xfId="28405"/>
    <cellStyle name="Currency 4 3 2 2 5" xfId="16382"/>
    <cellStyle name="Currency 4 3 2 2 5 2" xfId="30407"/>
    <cellStyle name="Currency 4 3 2 2 6" xfId="18384"/>
    <cellStyle name="Currency 4 3 2 2 6 2" xfId="32409"/>
    <cellStyle name="Currency 4 3 2 2 7" xfId="24398"/>
    <cellStyle name="Currency 4 3 2 3" xfId="1624"/>
    <cellStyle name="Currency 4 3 2 3 2" xfId="12363"/>
    <cellStyle name="Currency 4 3 2 3 2 2" xfId="20388"/>
    <cellStyle name="Currency 4 3 2 3 2 2 2" xfId="34413"/>
    <cellStyle name="Currency 4 3 2 3 2 3" xfId="26402"/>
    <cellStyle name="Currency 4 3 2 3 3" xfId="14378"/>
    <cellStyle name="Currency 4 3 2 3 3 2" xfId="22393"/>
    <cellStyle name="Currency 4 3 2 3 3 2 2" xfId="36418"/>
    <cellStyle name="Currency 4 3 2 3 3 3" xfId="28407"/>
    <cellStyle name="Currency 4 3 2 3 4" xfId="16384"/>
    <cellStyle name="Currency 4 3 2 3 4 2" xfId="30409"/>
    <cellStyle name="Currency 4 3 2 3 5" xfId="18386"/>
    <cellStyle name="Currency 4 3 2 3 5 2" xfId="32411"/>
    <cellStyle name="Currency 4 3 2 3 6" xfId="24400"/>
    <cellStyle name="Currency 4 3 2 4" xfId="12360"/>
    <cellStyle name="Currency 4 3 2 4 2" xfId="20385"/>
    <cellStyle name="Currency 4 3 2 4 2 2" xfId="34410"/>
    <cellStyle name="Currency 4 3 2 4 3" xfId="26399"/>
    <cellStyle name="Currency 4 3 2 5" xfId="14375"/>
    <cellStyle name="Currency 4 3 2 5 2" xfId="22390"/>
    <cellStyle name="Currency 4 3 2 5 2 2" xfId="36415"/>
    <cellStyle name="Currency 4 3 2 5 3" xfId="28404"/>
    <cellStyle name="Currency 4 3 2 6" xfId="16381"/>
    <cellStyle name="Currency 4 3 2 6 2" xfId="30406"/>
    <cellStyle name="Currency 4 3 2 7" xfId="18383"/>
    <cellStyle name="Currency 4 3 2 7 2" xfId="32408"/>
    <cellStyle name="Currency 4 3 2 8" xfId="24397"/>
    <cellStyle name="Currency 4 3 3" xfId="1625"/>
    <cellStyle name="Currency 4 3 3 2" xfId="1626"/>
    <cellStyle name="Currency 4 3 3 2 2" xfId="12365"/>
    <cellStyle name="Currency 4 3 3 2 2 2" xfId="20390"/>
    <cellStyle name="Currency 4 3 3 2 2 2 2" xfId="34415"/>
    <cellStyle name="Currency 4 3 3 2 2 3" xfId="26404"/>
    <cellStyle name="Currency 4 3 3 2 3" xfId="14380"/>
    <cellStyle name="Currency 4 3 3 2 3 2" xfId="22395"/>
    <cellStyle name="Currency 4 3 3 2 3 2 2" xfId="36420"/>
    <cellStyle name="Currency 4 3 3 2 3 3" xfId="28409"/>
    <cellStyle name="Currency 4 3 3 2 4" xfId="16386"/>
    <cellStyle name="Currency 4 3 3 2 4 2" xfId="30411"/>
    <cellStyle name="Currency 4 3 3 2 5" xfId="18388"/>
    <cellStyle name="Currency 4 3 3 2 5 2" xfId="32413"/>
    <cellStyle name="Currency 4 3 3 2 6" xfId="24402"/>
    <cellStyle name="Currency 4 3 3 3" xfId="12364"/>
    <cellStyle name="Currency 4 3 3 3 2" xfId="20389"/>
    <cellStyle name="Currency 4 3 3 3 2 2" xfId="34414"/>
    <cellStyle name="Currency 4 3 3 3 3" xfId="26403"/>
    <cellStyle name="Currency 4 3 3 4" xfId="14379"/>
    <cellStyle name="Currency 4 3 3 4 2" xfId="22394"/>
    <cellStyle name="Currency 4 3 3 4 2 2" xfId="36419"/>
    <cellStyle name="Currency 4 3 3 4 3" xfId="28408"/>
    <cellStyle name="Currency 4 3 3 5" xfId="16385"/>
    <cellStyle name="Currency 4 3 3 5 2" xfId="30410"/>
    <cellStyle name="Currency 4 3 3 6" xfId="18387"/>
    <cellStyle name="Currency 4 3 3 6 2" xfId="32412"/>
    <cellStyle name="Currency 4 3 3 7" xfId="24401"/>
    <cellStyle name="Currency 4 3 4" xfId="1627"/>
    <cellStyle name="Currency 4 3 4 2" xfId="1628"/>
    <cellStyle name="Currency 4 3 4 2 2" xfId="12367"/>
    <cellStyle name="Currency 4 3 4 2 2 2" xfId="20392"/>
    <cellStyle name="Currency 4 3 4 2 2 2 2" xfId="34417"/>
    <cellStyle name="Currency 4 3 4 2 2 3" xfId="26406"/>
    <cellStyle name="Currency 4 3 4 2 3" xfId="14382"/>
    <cellStyle name="Currency 4 3 4 2 3 2" xfId="22397"/>
    <cellStyle name="Currency 4 3 4 2 3 2 2" xfId="36422"/>
    <cellStyle name="Currency 4 3 4 2 3 3" xfId="28411"/>
    <cellStyle name="Currency 4 3 4 2 4" xfId="16388"/>
    <cellStyle name="Currency 4 3 4 2 4 2" xfId="30413"/>
    <cellStyle name="Currency 4 3 4 2 5" xfId="18390"/>
    <cellStyle name="Currency 4 3 4 2 5 2" xfId="32415"/>
    <cellStyle name="Currency 4 3 4 2 6" xfId="24404"/>
    <cellStyle name="Currency 4 3 4 3" xfId="12366"/>
    <cellStyle name="Currency 4 3 4 3 2" xfId="20391"/>
    <cellStyle name="Currency 4 3 4 3 2 2" xfId="34416"/>
    <cellStyle name="Currency 4 3 4 3 3" xfId="26405"/>
    <cellStyle name="Currency 4 3 4 4" xfId="14381"/>
    <cellStyle name="Currency 4 3 4 4 2" xfId="22396"/>
    <cellStyle name="Currency 4 3 4 4 2 2" xfId="36421"/>
    <cellStyle name="Currency 4 3 4 4 3" xfId="28410"/>
    <cellStyle name="Currency 4 3 4 5" xfId="16387"/>
    <cellStyle name="Currency 4 3 4 5 2" xfId="30412"/>
    <cellStyle name="Currency 4 3 4 6" xfId="18389"/>
    <cellStyle name="Currency 4 3 4 6 2" xfId="32414"/>
    <cellStyle name="Currency 4 3 4 7" xfId="24403"/>
    <cellStyle name="Currency 4 3 5" xfId="1629"/>
    <cellStyle name="Currency 4 3 5 2" xfId="12368"/>
    <cellStyle name="Currency 4 3 5 2 2" xfId="20393"/>
    <cellStyle name="Currency 4 3 5 2 2 2" xfId="34418"/>
    <cellStyle name="Currency 4 3 5 2 3" xfId="26407"/>
    <cellStyle name="Currency 4 3 5 3" xfId="14383"/>
    <cellStyle name="Currency 4 3 5 3 2" xfId="22398"/>
    <cellStyle name="Currency 4 3 5 3 2 2" xfId="36423"/>
    <cellStyle name="Currency 4 3 5 3 3" xfId="28412"/>
    <cellStyle name="Currency 4 3 5 4" xfId="16389"/>
    <cellStyle name="Currency 4 3 5 4 2" xfId="30414"/>
    <cellStyle name="Currency 4 3 5 5" xfId="18391"/>
    <cellStyle name="Currency 4 3 5 5 2" xfId="32416"/>
    <cellStyle name="Currency 4 3 5 6" xfId="24405"/>
    <cellStyle name="Currency 4 3 6" xfId="12359"/>
    <cellStyle name="Currency 4 3 6 2" xfId="20384"/>
    <cellStyle name="Currency 4 3 6 2 2" xfId="34409"/>
    <cellStyle name="Currency 4 3 6 3" xfId="26398"/>
    <cellStyle name="Currency 4 3 7" xfId="14374"/>
    <cellStyle name="Currency 4 3 7 2" xfId="22389"/>
    <cellStyle name="Currency 4 3 7 2 2" xfId="36414"/>
    <cellStyle name="Currency 4 3 7 3" xfId="28403"/>
    <cellStyle name="Currency 4 3 8" xfId="16380"/>
    <cellStyle name="Currency 4 3 8 2" xfId="30405"/>
    <cellStyle name="Currency 4 3 9" xfId="18382"/>
    <cellStyle name="Currency 4 3 9 2" xfId="32407"/>
    <cellStyle name="Currency 4 4" xfId="1630"/>
    <cellStyle name="Currency 4 4 2" xfId="1631"/>
    <cellStyle name="Currency 4 4 2 2" xfId="1632"/>
    <cellStyle name="Currency 4 4 2 2 2" xfId="12371"/>
    <cellStyle name="Currency 4 4 2 2 2 2" xfId="20396"/>
    <cellStyle name="Currency 4 4 2 2 2 2 2" xfId="34421"/>
    <cellStyle name="Currency 4 4 2 2 2 3" xfId="26410"/>
    <cellStyle name="Currency 4 4 2 2 3" xfId="14386"/>
    <cellStyle name="Currency 4 4 2 2 3 2" xfId="22401"/>
    <cellStyle name="Currency 4 4 2 2 3 2 2" xfId="36426"/>
    <cellStyle name="Currency 4 4 2 2 3 3" xfId="28415"/>
    <cellStyle name="Currency 4 4 2 2 4" xfId="16392"/>
    <cellStyle name="Currency 4 4 2 2 4 2" xfId="30417"/>
    <cellStyle name="Currency 4 4 2 2 5" xfId="18394"/>
    <cellStyle name="Currency 4 4 2 2 5 2" xfId="32419"/>
    <cellStyle name="Currency 4 4 2 2 6" xfId="24408"/>
    <cellStyle name="Currency 4 4 2 3" xfId="12370"/>
    <cellStyle name="Currency 4 4 2 3 2" xfId="20395"/>
    <cellStyle name="Currency 4 4 2 3 2 2" xfId="34420"/>
    <cellStyle name="Currency 4 4 2 3 3" xfId="26409"/>
    <cellStyle name="Currency 4 4 2 4" xfId="14385"/>
    <cellStyle name="Currency 4 4 2 4 2" xfId="22400"/>
    <cellStyle name="Currency 4 4 2 4 2 2" xfId="36425"/>
    <cellStyle name="Currency 4 4 2 4 3" xfId="28414"/>
    <cellStyle name="Currency 4 4 2 5" xfId="16391"/>
    <cellStyle name="Currency 4 4 2 5 2" xfId="30416"/>
    <cellStyle name="Currency 4 4 2 6" xfId="18393"/>
    <cellStyle name="Currency 4 4 2 6 2" xfId="32418"/>
    <cellStyle name="Currency 4 4 2 7" xfId="24407"/>
    <cellStyle name="Currency 4 4 3" xfId="1633"/>
    <cellStyle name="Currency 4 4 3 2" xfId="12372"/>
    <cellStyle name="Currency 4 4 3 2 2" xfId="20397"/>
    <cellStyle name="Currency 4 4 3 2 2 2" xfId="34422"/>
    <cellStyle name="Currency 4 4 3 2 3" xfId="26411"/>
    <cellStyle name="Currency 4 4 3 3" xfId="14387"/>
    <cellStyle name="Currency 4 4 3 3 2" xfId="22402"/>
    <cellStyle name="Currency 4 4 3 3 2 2" xfId="36427"/>
    <cellStyle name="Currency 4 4 3 3 3" xfId="28416"/>
    <cellStyle name="Currency 4 4 3 4" xfId="16393"/>
    <cellStyle name="Currency 4 4 3 4 2" xfId="30418"/>
    <cellStyle name="Currency 4 4 3 5" xfId="18395"/>
    <cellStyle name="Currency 4 4 3 5 2" xfId="32420"/>
    <cellStyle name="Currency 4 4 3 6" xfId="24409"/>
    <cellStyle name="Currency 4 4 4" xfId="12369"/>
    <cellStyle name="Currency 4 4 4 2" xfId="20394"/>
    <cellStyle name="Currency 4 4 4 2 2" xfId="34419"/>
    <cellStyle name="Currency 4 4 4 3" xfId="26408"/>
    <cellStyle name="Currency 4 4 5" xfId="14384"/>
    <cellStyle name="Currency 4 4 5 2" xfId="22399"/>
    <cellStyle name="Currency 4 4 5 2 2" xfId="36424"/>
    <cellStyle name="Currency 4 4 5 3" xfId="28413"/>
    <cellStyle name="Currency 4 4 6" xfId="16390"/>
    <cellStyle name="Currency 4 4 6 2" xfId="30415"/>
    <cellStyle name="Currency 4 4 7" xfId="18392"/>
    <cellStyle name="Currency 4 4 7 2" xfId="32417"/>
    <cellStyle name="Currency 4 4 8" xfId="24406"/>
    <cellStyle name="Currency 4 5" xfId="1634"/>
    <cellStyle name="Currency 4 5 2" xfId="1635"/>
    <cellStyle name="Currency 4 5 2 2" xfId="12374"/>
    <cellStyle name="Currency 4 5 2 2 2" xfId="20399"/>
    <cellStyle name="Currency 4 5 2 2 2 2" xfId="34424"/>
    <cellStyle name="Currency 4 5 2 2 3" xfId="26413"/>
    <cellStyle name="Currency 4 5 2 3" xfId="14389"/>
    <cellStyle name="Currency 4 5 2 3 2" xfId="22404"/>
    <cellStyle name="Currency 4 5 2 3 2 2" xfId="36429"/>
    <cellStyle name="Currency 4 5 2 3 3" xfId="28418"/>
    <cellStyle name="Currency 4 5 2 4" xfId="16395"/>
    <cellStyle name="Currency 4 5 2 4 2" xfId="30420"/>
    <cellStyle name="Currency 4 5 2 5" xfId="18397"/>
    <cellStyle name="Currency 4 5 2 5 2" xfId="32422"/>
    <cellStyle name="Currency 4 5 2 6" xfId="24411"/>
    <cellStyle name="Currency 4 5 3" xfId="12373"/>
    <cellStyle name="Currency 4 5 3 2" xfId="20398"/>
    <cellStyle name="Currency 4 5 3 2 2" xfId="34423"/>
    <cellStyle name="Currency 4 5 3 3" xfId="26412"/>
    <cellStyle name="Currency 4 5 4" xfId="14388"/>
    <cellStyle name="Currency 4 5 4 2" xfId="22403"/>
    <cellStyle name="Currency 4 5 4 2 2" xfId="36428"/>
    <cellStyle name="Currency 4 5 4 3" xfId="28417"/>
    <cellStyle name="Currency 4 5 5" xfId="16394"/>
    <cellStyle name="Currency 4 5 5 2" xfId="30419"/>
    <cellStyle name="Currency 4 5 6" xfId="18396"/>
    <cellStyle name="Currency 4 5 6 2" xfId="32421"/>
    <cellStyle name="Currency 4 5 7" xfId="24410"/>
    <cellStyle name="Currency 4 6" xfId="1636"/>
    <cellStyle name="Currency 4 6 2" xfId="1637"/>
    <cellStyle name="Currency 4 6 2 2" xfId="12376"/>
    <cellStyle name="Currency 4 6 2 2 2" xfId="20401"/>
    <cellStyle name="Currency 4 6 2 2 2 2" xfId="34426"/>
    <cellStyle name="Currency 4 6 2 2 3" xfId="26415"/>
    <cellStyle name="Currency 4 6 2 3" xfId="14391"/>
    <cellStyle name="Currency 4 6 2 3 2" xfId="22406"/>
    <cellStyle name="Currency 4 6 2 3 2 2" xfId="36431"/>
    <cellStyle name="Currency 4 6 2 3 3" xfId="28420"/>
    <cellStyle name="Currency 4 6 2 4" xfId="16397"/>
    <cellStyle name="Currency 4 6 2 4 2" xfId="30422"/>
    <cellStyle name="Currency 4 6 2 5" xfId="18399"/>
    <cellStyle name="Currency 4 6 2 5 2" xfId="32424"/>
    <cellStyle name="Currency 4 6 2 6" xfId="24413"/>
    <cellStyle name="Currency 4 6 3" xfId="12375"/>
    <cellStyle name="Currency 4 6 3 2" xfId="20400"/>
    <cellStyle name="Currency 4 6 3 2 2" xfId="34425"/>
    <cellStyle name="Currency 4 6 3 3" xfId="26414"/>
    <cellStyle name="Currency 4 6 4" xfId="14390"/>
    <cellStyle name="Currency 4 6 4 2" xfId="22405"/>
    <cellStyle name="Currency 4 6 4 2 2" xfId="36430"/>
    <cellStyle name="Currency 4 6 4 3" xfId="28419"/>
    <cellStyle name="Currency 4 6 5" xfId="16396"/>
    <cellStyle name="Currency 4 6 5 2" xfId="30421"/>
    <cellStyle name="Currency 4 6 6" xfId="18398"/>
    <cellStyle name="Currency 4 6 6 2" xfId="32423"/>
    <cellStyle name="Currency 4 6 7" xfId="24412"/>
    <cellStyle name="Currency 4 7" xfId="1638"/>
    <cellStyle name="Currency 4 7 2" xfId="12377"/>
    <cellStyle name="Currency 4 7 2 2" xfId="20402"/>
    <cellStyle name="Currency 4 7 2 2 2" xfId="34427"/>
    <cellStyle name="Currency 4 7 2 3" xfId="26416"/>
    <cellStyle name="Currency 4 7 3" xfId="14392"/>
    <cellStyle name="Currency 4 7 3 2" xfId="22407"/>
    <cellStyle name="Currency 4 7 3 2 2" xfId="36432"/>
    <cellStyle name="Currency 4 7 3 3" xfId="28421"/>
    <cellStyle name="Currency 4 7 4" xfId="16398"/>
    <cellStyle name="Currency 4 7 4 2" xfId="30423"/>
    <cellStyle name="Currency 4 7 5" xfId="18400"/>
    <cellStyle name="Currency 4 7 5 2" xfId="32425"/>
    <cellStyle name="Currency 4 7 6" xfId="24414"/>
    <cellStyle name="Currency 4 8" xfId="11624"/>
    <cellStyle name="Currency 5" xfId="442"/>
    <cellStyle name="Currency 5 2" xfId="1639"/>
    <cellStyle name="Currency 5 2 10" xfId="16399"/>
    <cellStyle name="Currency 5 2 10 2" xfId="30424"/>
    <cellStyle name="Currency 5 2 11" xfId="18401"/>
    <cellStyle name="Currency 5 2 11 2" xfId="32426"/>
    <cellStyle name="Currency 5 2 12" xfId="24415"/>
    <cellStyle name="Currency 5 2 2" xfId="1640"/>
    <cellStyle name="Currency 5 2 2 10" xfId="18402"/>
    <cellStyle name="Currency 5 2 2 10 2" xfId="32427"/>
    <cellStyle name="Currency 5 2 2 11" xfId="24416"/>
    <cellStyle name="Currency 5 2 2 2" xfId="1641"/>
    <cellStyle name="Currency 5 2 2 2 10" xfId="24417"/>
    <cellStyle name="Currency 5 2 2 2 2" xfId="1642"/>
    <cellStyle name="Currency 5 2 2 2 2 2" xfId="1643"/>
    <cellStyle name="Currency 5 2 2 2 2 2 2" xfId="1644"/>
    <cellStyle name="Currency 5 2 2 2 2 2 2 2" xfId="12383"/>
    <cellStyle name="Currency 5 2 2 2 2 2 2 2 2" xfId="20408"/>
    <cellStyle name="Currency 5 2 2 2 2 2 2 2 2 2" xfId="34433"/>
    <cellStyle name="Currency 5 2 2 2 2 2 2 2 3" xfId="26422"/>
    <cellStyle name="Currency 5 2 2 2 2 2 2 3" xfId="14398"/>
    <cellStyle name="Currency 5 2 2 2 2 2 2 3 2" xfId="22413"/>
    <cellStyle name="Currency 5 2 2 2 2 2 2 3 2 2" xfId="36438"/>
    <cellStyle name="Currency 5 2 2 2 2 2 2 3 3" xfId="28427"/>
    <cellStyle name="Currency 5 2 2 2 2 2 2 4" xfId="16404"/>
    <cellStyle name="Currency 5 2 2 2 2 2 2 4 2" xfId="30429"/>
    <cellStyle name="Currency 5 2 2 2 2 2 2 5" xfId="18406"/>
    <cellStyle name="Currency 5 2 2 2 2 2 2 5 2" xfId="32431"/>
    <cellStyle name="Currency 5 2 2 2 2 2 2 6" xfId="24420"/>
    <cellStyle name="Currency 5 2 2 2 2 2 3" xfId="12382"/>
    <cellStyle name="Currency 5 2 2 2 2 2 3 2" xfId="20407"/>
    <cellStyle name="Currency 5 2 2 2 2 2 3 2 2" xfId="34432"/>
    <cellStyle name="Currency 5 2 2 2 2 2 3 3" xfId="26421"/>
    <cellStyle name="Currency 5 2 2 2 2 2 4" xfId="14397"/>
    <cellStyle name="Currency 5 2 2 2 2 2 4 2" xfId="22412"/>
    <cellStyle name="Currency 5 2 2 2 2 2 4 2 2" xfId="36437"/>
    <cellStyle name="Currency 5 2 2 2 2 2 4 3" xfId="28426"/>
    <cellStyle name="Currency 5 2 2 2 2 2 5" xfId="16403"/>
    <cellStyle name="Currency 5 2 2 2 2 2 5 2" xfId="30428"/>
    <cellStyle name="Currency 5 2 2 2 2 2 6" xfId="18405"/>
    <cellStyle name="Currency 5 2 2 2 2 2 6 2" xfId="32430"/>
    <cellStyle name="Currency 5 2 2 2 2 2 7" xfId="24419"/>
    <cellStyle name="Currency 5 2 2 2 2 3" xfId="1645"/>
    <cellStyle name="Currency 5 2 2 2 2 3 2" xfId="12384"/>
    <cellStyle name="Currency 5 2 2 2 2 3 2 2" xfId="20409"/>
    <cellStyle name="Currency 5 2 2 2 2 3 2 2 2" xfId="34434"/>
    <cellStyle name="Currency 5 2 2 2 2 3 2 3" xfId="26423"/>
    <cellStyle name="Currency 5 2 2 2 2 3 3" xfId="14399"/>
    <cellStyle name="Currency 5 2 2 2 2 3 3 2" xfId="22414"/>
    <cellStyle name="Currency 5 2 2 2 2 3 3 2 2" xfId="36439"/>
    <cellStyle name="Currency 5 2 2 2 2 3 3 3" xfId="28428"/>
    <cellStyle name="Currency 5 2 2 2 2 3 4" xfId="16405"/>
    <cellStyle name="Currency 5 2 2 2 2 3 4 2" xfId="30430"/>
    <cellStyle name="Currency 5 2 2 2 2 3 5" xfId="18407"/>
    <cellStyle name="Currency 5 2 2 2 2 3 5 2" xfId="32432"/>
    <cellStyle name="Currency 5 2 2 2 2 3 6" xfId="24421"/>
    <cellStyle name="Currency 5 2 2 2 2 4" xfId="12381"/>
    <cellStyle name="Currency 5 2 2 2 2 4 2" xfId="20406"/>
    <cellStyle name="Currency 5 2 2 2 2 4 2 2" xfId="34431"/>
    <cellStyle name="Currency 5 2 2 2 2 4 3" xfId="26420"/>
    <cellStyle name="Currency 5 2 2 2 2 5" xfId="14396"/>
    <cellStyle name="Currency 5 2 2 2 2 5 2" xfId="22411"/>
    <cellStyle name="Currency 5 2 2 2 2 5 2 2" xfId="36436"/>
    <cellStyle name="Currency 5 2 2 2 2 5 3" xfId="28425"/>
    <cellStyle name="Currency 5 2 2 2 2 6" xfId="16402"/>
    <cellStyle name="Currency 5 2 2 2 2 6 2" xfId="30427"/>
    <cellStyle name="Currency 5 2 2 2 2 7" xfId="18404"/>
    <cellStyle name="Currency 5 2 2 2 2 7 2" xfId="32429"/>
    <cellStyle name="Currency 5 2 2 2 2 8" xfId="24418"/>
    <cellStyle name="Currency 5 2 2 2 3" xfId="1646"/>
    <cellStyle name="Currency 5 2 2 2 3 2" xfId="1647"/>
    <cellStyle name="Currency 5 2 2 2 3 2 2" xfId="12386"/>
    <cellStyle name="Currency 5 2 2 2 3 2 2 2" xfId="20411"/>
    <cellStyle name="Currency 5 2 2 2 3 2 2 2 2" xfId="34436"/>
    <cellStyle name="Currency 5 2 2 2 3 2 2 3" xfId="26425"/>
    <cellStyle name="Currency 5 2 2 2 3 2 3" xfId="14401"/>
    <cellStyle name="Currency 5 2 2 2 3 2 3 2" xfId="22416"/>
    <cellStyle name="Currency 5 2 2 2 3 2 3 2 2" xfId="36441"/>
    <cellStyle name="Currency 5 2 2 2 3 2 3 3" xfId="28430"/>
    <cellStyle name="Currency 5 2 2 2 3 2 4" xfId="16407"/>
    <cellStyle name="Currency 5 2 2 2 3 2 4 2" xfId="30432"/>
    <cellStyle name="Currency 5 2 2 2 3 2 5" xfId="18409"/>
    <cellStyle name="Currency 5 2 2 2 3 2 5 2" xfId="32434"/>
    <cellStyle name="Currency 5 2 2 2 3 2 6" xfId="24423"/>
    <cellStyle name="Currency 5 2 2 2 3 3" xfId="12385"/>
    <cellStyle name="Currency 5 2 2 2 3 3 2" xfId="20410"/>
    <cellStyle name="Currency 5 2 2 2 3 3 2 2" xfId="34435"/>
    <cellStyle name="Currency 5 2 2 2 3 3 3" xfId="26424"/>
    <cellStyle name="Currency 5 2 2 2 3 4" xfId="14400"/>
    <cellStyle name="Currency 5 2 2 2 3 4 2" xfId="22415"/>
    <cellStyle name="Currency 5 2 2 2 3 4 2 2" xfId="36440"/>
    <cellStyle name="Currency 5 2 2 2 3 4 3" xfId="28429"/>
    <cellStyle name="Currency 5 2 2 2 3 5" xfId="16406"/>
    <cellStyle name="Currency 5 2 2 2 3 5 2" xfId="30431"/>
    <cellStyle name="Currency 5 2 2 2 3 6" xfId="18408"/>
    <cellStyle name="Currency 5 2 2 2 3 6 2" xfId="32433"/>
    <cellStyle name="Currency 5 2 2 2 3 7" xfId="24422"/>
    <cellStyle name="Currency 5 2 2 2 4" xfId="1648"/>
    <cellStyle name="Currency 5 2 2 2 4 2" xfId="1649"/>
    <cellStyle name="Currency 5 2 2 2 4 2 2" xfId="12388"/>
    <cellStyle name="Currency 5 2 2 2 4 2 2 2" xfId="20413"/>
    <cellStyle name="Currency 5 2 2 2 4 2 2 2 2" xfId="34438"/>
    <cellStyle name="Currency 5 2 2 2 4 2 2 3" xfId="26427"/>
    <cellStyle name="Currency 5 2 2 2 4 2 3" xfId="14403"/>
    <cellStyle name="Currency 5 2 2 2 4 2 3 2" xfId="22418"/>
    <cellStyle name="Currency 5 2 2 2 4 2 3 2 2" xfId="36443"/>
    <cellStyle name="Currency 5 2 2 2 4 2 3 3" xfId="28432"/>
    <cellStyle name="Currency 5 2 2 2 4 2 4" xfId="16409"/>
    <cellStyle name="Currency 5 2 2 2 4 2 4 2" xfId="30434"/>
    <cellStyle name="Currency 5 2 2 2 4 2 5" xfId="18411"/>
    <cellStyle name="Currency 5 2 2 2 4 2 5 2" xfId="32436"/>
    <cellStyle name="Currency 5 2 2 2 4 2 6" xfId="24425"/>
    <cellStyle name="Currency 5 2 2 2 4 3" xfId="12387"/>
    <cellStyle name="Currency 5 2 2 2 4 3 2" xfId="20412"/>
    <cellStyle name="Currency 5 2 2 2 4 3 2 2" xfId="34437"/>
    <cellStyle name="Currency 5 2 2 2 4 3 3" xfId="26426"/>
    <cellStyle name="Currency 5 2 2 2 4 4" xfId="14402"/>
    <cellStyle name="Currency 5 2 2 2 4 4 2" xfId="22417"/>
    <cellStyle name="Currency 5 2 2 2 4 4 2 2" xfId="36442"/>
    <cellStyle name="Currency 5 2 2 2 4 4 3" xfId="28431"/>
    <cellStyle name="Currency 5 2 2 2 4 5" xfId="16408"/>
    <cellStyle name="Currency 5 2 2 2 4 5 2" xfId="30433"/>
    <cellStyle name="Currency 5 2 2 2 4 6" xfId="18410"/>
    <cellStyle name="Currency 5 2 2 2 4 6 2" xfId="32435"/>
    <cellStyle name="Currency 5 2 2 2 4 7" xfId="24424"/>
    <cellStyle name="Currency 5 2 2 2 5" xfId="1650"/>
    <cellStyle name="Currency 5 2 2 2 5 2" xfId="12389"/>
    <cellStyle name="Currency 5 2 2 2 5 2 2" xfId="20414"/>
    <cellStyle name="Currency 5 2 2 2 5 2 2 2" xfId="34439"/>
    <cellStyle name="Currency 5 2 2 2 5 2 3" xfId="26428"/>
    <cellStyle name="Currency 5 2 2 2 5 3" xfId="14404"/>
    <cellStyle name="Currency 5 2 2 2 5 3 2" xfId="22419"/>
    <cellStyle name="Currency 5 2 2 2 5 3 2 2" xfId="36444"/>
    <cellStyle name="Currency 5 2 2 2 5 3 3" xfId="28433"/>
    <cellStyle name="Currency 5 2 2 2 5 4" xfId="16410"/>
    <cellStyle name="Currency 5 2 2 2 5 4 2" xfId="30435"/>
    <cellStyle name="Currency 5 2 2 2 5 5" xfId="18412"/>
    <cellStyle name="Currency 5 2 2 2 5 5 2" xfId="32437"/>
    <cellStyle name="Currency 5 2 2 2 5 6" xfId="24426"/>
    <cellStyle name="Currency 5 2 2 2 6" xfId="12380"/>
    <cellStyle name="Currency 5 2 2 2 6 2" xfId="20405"/>
    <cellStyle name="Currency 5 2 2 2 6 2 2" xfId="34430"/>
    <cellStyle name="Currency 5 2 2 2 6 3" xfId="26419"/>
    <cellStyle name="Currency 5 2 2 2 7" xfId="14395"/>
    <cellStyle name="Currency 5 2 2 2 7 2" xfId="22410"/>
    <cellStyle name="Currency 5 2 2 2 7 2 2" xfId="36435"/>
    <cellStyle name="Currency 5 2 2 2 7 3" xfId="28424"/>
    <cellStyle name="Currency 5 2 2 2 8" xfId="16401"/>
    <cellStyle name="Currency 5 2 2 2 8 2" xfId="30426"/>
    <cellStyle name="Currency 5 2 2 2 9" xfId="18403"/>
    <cellStyle name="Currency 5 2 2 2 9 2" xfId="32428"/>
    <cellStyle name="Currency 5 2 2 3" xfId="1651"/>
    <cellStyle name="Currency 5 2 2 3 2" xfId="1652"/>
    <cellStyle name="Currency 5 2 2 3 2 2" xfId="1653"/>
    <cellStyle name="Currency 5 2 2 3 2 2 2" xfId="12392"/>
    <cellStyle name="Currency 5 2 2 3 2 2 2 2" xfId="20417"/>
    <cellStyle name="Currency 5 2 2 3 2 2 2 2 2" xfId="34442"/>
    <cellStyle name="Currency 5 2 2 3 2 2 2 3" xfId="26431"/>
    <cellStyle name="Currency 5 2 2 3 2 2 3" xfId="14407"/>
    <cellStyle name="Currency 5 2 2 3 2 2 3 2" xfId="22422"/>
    <cellStyle name="Currency 5 2 2 3 2 2 3 2 2" xfId="36447"/>
    <cellStyle name="Currency 5 2 2 3 2 2 3 3" xfId="28436"/>
    <cellStyle name="Currency 5 2 2 3 2 2 4" xfId="16413"/>
    <cellStyle name="Currency 5 2 2 3 2 2 4 2" xfId="30438"/>
    <cellStyle name="Currency 5 2 2 3 2 2 5" xfId="18415"/>
    <cellStyle name="Currency 5 2 2 3 2 2 5 2" xfId="32440"/>
    <cellStyle name="Currency 5 2 2 3 2 2 6" xfId="24429"/>
    <cellStyle name="Currency 5 2 2 3 2 3" xfId="12391"/>
    <cellStyle name="Currency 5 2 2 3 2 3 2" xfId="20416"/>
    <cellStyle name="Currency 5 2 2 3 2 3 2 2" xfId="34441"/>
    <cellStyle name="Currency 5 2 2 3 2 3 3" xfId="26430"/>
    <cellStyle name="Currency 5 2 2 3 2 4" xfId="14406"/>
    <cellStyle name="Currency 5 2 2 3 2 4 2" xfId="22421"/>
    <cellStyle name="Currency 5 2 2 3 2 4 2 2" xfId="36446"/>
    <cellStyle name="Currency 5 2 2 3 2 4 3" xfId="28435"/>
    <cellStyle name="Currency 5 2 2 3 2 5" xfId="16412"/>
    <cellStyle name="Currency 5 2 2 3 2 5 2" xfId="30437"/>
    <cellStyle name="Currency 5 2 2 3 2 6" xfId="18414"/>
    <cellStyle name="Currency 5 2 2 3 2 6 2" xfId="32439"/>
    <cellStyle name="Currency 5 2 2 3 2 7" xfId="24428"/>
    <cellStyle name="Currency 5 2 2 3 3" xfId="1654"/>
    <cellStyle name="Currency 5 2 2 3 3 2" xfId="12393"/>
    <cellStyle name="Currency 5 2 2 3 3 2 2" xfId="20418"/>
    <cellStyle name="Currency 5 2 2 3 3 2 2 2" xfId="34443"/>
    <cellStyle name="Currency 5 2 2 3 3 2 3" xfId="26432"/>
    <cellStyle name="Currency 5 2 2 3 3 3" xfId="14408"/>
    <cellStyle name="Currency 5 2 2 3 3 3 2" xfId="22423"/>
    <cellStyle name="Currency 5 2 2 3 3 3 2 2" xfId="36448"/>
    <cellStyle name="Currency 5 2 2 3 3 3 3" xfId="28437"/>
    <cellStyle name="Currency 5 2 2 3 3 4" xfId="16414"/>
    <cellStyle name="Currency 5 2 2 3 3 4 2" xfId="30439"/>
    <cellStyle name="Currency 5 2 2 3 3 5" xfId="18416"/>
    <cellStyle name="Currency 5 2 2 3 3 5 2" xfId="32441"/>
    <cellStyle name="Currency 5 2 2 3 3 6" xfId="24430"/>
    <cellStyle name="Currency 5 2 2 3 4" xfId="12390"/>
    <cellStyle name="Currency 5 2 2 3 4 2" xfId="20415"/>
    <cellStyle name="Currency 5 2 2 3 4 2 2" xfId="34440"/>
    <cellStyle name="Currency 5 2 2 3 4 3" xfId="26429"/>
    <cellStyle name="Currency 5 2 2 3 5" xfId="14405"/>
    <cellStyle name="Currency 5 2 2 3 5 2" xfId="22420"/>
    <cellStyle name="Currency 5 2 2 3 5 2 2" xfId="36445"/>
    <cellStyle name="Currency 5 2 2 3 5 3" xfId="28434"/>
    <cellStyle name="Currency 5 2 2 3 6" xfId="16411"/>
    <cellStyle name="Currency 5 2 2 3 6 2" xfId="30436"/>
    <cellStyle name="Currency 5 2 2 3 7" xfId="18413"/>
    <cellStyle name="Currency 5 2 2 3 7 2" xfId="32438"/>
    <cellStyle name="Currency 5 2 2 3 8" xfId="24427"/>
    <cellStyle name="Currency 5 2 2 4" xfId="1655"/>
    <cellStyle name="Currency 5 2 2 4 2" xfId="1656"/>
    <cellStyle name="Currency 5 2 2 4 2 2" xfId="12395"/>
    <cellStyle name="Currency 5 2 2 4 2 2 2" xfId="20420"/>
    <cellStyle name="Currency 5 2 2 4 2 2 2 2" xfId="34445"/>
    <cellStyle name="Currency 5 2 2 4 2 2 3" xfId="26434"/>
    <cellStyle name="Currency 5 2 2 4 2 3" xfId="14410"/>
    <cellStyle name="Currency 5 2 2 4 2 3 2" xfId="22425"/>
    <cellStyle name="Currency 5 2 2 4 2 3 2 2" xfId="36450"/>
    <cellStyle name="Currency 5 2 2 4 2 3 3" xfId="28439"/>
    <cellStyle name="Currency 5 2 2 4 2 4" xfId="16416"/>
    <cellStyle name="Currency 5 2 2 4 2 4 2" xfId="30441"/>
    <cellStyle name="Currency 5 2 2 4 2 5" xfId="18418"/>
    <cellStyle name="Currency 5 2 2 4 2 5 2" xfId="32443"/>
    <cellStyle name="Currency 5 2 2 4 2 6" xfId="24432"/>
    <cellStyle name="Currency 5 2 2 4 3" xfId="12394"/>
    <cellStyle name="Currency 5 2 2 4 3 2" xfId="20419"/>
    <cellStyle name="Currency 5 2 2 4 3 2 2" xfId="34444"/>
    <cellStyle name="Currency 5 2 2 4 3 3" xfId="26433"/>
    <cellStyle name="Currency 5 2 2 4 4" xfId="14409"/>
    <cellStyle name="Currency 5 2 2 4 4 2" xfId="22424"/>
    <cellStyle name="Currency 5 2 2 4 4 2 2" xfId="36449"/>
    <cellStyle name="Currency 5 2 2 4 4 3" xfId="28438"/>
    <cellStyle name="Currency 5 2 2 4 5" xfId="16415"/>
    <cellStyle name="Currency 5 2 2 4 5 2" xfId="30440"/>
    <cellStyle name="Currency 5 2 2 4 6" xfId="18417"/>
    <cellStyle name="Currency 5 2 2 4 6 2" xfId="32442"/>
    <cellStyle name="Currency 5 2 2 4 7" xfId="24431"/>
    <cellStyle name="Currency 5 2 2 5" xfId="1657"/>
    <cellStyle name="Currency 5 2 2 5 2" xfId="1658"/>
    <cellStyle name="Currency 5 2 2 5 2 2" xfId="12397"/>
    <cellStyle name="Currency 5 2 2 5 2 2 2" xfId="20422"/>
    <cellStyle name="Currency 5 2 2 5 2 2 2 2" xfId="34447"/>
    <cellStyle name="Currency 5 2 2 5 2 2 3" xfId="26436"/>
    <cellStyle name="Currency 5 2 2 5 2 3" xfId="14412"/>
    <cellStyle name="Currency 5 2 2 5 2 3 2" xfId="22427"/>
    <cellStyle name="Currency 5 2 2 5 2 3 2 2" xfId="36452"/>
    <cellStyle name="Currency 5 2 2 5 2 3 3" xfId="28441"/>
    <cellStyle name="Currency 5 2 2 5 2 4" xfId="16418"/>
    <cellStyle name="Currency 5 2 2 5 2 4 2" xfId="30443"/>
    <cellStyle name="Currency 5 2 2 5 2 5" xfId="18420"/>
    <cellStyle name="Currency 5 2 2 5 2 5 2" xfId="32445"/>
    <cellStyle name="Currency 5 2 2 5 2 6" xfId="24434"/>
    <cellStyle name="Currency 5 2 2 5 3" xfId="12396"/>
    <cellStyle name="Currency 5 2 2 5 3 2" xfId="20421"/>
    <cellStyle name="Currency 5 2 2 5 3 2 2" xfId="34446"/>
    <cellStyle name="Currency 5 2 2 5 3 3" xfId="26435"/>
    <cellStyle name="Currency 5 2 2 5 4" xfId="14411"/>
    <cellStyle name="Currency 5 2 2 5 4 2" xfId="22426"/>
    <cellStyle name="Currency 5 2 2 5 4 2 2" xfId="36451"/>
    <cellStyle name="Currency 5 2 2 5 4 3" xfId="28440"/>
    <cellStyle name="Currency 5 2 2 5 5" xfId="16417"/>
    <cellStyle name="Currency 5 2 2 5 5 2" xfId="30442"/>
    <cellStyle name="Currency 5 2 2 5 6" xfId="18419"/>
    <cellStyle name="Currency 5 2 2 5 6 2" xfId="32444"/>
    <cellStyle name="Currency 5 2 2 5 7" xfId="24433"/>
    <cellStyle name="Currency 5 2 2 6" xfId="1659"/>
    <cellStyle name="Currency 5 2 2 6 2" xfId="12398"/>
    <cellStyle name="Currency 5 2 2 6 2 2" xfId="20423"/>
    <cellStyle name="Currency 5 2 2 6 2 2 2" xfId="34448"/>
    <cellStyle name="Currency 5 2 2 6 2 3" xfId="26437"/>
    <cellStyle name="Currency 5 2 2 6 3" xfId="14413"/>
    <cellStyle name="Currency 5 2 2 6 3 2" xfId="22428"/>
    <cellStyle name="Currency 5 2 2 6 3 2 2" xfId="36453"/>
    <cellStyle name="Currency 5 2 2 6 3 3" xfId="28442"/>
    <cellStyle name="Currency 5 2 2 6 4" xfId="16419"/>
    <cellStyle name="Currency 5 2 2 6 4 2" xfId="30444"/>
    <cellStyle name="Currency 5 2 2 6 5" xfId="18421"/>
    <cellStyle name="Currency 5 2 2 6 5 2" xfId="32446"/>
    <cellStyle name="Currency 5 2 2 6 6" xfId="24435"/>
    <cellStyle name="Currency 5 2 2 7" xfId="12379"/>
    <cellStyle name="Currency 5 2 2 7 2" xfId="20404"/>
    <cellStyle name="Currency 5 2 2 7 2 2" xfId="34429"/>
    <cellStyle name="Currency 5 2 2 7 3" xfId="26418"/>
    <cellStyle name="Currency 5 2 2 8" xfId="14394"/>
    <cellStyle name="Currency 5 2 2 8 2" xfId="22409"/>
    <cellStyle name="Currency 5 2 2 8 2 2" xfId="36434"/>
    <cellStyle name="Currency 5 2 2 8 3" xfId="28423"/>
    <cellStyle name="Currency 5 2 2 9" xfId="16400"/>
    <cellStyle name="Currency 5 2 2 9 2" xfId="30425"/>
    <cellStyle name="Currency 5 2 3" xfId="1660"/>
    <cellStyle name="Currency 5 2 3 10" xfId="24436"/>
    <cellStyle name="Currency 5 2 3 2" xfId="1661"/>
    <cellStyle name="Currency 5 2 3 2 2" xfId="1662"/>
    <cellStyle name="Currency 5 2 3 2 2 2" xfId="1663"/>
    <cellStyle name="Currency 5 2 3 2 2 2 2" xfId="12402"/>
    <cellStyle name="Currency 5 2 3 2 2 2 2 2" xfId="20427"/>
    <cellStyle name="Currency 5 2 3 2 2 2 2 2 2" xfId="34452"/>
    <cellStyle name="Currency 5 2 3 2 2 2 2 3" xfId="26441"/>
    <cellStyle name="Currency 5 2 3 2 2 2 3" xfId="14417"/>
    <cellStyle name="Currency 5 2 3 2 2 2 3 2" xfId="22432"/>
    <cellStyle name="Currency 5 2 3 2 2 2 3 2 2" xfId="36457"/>
    <cellStyle name="Currency 5 2 3 2 2 2 3 3" xfId="28446"/>
    <cellStyle name="Currency 5 2 3 2 2 2 4" xfId="16423"/>
    <cellStyle name="Currency 5 2 3 2 2 2 4 2" xfId="30448"/>
    <cellStyle name="Currency 5 2 3 2 2 2 5" xfId="18425"/>
    <cellStyle name="Currency 5 2 3 2 2 2 5 2" xfId="32450"/>
    <cellStyle name="Currency 5 2 3 2 2 2 6" xfId="24439"/>
    <cellStyle name="Currency 5 2 3 2 2 3" xfId="12401"/>
    <cellStyle name="Currency 5 2 3 2 2 3 2" xfId="20426"/>
    <cellStyle name="Currency 5 2 3 2 2 3 2 2" xfId="34451"/>
    <cellStyle name="Currency 5 2 3 2 2 3 3" xfId="26440"/>
    <cellStyle name="Currency 5 2 3 2 2 4" xfId="14416"/>
    <cellStyle name="Currency 5 2 3 2 2 4 2" xfId="22431"/>
    <cellStyle name="Currency 5 2 3 2 2 4 2 2" xfId="36456"/>
    <cellStyle name="Currency 5 2 3 2 2 4 3" xfId="28445"/>
    <cellStyle name="Currency 5 2 3 2 2 5" xfId="16422"/>
    <cellStyle name="Currency 5 2 3 2 2 5 2" xfId="30447"/>
    <cellStyle name="Currency 5 2 3 2 2 6" xfId="18424"/>
    <cellStyle name="Currency 5 2 3 2 2 6 2" xfId="32449"/>
    <cellStyle name="Currency 5 2 3 2 2 7" xfId="24438"/>
    <cellStyle name="Currency 5 2 3 2 3" xfId="1664"/>
    <cellStyle name="Currency 5 2 3 2 3 2" xfId="12403"/>
    <cellStyle name="Currency 5 2 3 2 3 2 2" xfId="20428"/>
    <cellStyle name="Currency 5 2 3 2 3 2 2 2" xfId="34453"/>
    <cellStyle name="Currency 5 2 3 2 3 2 3" xfId="26442"/>
    <cellStyle name="Currency 5 2 3 2 3 3" xfId="14418"/>
    <cellStyle name="Currency 5 2 3 2 3 3 2" xfId="22433"/>
    <cellStyle name="Currency 5 2 3 2 3 3 2 2" xfId="36458"/>
    <cellStyle name="Currency 5 2 3 2 3 3 3" xfId="28447"/>
    <cellStyle name="Currency 5 2 3 2 3 4" xfId="16424"/>
    <cellStyle name="Currency 5 2 3 2 3 4 2" xfId="30449"/>
    <cellStyle name="Currency 5 2 3 2 3 5" xfId="18426"/>
    <cellStyle name="Currency 5 2 3 2 3 5 2" xfId="32451"/>
    <cellStyle name="Currency 5 2 3 2 3 6" xfId="24440"/>
    <cellStyle name="Currency 5 2 3 2 4" xfId="12400"/>
    <cellStyle name="Currency 5 2 3 2 4 2" xfId="20425"/>
    <cellStyle name="Currency 5 2 3 2 4 2 2" xfId="34450"/>
    <cellStyle name="Currency 5 2 3 2 4 3" xfId="26439"/>
    <cellStyle name="Currency 5 2 3 2 5" xfId="14415"/>
    <cellStyle name="Currency 5 2 3 2 5 2" xfId="22430"/>
    <cellStyle name="Currency 5 2 3 2 5 2 2" xfId="36455"/>
    <cellStyle name="Currency 5 2 3 2 5 3" xfId="28444"/>
    <cellStyle name="Currency 5 2 3 2 6" xfId="16421"/>
    <cellStyle name="Currency 5 2 3 2 6 2" xfId="30446"/>
    <cellStyle name="Currency 5 2 3 2 7" xfId="18423"/>
    <cellStyle name="Currency 5 2 3 2 7 2" xfId="32448"/>
    <cellStyle name="Currency 5 2 3 2 8" xfId="24437"/>
    <cellStyle name="Currency 5 2 3 3" xfId="1665"/>
    <cellStyle name="Currency 5 2 3 3 2" xfId="1666"/>
    <cellStyle name="Currency 5 2 3 3 2 2" xfId="12405"/>
    <cellStyle name="Currency 5 2 3 3 2 2 2" xfId="20430"/>
    <cellStyle name="Currency 5 2 3 3 2 2 2 2" xfId="34455"/>
    <cellStyle name="Currency 5 2 3 3 2 2 3" xfId="26444"/>
    <cellStyle name="Currency 5 2 3 3 2 3" xfId="14420"/>
    <cellStyle name="Currency 5 2 3 3 2 3 2" xfId="22435"/>
    <cellStyle name="Currency 5 2 3 3 2 3 2 2" xfId="36460"/>
    <cellStyle name="Currency 5 2 3 3 2 3 3" xfId="28449"/>
    <cellStyle name="Currency 5 2 3 3 2 4" xfId="16426"/>
    <cellStyle name="Currency 5 2 3 3 2 4 2" xfId="30451"/>
    <cellStyle name="Currency 5 2 3 3 2 5" xfId="18428"/>
    <cellStyle name="Currency 5 2 3 3 2 5 2" xfId="32453"/>
    <cellStyle name="Currency 5 2 3 3 2 6" xfId="24442"/>
    <cellStyle name="Currency 5 2 3 3 3" xfId="12404"/>
    <cellStyle name="Currency 5 2 3 3 3 2" xfId="20429"/>
    <cellStyle name="Currency 5 2 3 3 3 2 2" xfId="34454"/>
    <cellStyle name="Currency 5 2 3 3 3 3" xfId="26443"/>
    <cellStyle name="Currency 5 2 3 3 4" xfId="14419"/>
    <cellStyle name="Currency 5 2 3 3 4 2" xfId="22434"/>
    <cellStyle name="Currency 5 2 3 3 4 2 2" xfId="36459"/>
    <cellStyle name="Currency 5 2 3 3 4 3" xfId="28448"/>
    <cellStyle name="Currency 5 2 3 3 5" xfId="16425"/>
    <cellStyle name="Currency 5 2 3 3 5 2" xfId="30450"/>
    <cellStyle name="Currency 5 2 3 3 6" xfId="18427"/>
    <cellStyle name="Currency 5 2 3 3 6 2" xfId="32452"/>
    <cellStyle name="Currency 5 2 3 3 7" xfId="24441"/>
    <cellStyle name="Currency 5 2 3 4" xfId="1667"/>
    <cellStyle name="Currency 5 2 3 4 2" xfId="1668"/>
    <cellStyle name="Currency 5 2 3 4 2 2" xfId="12407"/>
    <cellStyle name="Currency 5 2 3 4 2 2 2" xfId="20432"/>
    <cellStyle name="Currency 5 2 3 4 2 2 2 2" xfId="34457"/>
    <cellStyle name="Currency 5 2 3 4 2 2 3" xfId="26446"/>
    <cellStyle name="Currency 5 2 3 4 2 3" xfId="14422"/>
    <cellStyle name="Currency 5 2 3 4 2 3 2" xfId="22437"/>
    <cellStyle name="Currency 5 2 3 4 2 3 2 2" xfId="36462"/>
    <cellStyle name="Currency 5 2 3 4 2 3 3" xfId="28451"/>
    <cellStyle name="Currency 5 2 3 4 2 4" xfId="16428"/>
    <cellStyle name="Currency 5 2 3 4 2 4 2" xfId="30453"/>
    <cellStyle name="Currency 5 2 3 4 2 5" xfId="18430"/>
    <cellStyle name="Currency 5 2 3 4 2 5 2" xfId="32455"/>
    <cellStyle name="Currency 5 2 3 4 2 6" xfId="24444"/>
    <cellStyle name="Currency 5 2 3 4 3" xfId="12406"/>
    <cellStyle name="Currency 5 2 3 4 3 2" xfId="20431"/>
    <cellStyle name="Currency 5 2 3 4 3 2 2" xfId="34456"/>
    <cellStyle name="Currency 5 2 3 4 3 3" xfId="26445"/>
    <cellStyle name="Currency 5 2 3 4 4" xfId="14421"/>
    <cellStyle name="Currency 5 2 3 4 4 2" xfId="22436"/>
    <cellStyle name="Currency 5 2 3 4 4 2 2" xfId="36461"/>
    <cellStyle name="Currency 5 2 3 4 4 3" xfId="28450"/>
    <cellStyle name="Currency 5 2 3 4 5" xfId="16427"/>
    <cellStyle name="Currency 5 2 3 4 5 2" xfId="30452"/>
    <cellStyle name="Currency 5 2 3 4 6" xfId="18429"/>
    <cellStyle name="Currency 5 2 3 4 6 2" xfId="32454"/>
    <cellStyle name="Currency 5 2 3 4 7" xfId="24443"/>
    <cellStyle name="Currency 5 2 3 5" xfId="1669"/>
    <cellStyle name="Currency 5 2 3 5 2" xfId="12408"/>
    <cellStyle name="Currency 5 2 3 5 2 2" xfId="20433"/>
    <cellStyle name="Currency 5 2 3 5 2 2 2" xfId="34458"/>
    <cellStyle name="Currency 5 2 3 5 2 3" xfId="26447"/>
    <cellStyle name="Currency 5 2 3 5 3" xfId="14423"/>
    <cellStyle name="Currency 5 2 3 5 3 2" xfId="22438"/>
    <cellStyle name="Currency 5 2 3 5 3 2 2" xfId="36463"/>
    <cellStyle name="Currency 5 2 3 5 3 3" xfId="28452"/>
    <cellStyle name="Currency 5 2 3 5 4" xfId="16429"/>
    <cellStyle name="Currency 5 2 3 5 4 2" xfId="30454"/>
    <cellStyle name="Currency 5 2 3 5 5" xfId="18431"/>
    <cellStyle name="Currency 5 2 3 5 5 2" xfId="32456"/>
    <cellStyle name="Currency 5 2 3 5 6" xfId="24445"/>
    <cellStyle name="Currency 5 2 3 6" xfId="12399"/>
    <cellStyle name="Currency 5 2 3 6 2" xfId="20424"/>
    <cellStyle name="Currency 5 2 3 6 2 2" xfId="34449"/>
    <cellStyle name="Currency 5 2 3 6 3" xfId="26438"/>
    <cellStyle name="Currency 5 2 3 7" xfId="14414"/>
    <cellStyle name="Currency 5 2 3 7 2" xfId="22429"/>
    <cellStyle name="Currency 5 2 3 7 2 2" xfId="36454"/>
    <cellStyle name="Currency 5 2 3 7 3" xfId="28443"/>
    <cellStyle name="Currency 5 2 3 8" xfId="16420"/>
    <cellStyle name="Currency 5 2 3 8 2" xfId="30445"/>
    <cellStyle name="Currency 5 2 3 9" xfId="18422"/>
    <cellStyle name="Currency 5 2 3 9 2" xfId="32447"/>
    <cellStyle name="Currency 5 2 4" xfId="1670"/>
    <cellStyle name="Currency 5 2 4 2" xfId="1671"/>
    <cellStyle name="Currency 5 2 4 2 2" xfId="1672"/>
    <cellStyle name="Currency 5 2 4 2 2 2" xfId="12411"/>
    <cellStyle name="Currency 5 2 4 2 2 2 2" xfId="20436"/>
    <cellStyle name="Currency 5 2 4 2 2 2 2 2" xfId="34461"/>
    <cellStyle name="Currency 5 2 4 2 2 2 3" xfId="26450"/>
    <cellStyle name="Currency 5 2 4 2 2 3" xfId="14426"/>
    <cellStyle name="Currency 5 2 4 2 2 3 2" xfId="22441"/>
    <cellStyle name="Currency 5 2 4 2 2 3 2 2" xfId="36466"/>
    <cellStyle name="Currency 5 2 4 2 2 3 3" xfId="28455"/>
    <cellStyle name="Currency 5 2 4 2 2 4" xfId="16432"/>
    <cellStyle name="Currency 5 2 4 2 2 4 2" xfId="30457"/>
    <cellStyle name="Currency 5 2 4 2 2 5" xfId="18434"/>
    <cellStyle name="Currency 5 2 4 2 2 5 2" xfId="32459"/>
    <cellStyle name="Currency 5 2 4 2 2 6" xfId="24448"/>
    <cellStyle name="Currency 5 2 4 2 3" xfId="12410"/>
    <cellStyle name="Currency 5 2 4 2 3 2" xfId="20435"/>
    <cellStyle name="Currency 5 2 4 2 3 2 2" xfId="34460"/>
    <cellStyle name="Currency 5 2 4 2 3 3" xfId="26449"/>
    <cellStyle name="Currency 5 2 4 2 4" xfId="14425"/>
    <cellStyle name="Currency 5 2 4 2 4 2" xfId="22440"/>
    <cellStyle name="Currency 5 2 4 2 4 2 2" xfId="36465"/>
    <cellStyle name="Currency 5 2 4 2 4 3" xfId="28454"/>
    <cellStyle name="Currency 5 2 4 2 5" xfId="16431"/>
    <cellStyle name="Currency 5 2 4 2 5 2" xfId="30456"/>
    <cellStyle name="Currency 5 2 4 2 6" xfId="18433"/>
    <cellStyle name="Currency 5 2 4 2 6 2" xfId="32458"/>
    <cellStyle name="Currency 5 2 4 2 7" xfId="24447"/>
    <cellStyle name="Currency 5 2 4 3" xfId="1673"/>
    <cellStyle name="Currency 5 2 4 3 2" xfId="12412"/>
    <cellStyle name="Currency 5 2 4 3 2 2" xfId="20437"/>
    <cellStyle name="Currency 5 2 4 3 2 2 2" xfId="34462"/>
    <cellStyle name="Currency 5 2 4 3 2 3" xfId="26451"/>
    <cellStyle name="Currency 5 2 4 3 3" xfId="14427"/>
    <cellStyle name="Currency 5 2 4 3 3 2" xfId="22442"/>
    <cellStyle name="Currency 5 2 4 3 3 2 2" xfId="36467"/>
    <cellStyle name="Currency 5 2 4 3 3 3" xfId="28456"/>
    <cellStyle name="Currency 5 2 4 3 4" xfId="16433"/>
    <cellStyle name="Currency 5 2 4 3 4 2" xfId="30458"/>
    <cellStyle name="Currency 5 2 4 3 5" xfId="18435"/>
    <cellStyle name="Currency 5 2 4 3 5 2" xfId="32460"/>
    <cellStyle name="Currency 5 2 4 3 6" xfId="24449"/>
    <cellStyle name="Currency 5 2 4 4" xfId="12409"/>
    <cellStyle name="Currency 5 2 4 4 2" xfId="20434"/>
    <cellStyle name="Currency 5 2 4 4 2 2" xfId="34459"/>
    <cellStyle name="Currency 5 2 4 4 3" xfId="26448"/>
    <cellStyle name="Currency 5 2 4 5" xfId="14424"/>
    <cellStyle name="Currency 5 2 4 5 2" xfId="22439"/>
    <cellStyle name="Currency 5 2 4 5 2 2" xfId="36464"/>
    <cellStyle name="Currency 5 2 4 5 3" xfId="28453"/>
    <cellStyle name="Currency 5 2 4 6" xfId="16430"/>
    <cellStyle name="Currency 5 2 4 6 2" xfId="30455"/>
    <cellStyle name="Currency 5 2 4 7" xfId="18432"/>
    <cellStyle name="Currency 5 2 4 7 2" xfId="32457"/>
    <cellStyle name="Currency 5 2 4 8" xfId="24446"/>
    <cellStyle name="Currency 5 2 5" xfId="1674"/>
    <cellStyle name="Currency 5 2 5 2" xfId="1675"/>
    <cellStyle name="Currency 5 2 5 2 2" xfId="12414"/>
    <cellStyle name="Currency 5 2 5 2 2 2" xfId="20439"/>
    <cellStyle name="Currency 5 2 5 2 2 2 2" xfId="34464"/>
    <cellStyle name="Currency 5 2 5 2 2 3" xfId="26453"/>
    <cellStyle name="Currency 5 2 5 2 3" xfId="14429"/>
    <cellStyle name="Currency 5 2 5 2 3 2" xfId="22444"/>
    <cellStyle name="Currency 5 2 5 2 3 2 2" xfId="36469"/>
    <cellStyle name="Currency 5 2 5 2 3 3" xfId="28458"/>
    <cellStyle name="Currency 5 2 5 2 4" xfId="16435"/>
    <cellStyle name="Currency 5 2 5 2 4 2" xfId="30460"/>
    <cellStyle name="Currency 5 2 5 2 5" xfId="18437"/>
    <cellStyle name="Currency 5 2 5 2 5 2" xfId="32462"/>
    <cellStyle name="Currency 5 2 5 2 6" xfId="24451"/>
    <cellStyle name="Currency 5 2 5 3" xfId="12413"/>
    <cellStyle name="Currency 5 2 5 3 2" xfId="20438"/>
    <cellStyle name="Currency 5 2 5 3 2 2" xfId="34463"/>
    <cellStyle name="Currency 5 2 5 3 3" xfId="26452"/>
    <cellStyle name="Currency 5 2 5 4" xfId="14428"/>
    <cellStyle name="Currency 5 2 5 4 2" xfId="22443"/>
    <cellStyle name="Currency 5 2 5 4 2 2" xfId="36468"/>
    <cellStyle name="Currency 5 2 5 4 3" xfId="28457"/>
    <cellStyle name="Currency 5 2 5 5" xfId="16434"/>
    <cellStyle name="Currency 5 2 5 5 2" xfId="30459"/>
    <cellStyle name="Currency 5 2 5 6" xfId="18436"/>
    <cellStyle name="Currency 5 2 5 6 2" xfId="32461"/>
    <cellStyle name="Currency 5 2 5 7" xfId="24450"/>
    <cellStyle name="Currency 5 2 6" xfId="1676"/>
    <cellStyle name="Currency 5 2 6 2" xfId="1677"/>
    <cellStyle name="Currency 5 2 6 2 2" xfId="12416"/>
    <cellStyle name="Currency 5 2 6 2 2 2" xfId="20441"/>
    <cellStyle name="Currency 5 2 6 2 2 2 2" xfId="34466"/>
    <cellStyle name="Currency 5 2 6 2 2 3" xfId="26455"/>
    <cellStyle name="Currency 5 2 6 2 3" xfId="14431"/>
    <cellStyle name="Currency 5 2 6 2 3 2" xfId="22446"/>
    <cellStyle name="Currency 5 2 6 2 3 2 2" xfId="36471"/>
    <cellStyle name="Currency 5 2 6 2 3 3" xfId="28460"/>
    <cellStyle name="Currency 5 2 6 2 4" xfId="16437"/>
    <cellStyle name="Currency 5 2 6 2 4 2" xfId="30462"/>
    <cellStyle name="Currency 5 2 6 2 5" xfId="18439"/>
    <cellStyle name="Currency 5 2 6 2 5 2" xfId="32464"/>
    <cellStyle name="Currency 5 2 6 2 6" xfId="24453"/>
    <cellStyle name="Currency 5 2 6 3" xfId="12415"/>
    <cellStyle name="Currency 5 2 6 3 2" xfId="20440"/>
    <cellStyle name="Currency 5 2 6 3 2 2" xfId="34465"/>
    <cellStyle name="Currency 5 2 6 3 3" xfId="26454"/>
    <cellStyle name="Currency 5 2 6 4" xfId="14430"/>
    <cellStyle name="Currency 5 2 6 4 2" xfId="22445"/>
    <cellStyle name="Currency 5 2 6 4 2 2" xfId="36470"/>
    <cellStyle name="Currency 5 2 6 4 3" xfId="28459"/>
    <cellStyle name="Currency 5 2 6 5" xfId="16436"/>
    <cellStyle name="Currency 5 2 6 5 2" xfId="30461"/>
    <cellStyle name="Currency 5 2 6 6" xfId="18438"/>
    <cellStyle name="Currency 5 2 6 6 2" xfId="32463"/>
    <cellStyle name="Currency 5 2 6 7" xfId="24452"/>
    <cellStyle name="Currency 5 2 7" xfId="1678"/>
    <cellStyle name="Currency 5 2 7 2" xfId="12417"/>
    <cellStyle name="Currency 5 2 7 2 2" xfId="20442"/>
    <cellStyle name="Currency 5 2 7 2 2 2" xfId="34467"/>
    <cellStyle name="Currency 5 2 7 2 3" xfId="26456"/>
    <cellStyle name="Currency 5 2 7 3" xfId="14432"/>
    <cellStyle name="Currency 5 2 7 3 2" xfId="22447"/>
    <cellStyle name="Currency 5 2 7 3 2 2" xfId="36472"/>
    <cellStyle name="Currency 5 2 7 3 3" xfId="28461"/>
    <cellStyle name="Currency 5 2 7 4" xfId="16438"/>
    <cellStyle name="Currency 5 2 7 4 2" xfId="30463"/>
    <cellStyle name="Currency 5 2 7 5" xfId="18440"/>
    <cellStyle name="Currency 5 2 7 5 2" xfId="32465"/>
    <cellStyle name="Currency 5 2 7 6" xfId="24454"/>
    <cellStyle name="Currency 5 2 8" xfId="12378"/>
    <cellStyle name="Currency 5 2 8 2" xfId="20403"/>
    <cellStyle name="Currency 5 2 8 2 2" xfId="34428"/>
    <cellStyle name="Currency 5 2 8 3" xfId="26417"/>
    <cellStyle name="Currency 5 2 9" xfId="14393"/>
    <cellStyle name="Currency 5 2 9 2" xfId="22408"/>
    <cellStyle name="Currency 5 2 9 2 2" xfId="36433"/>
    <cellStyle name="Currency 5 2 9 3" xfId="28422"/>
    <cellStyle name="Currency 5 3" xfId="1679"/>
    <cellStyle name="Currency 5 3 10" xfId="18441"/>
    <cellStyle name="Currency 5 3 10 2" xfId="32466"/>
    <cellStyle name="Currency 5 3 11" xfId="24455"/>
    <cellStyle name="Currency 5 3 2" xfId="1680"/>
    <cellStyle name="Currency 5 3 2 10" xfId="24456"/>
    <cellStyle name="Currency 5 3 2 2" xfId="1681"/>
    <cellStyle name="Currency 5 3 2 2 2" xfId="1682"/>
    <cellStyle name="Currency 5 3 2 2 2 2" xfId="1683"/>
    <cellStyle name="Currency 5 3 2 2 2 2 2" xfId="12422"/>
    <cellStyle name="Currency 5 3 2 2 2 2 2 2" xfId="20447"/>
    <cellStyle name="Currency 5 3 2 2 2 2 2 2 2" xfId="34472"/>
    <cellStyle name="Currency 5 3 2 2 2 2 2 3" xfId="26461"/>
    <cellStyle name="Currency 5 3 2 2 2 2 3" xfId="14437"/>
    <cellStyle name="Currency 5 3 2 2 2 2 3 2" xfId="22452"/>
    <cellStyle name="Currency 5 3 2 2 2 2 3 2 2" xfId="36477"/>
    <cellStyle name="Currency 5 3 2 2 2 2 3 3" xfId="28466"/>
    <cellStyle name="Currency 5 3 2 2 2 2 4" xfId="16443"/>
    <cellStyle name="Currency 5 3 2 2 2 2 4 2" xfId="30468"/>
    <cellStyle name="Currency 5 3 2 2 2 2 5" xfId="18445"/>
    <cellStyle name="Currency 5 3 2 2 2 2 5 2" xfId="32470"/>
    <cellStyle name="Currency 5 3 2 2 2 2 6" xfId="24459"/>
    <cellStyle name="Currency 5 3 2 2 2 3" xfId="12421"/>
    <cellStyle name="Currency 5 3 2 2 2 3 2" xfId="20446"/>
    <cellStyle name="Currency 5 3 2 2 2 3 2 2" xfId="34471"/>
    <cellStyle name="Currency 5 3 2 2 2 3 3" xfId="26460"/>
    <cellStyle name="Currency 5 3 2 2 2 4" xfId="14436"/>
    <cellStyle name="Currency 5 3 2 2 2 4 2" xfId="22451"/>
    <cellStyle name="Currency 5 3 2 2 2 4 2 2" xfId="36476"/>
    <cellStyle name="Currency 5 3 2 2 2 4 3" xfId="28465"/>
    <cellStyle name="Currency 5 3 2 2 2 5" xfId="16442"/>
    <cellStyle name="Currency 5 3 2 2 2 5 2" xfId="30467"/>
    <cellStyle name="Currency 5 3 2 2 2 6" xfId="18444"/>
    <cellStyle name="Currency 5 3 2 2 2 6 2" xfId="32469"/>
    <cellStyle name="Currency 5 3 2 2 2 7" xfId="24458"/>
    <cellStyle name="Currency 5 3 2 2 3" xfId="1684"/>
    <cellStyle name="Currency 5 3 2 2 3 2" xfId="12423"/>
    <cellStyle name="Currency 5 3 2 2 3 2 2" xfId="20448"/>
    <cellStyle name="Currency 5 3 2 2 3 2 2 2" xfId="34473"/>
    <cellStyle name="Currency 5 3 2 2 3 2 3" xfId="26462"/>
    <cellStyle name="Currency 5 3 2 2 3 3" xfId="14438"/>
    <cellStyle name="Currency 5 3 2 2 3 3 2" xfId="22453"/>
    <cellStyle name="Currency 5 3 2 2 3 3 2 2" xfId="36478"/>
    <cellStyle name="Currency 5 3 2 2 3 3 3" xfId="28467"/>
    <cellStyle name="Currency 5 3 2 2 3 4" xfId="16444"/>
    <cellStyle name="Currency 5 3 2 2 3 4 2" xfId="30469"/>
    <cellStyle name="Currency 5 3 2 2 3 5" xfId="18446"/>
    <cellStyle name="Currency 5 3 2 2 3 5 2" xfId="32471"/>
    <cellStyle name="Currency 5 3 2 2 3 6" xfId="24460"/>
    <cellStyle name="Currency 5 3 2 2 4" xfId="12420"/>
    <cellStyle name="Currency 5 3 2 2 4 2" xfId="20445"/>
    <cellStyle name="Currency 5 3 2 2 4 2 2" xfId="34470"/>
    <cellStyle name="Currency 5 3 2 2 4 3" xfId="26459"/>
    <cellStyle name="Currency 5 3 2 2 5" xfId="14435"/>
    <cellStyle name="Currency 5 3 2 2 5 2" xfId="22450"/>
    <cellStyle name="Currency 5 3 2 2 5 2 2" xfId="36475"/>
    <cellStyle name="Currency 5 3 2 2 5 3" xfId="28464"/>
    <cellStyle name="Currency 5 3 2 2 6" xfId="16441"/>
    <cellStyle name="Currency 5 3 2 2 6 2" xfId="30466"/>
    <cellStyle name="Currency 5 3 2 2 7" xfId="18443"/>
    <cellStyle name="Currency 5 3 2 2 7 2" xfId="32468"/>
    <cellStyle name="Currency 5 3 2 2 8" xfId="24457"/>
    <cellStyle name="Currency 5 3 2 3" xfId="1685"/>
    <cellStyle name="Currency 5 3 2 3 2" xfId="1686"/>
    <cellStyle name="Currency 5 3 2 3 2 2" xfId="12425"/>
    <cellStyle name="Currency 5 3 2 3 2 2 2" xfId="20450"/>
    <cellStyle name="Currency 5 3 2 3 2 2 2 2" xfId="34475"/>
    <cellStyle name="Currency 5 3 2 3 2 2 3" xfId="26464"/>
    <cellStyle name="Currency 5 3 2 3 2 3" xfId="14440"/>
    <cellStyle name="Currency 5 3 2 3 2 3 2" xfId="22455"/>
    <cellStyle name="Currency 5 3 2 3 2 3 2 2" xfId="36480"/>
    <cellStyle name="Currency 5 3 2 3 2 3 3" xfId="28469"/>
    <cellStyle name="Currency 5 3 2 3 2 4" xfId="16446"/>
    <cellStyle name="Currency 5 3 2 3 2 4 2" xfId="30471"/>
    <cellStyle name="Currency 5 3 2 3 2 5" xfId="18448"/>
    <cellStyle name="Currency 5 3 2 3 2 5 2" xfId="32473"/>
    <cellStyle name="Currency 5 3 2 3 2 6" xfId="24462"/>
    <cellStyle name="Currency 5 3 2 3 3" xfId="12424"/>
    <cellStyle name="Currency 5 3 2 3 3 2" xfId="20449"/>
    <cellStyle name="Currency 5 3 2 3 3 2 2" xfId="34474"/>
    <cellStyle name="Currency 5 3 2 3 3 3" xfId="26463"/>
    <cellStyle name="Currency 5 3 2 3 4" xfId="14439"/>
    <cellStyle name="Currency 5 3 2 3 4 2" xfId="22454"/>
    <cellStyle name="Currency 5 3 2 3 4 2 2" xfId="36479"/>
    <cellStyle name="Currency 5 3 2 3 4 3" xfId="28468"/>
    <cellStyle name="Currency 5 3 2 3 5" xfId="16445"/>
    <cellStyle name="Currency 5 3 2 3 5 2" xfId="30470"/>
    <cellStyle name="Currency 5 3 2 3 6" xfId="18447"/>
    <cellStyle name="Currency 5 3 2 3 6 2" xfId="32472"/>
    <cellStyle name="Currency 5 3 2 3 7" xfId="24461"/>
    <cellStyle name="Currency 5 3 2 4" xfId="1687"/>
    <cellStyle name="Currency 5 3 2 4 2" xfId="1688"/>
    <cellStyle name="Currency 5 3 2 4 2 2" xfId="12427"/>
    <cellStyle name="Currency 5 3 2 4 2 2 2" xfId="20452"/>
    <cellStyle name="Currency 5 3 2 4 2 2 2 2" xfId="34477"/>
    <cellStyle name="Currency 5 3 2 4 2 2 3" xfId="26466"/>
    <cellStyle name="Currency 5 3 2 4 2 3" xfId="14442"/>
    <cellStyle name="Currency 5 3 2 4 2 3 2" xfId="22457"/>
    <cellStyle name="Currency 5 3 2 4 2 3 2 2" xfId="36482"/>
    <cellStyle name="Currency 5 3 2 4 2 3 3" xfId="28471"/>
    <cellStyle name="Currency 5 3 2 4 2 4" xfId="16448"/>
    <cellStyle name="Currency 5 3 2 4 2 4 2" xfId="30473"/>
    <cellStyle name="Currency 5 3 2 4 2 5" xfId="18450"/>
    <cellStyle name="Currency 5 3 2 4 2 5 2" xfId="32475"/>
    <cellStyle name="Currency 5 3 2 4 2 6" xfId="24464"/>
    <cellStyle name="Currency 5 3 2 4 3" xfId="12426"/>
    <cellStyle name="Currency 5 3 2 4 3 2" xfId="20451"/>
    <cellStyle name="Currency 5 3 2 4 3 2 2" xfId="34476"/>
    <cellStyle name="Currency 5 3 2 4 3 3" xfId="26465"/>
    <cellStyle name="Currency 5 3 2 4 4" xfId="14441"/>
    <cellStyle name="Currency 5 3 2 4 4 2" xfId="22456"/>
    <cellStyle name="Currency 5 3 2 4 4 2 2" xfId="36481"/>
    <cellStyle name="Currency 5 3 2 4 4 3" xfId="28470"/>
    <cellStyle name="Currency 5 3 2 4 5" xfId="16447"/>
    <cellStyle name="Currency 5 3 2 4 5 2" xfId="30472"/>
    <cellStyle name="Currency 5 3 2 4 6" xfId="18449"/>
    <cellStyle name="Currency 5 3 2 4 6 2" xfId="32474"/>
    <cellStyle name="Currency 5 3 2 4 7" xfId="24463"/>
    <cellStyle name="Currency 5 3 2 5" xfId="1689"/>
    <cellStyle name="Currency 5 3 2 5 2" xfId="12428"/>
    <cellStyle name="Currency 5 3 2 5 2 2" xfId="20453"/>
    <cellStyle name="Currency 5 3 2 5 2 2 2" xfId="34478"/>
    <cellStyle name="Currency 5 3 2 5 2 3" xfId="26467"/>
    <cellStyle name="Currency 5 3 2 5 3" xfId="14443"/>
    <cellStyle name="Currency 5 3 2 5 3 2" xfId="22458"/>
    <cellStyle name="Currency 5 3 2 5 3 2 2" xfId="36483"/>
    <cellStyle name="Currency 5 3 2 5 3 3" xfId="28472"/>
    <cellStyle name="Currency 5 3 2 5 4" xfId="16449"/>
    <cellStyle name="Currency 5 3 2 5 4 2" xfId="30474"/>
    <cellStyle name="Currency 5 3 2 5 5" xfId="18451"/>
    <cellStyle name="Currency 5 3 2 5 5 2" xfId="32476"/>
    <cellStyle name="Currency 5 3 2 5 6" xfId="24465"/>
    <cellStyle name="Currency 5 3 2 6" xfId="12419"/>
    <cellStyle name="Currency 5 3 2 6 2" xfId="20444"/>
    <cellStyle name="Currency 5 3 2 6 2 2" xfId="34469"/>
    <cellStyle name="Currency 5 3 2 6 3" xfId="26458"/>
    <cellStyle name="Currency 5 3 2 7" xfId="14434"/>
    <cellStyle name="Currency 5 3 2 7 2" xfId="22449"/>
    <cellStyle name="Currency 5 3 2 7 2 2" xfId="36474"/>
    <cellStyle name="Currency 5 3 2 7 3" xfId="28463"/>
    <cellStyle name="Currency 5 3 2 8" xfId="16440"/>
    <cellStyle name="Currency 5 3 2 8 2" xfId="30465"/>
    <cellStyle name="Currency 5 3 2 9" xfId="18442"/>
    <cellStyle name="Currency 5 3 2 9 2" xfId="32467"/>
    <cellStyle name="Currency 5 3 3" xfId="1690"/>
    <cellStyle name="Currency 5 3 3 2" xfId="1691"/>
    <cellStyle name="Currency 5 3 3 2 2" xfId="1692"/>
    <cellStyle name="Currency 5 3 3 2 2 2" xfId="12431"/>
    <cellStyle name="Currency 5 3 3 2 2 2 2" xfId="20456"/>
    <cellStyle name="Currency 5 3 3 2 2 2 2 2" xfId="34481"/>
    <cellStyle name="Currency 5 3 3 2 2 2 3" xfId="26470"/>
    <cellStyle name="Currency 5 3 3 2 2 3" xfId="14446"/>
    <cellStyle name="Currency 5 3 3 2 2 3 2" xfId="22461"/>
    <cellStyle name="Currency 5 3 3 2 2 3 2 2" xfId="36486"/>
    <cellStyle name="Currency 5 3 3 2 2 3 3" xfId="28475"/>
    <cellStyle name="Currency 5 3 3 2 2 4" xfId="16452"/>
    <cellStyle name="Currency 5 3 3 2 2 4 2" xfId="30477"/>
    <cellStyle name="Currency 5 3 3 2 2 5" xfId="18454"/>
    <cellStyle name="Currency 5 3 3 2 2 5 2" xfId="32479"/>
    <cellStyle name="Currency 5 3 3 2 2 6" xfId="24468"/>
    <cellStyle name="Currency 5 3 3 2 3" xfId="12430"/>
    <cellStyle name="Currency 5 3 3 2 3 2" xfId="20455"/>
    <cellStyle name="Currency 5 3 3 2 3 2 2" xfId="34480"/>
    <cellStyle name="Currency 5 3 3 2 3 3" xfId="26469"/>
    <cellStyle name="Currency 5 3 3 2 4" xfId="14445"/>
    <cellStyle name="Currency 5 3 3 2 4 2" xfId="22460"/>
    <cellStyle name="Currency 5 3 3 2 4 2 2" xfId="36485"/>
    <cellStyle name="Currency 5 3 3 2 4 3" xfId="28474"/>
    <cellStyle name="Currency 5 3 3 2 5" xfId="16451"/>
    <cellStyle name="Currency 5 3 3 2 5 2" xfId="30476"/>
    <cellStyle name="Currency 5 3 3 2 6" xfId="18453"/>
    <cellStyle name="Currency 5 3 3 2 6 2" xfId="32478"/>
    <cellStyle name="Currency 5 3 3 2 7" xfId="24467"/>
    <cellStyle name="Currency 5 3 3 3" xfId="1693"/>
    <cellStyle name="Currency 5 3 3 3 2" xfId="12432"/>
    <cellStyle name="Currency 5 3 3 3 2 2" xfId="20457"/>
    <cellStyle name="Currency 5 3 3 3 2 2 2" xfId="34482"/>
    <cellStyle name="Currency 5 3 3 3 2 3" xfId="26471"/>
    <cellStyle name="Currency 5 3 3 3 3" xfId="14447"/>
    <cellStyle name="Currency 5 3 3 3 3 2" xfId="22462"/>
    <cellStyle name="Currency 5 3 3 3 3 2 2" xfId="36487"/>
    <cellStyle name="Currency 5 3 3 3 3 3" xfId="28476"/>
    <cellStyle name="Currency 5 3 3 3 4" xfId="16453"/>
    <cellStyle name="Currency 5 3 3 3 4 2" xfId="30478"/>
    <cellStyle name="Currency 5 3 3 3 5" xfId="18455"/>
    <cellStyle name="Currency 5 3 3 3 5 2" xfId="32480"/>
    <cellStyle name="Currency 5 3 3 3 6" xfId="24469"/>
    <cellStyle name="Currency 5 3 3 4" xfId="12429"/>
    <cellStyle name="Currency 5 3 3 4 2" xfId="20454"/>
    <cellStyle name="Currency 5 3 3 4 2 2" xfId="34479"/>
    <cellStyle name="Currency 5 3 3 4 3" xfId="26468"/>
    <cellStyle name="Currency 5 3 3 5" xfId="14444"/>
    <cellStyle name="Currency 5 3 3 5 2" xfId="22459"/>
    <cellStyle name="Currency 5 3 3 5 2 2" xfId="36484"/>
    <cellStyle name="Currency 5 3 3 5 3" xfId="28473"/>
    <cellStyle name="Currency 5 3 3 6" xfId="16450"/>
    <cellStyle name="Currency 5 3 3 6 2" xfId="30475"/>
    <cellStyle name="Currency 5 3 3 7" xfId="18452"/>
    <cellStyle name="Currency 5 3 3 7 2" xfId="32477"/>
    <cellStyle name="Currency 5 3 3 8" xfId="24466"/>
    <cellStyle name="Currency 5 3 4" xfId="1694"/>
    <cellStyle name="Currency 5 3 4 2" xfId="1695"/>
    <cellStyle name="Currency 5 3 4 2 2" xfId="12434"/>
    <cellStyle name="Currency 5 3 4 2 2 2" xfId="20459"/>
    <cellStyle name="Currency 5 3 4 2 2 2 2" xfId="34484"/>
    <cellStyle name="Currency 5 3 4 2 2 3" xfId="26473"/>
    <cellStyle name="Currency 5 3 4 2 3" xfId="14449"/>
    <cellStyle name="Currency 5 3 4 2 3 2" xfId="22464"/>
    <cellStyle name="Currency 5 3 4 2 3 2 2" xfId="36489"/>
    <cellStyle name="Currency 5 3 4 2 3 3" xfId="28478"/>
    <cellStyle name="Currency 5 3 4 2 4" xfId="16455"/>
    <cellStyle name="Currency 5 3 4 2 4 2" xfId="30480"/>
    <cellStyle name="Currency 5 3 4 2 5" xfId="18457"/>
    <cellStyle name="Currency 5 3 4 2 5 2" xfId="32482"/>
    <cellStyle name="Currency 5 3 4 2 6" xfId="24471"/>
    <cellStyle name="Currency 5 3 4 3" xfId="12433"/>
    <cellStyle name="Currency 5 3 4 3 2" xfId="20458"/>
    <cellStyle name="Currency 5 3 4 3 2 2" xfId="34483"/>
    <cellStyle name="Currency 5 3 4 3 3" xfId="26472"/>
    <cellStyle name="Currency 5 3 4 4" xfId="14448"/>
    <cellStyle name="Currency 5 3 4 4 2" xfId="22463"/>
    <cellStyle name="Currency 5 3 4 4 2 2" xfId="36488"/>
    <cellStyle name="Currency 5 3 4 4 3" xfId="28477"/>
    <cellStyle name="Currency 5 3 4 5" xfId="16454"/>
    <cellStyle name="Currency 5 3 4 5 2" xfId="30479"/>
    <cellStyle name="Currency 5 3 4 6" xfId="18456"/>
    <cellStyle name="Currency 5 3 4 6 2" xfId="32481"/>
    <cellStyle name="Currency 5 3 4 7" xfId="24470"/>
    <cellStyle name="Currency 5 3 5" xfId="1696"/>
    <cellStyle name="Currency 5 3 5 2" xfId="1697"/>
    <cellStyle name="Currency 5 3 5 2 2" xfId="12436"/>
    <cellStyle name="Currency 5 3 5 2 2 2" xfId="20461"/>
    <cellStyle name="Currency 5 3 5 2 2 2 2" xfId="34486"/>
    <cellStyle name="Currency 5 3 5 2 2 3" xfId="26475"/>
    <cellStyle name="Currency 5 3 5 2 3" xfId="14451"/>
    <cellStyle name="Currency 5 3 5 2 3 2" xfId="22466"/>
    <cellStyle name="Currency 5 3 5 2 3 2 2" xfId="36491"/>
    <cellStyle name="Currency 5 3 5 2 3 3" xfId="28480"/>
    <cellStyle name="Currency 5 3 5 2 4" xfId="16457"/>
    <cellStyle name="Currency 5 3 5 2 4 2" xfId="30482"/>
    <cellStyle name="Currency 5 3 5 2 5" xfId="18459"/>
    <cellStyle name="Currency 5 3 5 2 5 2" xfId="32484"/>
    <cellStyle name="Currency 5 3 5 2 6" xfId="24473"/>
    <cellStyle name="Currency 5 3 5 3" xfId="12435"/>
    <cellStyle name="Currency 5 3 5 3 2" xfId="20460"/>
    <cellStyle name="Currency 5 3 5 3 2 2" xfId="34485"/>
    <cellStyle name="Currency 5 3 5 3 3" xfId="26474"/>
    <cellStyle name="Currency 5 3 5 4" xfId="14450"/>
    <cellStyle name="Currency 5 3 5 4 2" xfId="22465"/>
    <cellStyle name="Currency 5 3 5 4 2 2" xfId="36490"/>
    <cellStyle name="Currency 5 3 5 4 3" xfId="28479"/>
    <cellStyle name="Currency 5 3 5 5" xfId="16456"/>
    <cellStyle name="Currency 5 3 5 5 2" xfId="30481"/>
    <cellStyle name="Currency 5 3 5 6" xfId="18458"/>
    <cellStyle name="Currency 5 3 5 6 2" xfId="32483"/>
    <cellStyle name="Currency 5 3 5 7" xfId="24472"/>
    <cellStyle name="Currency 5 3 6" xfId="1698"/>
    <cellStyle name="Currency 5 3 6 2" xfId="12437"/>
    <cellStyle name="Currency 5 3 6 2 2" xfId="20462"/>
    <cellStyle name="Currency 5 3 6 2 2 2" xfId="34487"/>
    <cellStyle name="Currency 5 3 6 2 3" xfId="26476"/>
    <cellStyle name="Currency 5 3 6 3" xfId="14452"/>
    <cellStyle name="Currency 5 3 6 3 2" xfId="22467"/>
    <cellStyle name="Currency 5 3 6 3 2 2" xfId="36492"/>
    <cellStyle name="Currency 5 3 6 3 3" xfId="28481"/>
    <cellStyle name="Currency 5 3 6 4" xfId="16458"/>
    <cellStyle name="Currency 5 3 6 4 2" xfId="30483"/>
    <cellStyle name="Currency 5 3 6 5" xfId="18460"/>
    <cellStyle name="Currency 5 3 6 5 2" xfId="32485"/>
    <cellStyle name="Currency 5 3 6 6" xfId="24474"/>
    <cellStyle name="Currency 5 3 7" xfId="12418"/>
    <cellStyle name="Currency 5 3 7 2" xfId="20443"/>
    <cellStyle name="Currency 5 3 7 2 2" xfId="34468"/>
    <cellStyle name="Currency 5 3 7 3" xfId="26457"/>
    <cellStyle name="Currency 5 3 8" xfId="14433"/>
    <cellStyle name="Currency 5 3 8 2" xfId="22448"/>
    <cellStyle name="Currency 5 3 8 2 2" xfId="36473"/>
    <cellStyle name="Currency 5 3 8 3" xfId="28462"/>
    <cellStyle name="Currency 5 3 9" xfId="16439"/>
    <cellStyle name="Currency 5 3 9 2" xfId="30464"/>
    <cellStyle name="Currency 5 4" xfId="1699"/>
    <cellStyle name="Currency 5 4 10" xfId="24475"/>
    <cellStyle name="Currency 5 4 2" xfId="1700"/>
    <cellStyle name="Currency 5 4 2 2" xfId="1701"/>
    <cellStyle name="Currency 5 4 2 2 2" xfId="1702"/>
    <cellStyle name="Currency 5 4 2 2 2 2" xfId="12441"/>
    <cellStyle name="Currency 5 4 2 2 2 2 2" xfId="20466"/>
    <cellStyle name="Currency 5 4 2 2 2 2 2 2" xfId="34491"/>
    <cellStyle name="Currency 5 4 2 2 2 2 3" xfId="26480"/>
    <cellStyle name="Currency 5 4 2 2 2 3" xfId="14456"/>
    <cellStyle name="Currency 5 4 2 2 2 3 2" xfId="22471"/>
    <cellStyle name="Currency 5 4 2 2 2 3 2 2" xfId="36496"/>
    <cellStyle name="Currency 5 4 2 2 2 3 3" xfId="28485"/>
    <cellStyle name="Currency 5 4 2 2 2 4" xfId="16462"/>
    <cellStyle name="Currency 5 4 2 2 2 4 2" xfId="30487"/>
    <cellStyle name="Currency 5 4 2 2 2 5" xfId="18464"/>
    <cellStyle name="Currency 5 4 2 2 2 5 2" xfId="32489"/>
    <cellStyle name="Currency 5 4 2 2 2 6" xfId="24478"/>
    <cellStyle name="Currency 5 4 2 2 3" xfId="12440"/>
    <cellStyle name="Currency 5 4 2 2 3 2" xfId="20465"/>
    <cellStyle name="Currency 5 4 2 2 3 2 2" xfId="34490"/>
    <cellStyle name="Currency 5 4 2 2 3 3" xfId="26479"/>
    <cellStyle name="Currency 5 4 2 2 4" xfId="14455"/>
    <cellStyle name="Currency 5 4 2 2 4 2" xfId="22470"/>
    <cellStyle name="Currency 5 4 2 2 4 2 2" xfId="36495"/>
    <cellStyle name="Currency 5 4 2 2 4 3" xfId="28484"/>
    <cellStyle name="Currency 5 4 2 2 5" xfId="16461"/>
    <cellStyle name="Currency 5 4 2 2 5 2" xfId="30486"/>
    <cellStyle name="Currency 5 4 2 2 6" xfId="18463"/>
    <cellStyle name="Currency 5 4 2 2 6 2" xfId="32488"/>
    <cellStyle name="Currency 5 4 2 2 7" xfId="24477"/>
    <cellStyle name="Currency 5 4 2 3" xfId="1703"/>
    <cellStyle name="Currency 5 4 2 3 2" xfId="12442"/>
    <cellStyle name="Currency 5 4 2 3 2 2" xfId="20467"/>
    <cellStyle name="Currency 5 4 2 3 2 2 2" xfId="34492"/>
    <cellStyle name="Currency 5 4 2 3 2 3" xfId="26481"/>
    <cellStyle name="Currency 5 4 2 3 3" xfId="14457"/>
    <cellStyle name="Currency 5 4 2 3 3 2" xfId="22472"/>
    <cellStyle name="Currency 5 4 2 3 3 2 2" xfId="36497"/>
    <cellStyle name="Currency 5 4 2 3 3 3" xfId="28486"/>
    <cellStyle name="Currency 5 4 2 3 4" xfId="16463"/>
    <cellStyle name="Currency 5 4 2 3 4 2" xfId="30488"/>
    <cellStyle name="Currency 5 4 2 3 5" xfId="18465"/>
    <cellStyle name="Currency 5 4 2 3 5 2" xfId="32490"/>
    <cellStyle name="Currency 5 4 2 3 6" xfId="24479"/>
    <cellStyle name="Currency 5 4 2 4" xfId="12439"/>
    <cellStyle name="Currency 5 4 2 4 2" xfId="20464"/>
    <cellStyle name="Currency 5 4 2 4 2 2" xfId="34489"/>
    <cellStyle name="Currency 5 4 2 4 3" xfId="26478"/>
    <cellStyle name="Currency 5 4 2 5" xfId="14454"/>
    <cellStyle name="Currency 5 4 2 5 2" xfId="22469"/>
    <cellStyle name="Currency 5 4 2 5 2 2" xfId="36494"/>
    <cellStyle name="Currency 5 4 2 5 3" xfId="28483"/>
    <cellStyle name="Currency 5 4 2 6" xfId="16460"/>
    <cellStyle name="Currency 5 4 2 6 2" xfId="30485"/>
    <cellStyle name="Currency 5 4 2 7" xfId="18462"/>
    <cellStyle name="Currency 5 4 2 7 2" xfId="32487"/>
    <cellStyle name="Currency 5 4 2 8" xfId="24476"/>
    <cellStyle name="Currency 5 4 3" xfId="1704"/>
    <cellStyle name="Currency 5 4 3 2" xfId="1705"/>
    <cellStyle name="Currency 5 4 3 2 2" xfId="12444"/>
    <cellStyle name="Currency 5 4 3 2 2 2" xfId="20469"/>
    <cellStyle name="Currency 5 4 3 2 2 2 2" xfId="34494"/>
    <cellStyle name="Currency 5 4 3 2 2 3" xfId="26483"/>
    <cellStyle name="Currency 5 4 3 2 3" xfId="14459"/>
    <cellStyle name="Currency 5 4 3 2 3 2" xfId="22474"/>
    <cellStyle name="Currency 5 4 3 2 3 2 2" xfId="36499"/>
    <cellStyle name="Currency 5 4 3 2 3 3" xfId="28488"/>
    <cellStyle name="Currency 5 4 3 2 4" xfId="16465"/>
    <cellStyle name="Currency 5 4 3 2 4 2" xfId="30490"/>
    <cellStyle name="Currency 5 4 3 2 5" xfId="18467"/>
    <cellStyle name="Currency 5 4 3 2 5 2" xfId="32492"/>
    <cellStyle name="Currency 5 4 3 2 6" xfId="24481"/>
    <cellStyle name="Currency 5 4 3 3" xfId="12443"/>
    <cellStyle name="Currency 5 4 3 3 2" xfId="20468"/>
    <cellStyle name="Currency 5 4 3 3 2 2" xfId="34493"/>
    <cellStyle name="Currency 5 4 3 3 3" xfId="26482"/>
    <cellStyle name="Currency 5 4 3 4" xfId="14458"/>
    <cellStyle name="Currency 5 4 3 4 2" xfId="22473"/>
    <cellStyle name="Currency 5 4 3 4 2 2" xfId="36498"/>
    <cellStyle name="Currency 5 4 3 4 3" xfId="28487"/>
    <cellStyle name="Currency 5 4 3 5" xfId="16464"/>
    <cellStyle name="Currency 5 4 3 5 2" xfId="30489"/>
    <cellStyle name="Currency 5 4 3 6" xfId="18466"/>
    <cellStyle name="Currency 5 4 3 6 2" xfId="32491"/>
    <cellStyle name="Currency 5 4 3 7" xfId="24480"/>
    <cellStyle name="Currency 5 4 4" xfId="1706"/>
    <cellStyle name="Currency 5 4 4 2" xfId="1707"/>
    <cellStyle name="Currency 5 4 4 2 2" xfId="12446"/>
    <cellStyle name="Currency 5 4 4 2 2 2" xfId="20471"/>
    <cellStyle name="Currency 5 4 4 2 2 2 2" xfId="34496"/>
    <cellStyle name="Currency 5 4 4 2 2 3" xfId="26485"/>
    <cellStyle name="Currency 5 4 4 2 3" xfId="14461"/>
    <cellStyle name="Currency 5 4 4 2 3 2" xfId="22476"/>
    <cellStyle name="Currency 5 4 4 2 3 2 2" xfId="36501"/>
    <cellStyle name="Currency 5 4 4 2 3 3" xfId="28490"/>
    <cellStyle name="Currency 5 4 4 2 4" xfId="16467"/>
    <cellStyle name="Currency 5 4 4 2 4 2" xfId="30492"/>
    <cellStyle name="Currency 5 4 4 2 5" xfId="18469"/>
    <cellStyle name="Currency 5 4 4 2 5 2" xfId="32494"/>
    <cellStyle name="Currency 5 4 4 2 6" xfId="24483"/>
    <cellStyle name="Currency 5 4 4 3" xfId="12445"/>
    <cellStyle name="Currency 5 4 4 3 2" xfId="20470"/>
    <cellStyle name="Currency 5 4 4 3 2 2" xfId="34495"/>
    <cellStyle name="Currency 5 4 4 3 3" xfId="26484"/>
    <cellStyle name="Currency 5 4 4 4" xfId="14460"/>
    <cellStyle name="Currency 5 4 4 4 2" xfId="22475"/>
    <cellStyle name="Currency 5 4 4 4 2 2" xfId="36500"/>
    <cellStyle name="Currency 5 4 4 4 3" xfId="28489"/>
    <cellStyle name="Currency 5 4 4 5" xfId="16466"/>
    <cellStyle name="Currency 5 4 4 5 2" xfId="30491"/>
    <cellStyle name="Currency 5 4 4 6" xfId="18468"/>
    <cellStyle name="Currency 5 4 4 6 2" xfId="32493"/>
    <cellStyle name="Currency 5 4 4 7" xfId="24482"/>
    <cellStyle name="Currency 5 4 5" xfId="1708"/>
    <cellStyle name="Currency 5 4 5 2" xfId="12447"/>
    <cellStyle name="Currency 5 4 5 2 2" xfId="20472"/>
    <cellStyle name="Currency 5 4 5 2 2 2" xfId="34497"/>
    <cellStyle name="Currency 5 4 5 2 3" xfId="26486"/>
    <cellStyle name="Currency 5 4 5 3" xfId="14462"/>
    <cellStyle name="Currency 5 4 5 3 2" xfId="22477"/>
    <cellStyle name="Currency 5 4 5 3 2 2" xfId="36502"/>
    <cellStyle name="Currency 5 4 5 3 3" xfId="28491"/>
    <cellStyle name="Currency 5 4 5 4" xfId="16468"/>
    <cellStyle name="Currency 5 4 5 4 2" xfId="30493"/>
    <cellStyle name="Currency 5 4 5 5" xfId="18470"/>
    <cellStyle name="Currency 5 4 5 5 2" xfId="32495"/>
    <cellStyle name="Currency 5 4 5 6" xfId="24484"/>
    <cellStyle name="Currency 5 4 6" xfId="12438"/>
    <cellStyle name="Currency 5 4 6 2" xfId="20463"/>
    <cellStyle name="Currency 5 4 6 2 2" xfId="34488"/>
    <cellStyle name="Currency 5 4 6 3" xfId="26477"/>
    <cellStyle name="Currency 5 4 7" xfId="14453"/>
    <cellStyle name="Currency 5 4 7 2" xfId="22468"/>
    <cellStyle name="Currency 5 4 7 2 2" xfId="36493"/>
    <cellStyle name="Currency 5 4 7 3" xfId="28482"/>
    <cellStyle name="Currency 5 4 8" xfId="16459"/>
    <cellStyle name="Currency 5 4 8 2" xfId="30484"/>
    <cellStyle name="Currency 5 4 9" xfId="18461"/>
    <cellStyle name="Currency 5 4 9 2" xfId="32486"/>
    <cellStyle name="Currency 5 5" xfId="1709"/>
    <cellStyle name="Currency 5 5 2" xfId="1710"/>
    <cellStyle name="Currency 5 5 2 2" xfId="1711"/>
    <cellStyle name="Currency 5 5 2 2 2" xfId="12450"/>
    <cellStyle name="Currency 5 5 2 2 2 2" xfId="20475"/>
    <cellStyle name="Currency 5 5 2 2 2 2 2" xfId="34500"/>
    <cellStyle name="Currency 5 5 2 2 2 3" xfId="26489"/>
    <cellStyle name="Currency 5 5 2 2 3" xfId="14465"/>
    <cellStyle name="Currency 5 5 2 2 3 2" xfId="22480"/>
    <cellStyle name="Currency 5 5 2 2 3 2 2" xfId="36505"/>
    <cellStyle name="Currency 5 5 2 2 3 3" xfId="28494"/>
    <cellStyle name="Currency 5 5 2 2 4" xfId="16471"/>
    <cellStyle name="Currency 5 5 2 2 4 2" xfId="30496"/>
    <cellStyle name="Currency 5 5 2 2 5" xfId="18473"/>
    <cellStyle name="Currency 5 5 2 2 5 2" xfId="32498"/>
    <cellStyle name="Currency 5 5 2 2 6" xfId="24487"/>
    <cellStyle name="Currency 5 5 2 3" xfId="12449"/>
    <cellStyle name="Currency 5 5 2 3 2" xfId="20474"/>
    <cellStyle name="Currency 5 5 2 3 2 2" xfId="34499"/>
    <cellStyle name="Currency 5 5 2 3 3" xfId="26488"/>
    <cellStyle name="Currency 5 5 2 4" xfId="14464"/>
    <cellStyle name="Currency 5 5 2 4 2" xfId="22479"/>
    <cellStyle name="Currency 5 5 2 4 2 2" xfId="36504"/>
    <cellStyle name="Currency 5 5 2 4 3" xfId="28493"/>
    <cellStyle name="Currency 5 5 2 5" xfId="16470"/>
    <cellStyle name="Currency 5 5 2 5 2" xfId="30495"/>
    <cellStyle name="Currency 5 5 2 6" xfId="18472"/>
    <cellStyle name="Currency 5 5 2 6 2" xfId="32497"/>
    <cellStyle name="Currency 5 5 2 7" xfId="24486"/>
    <cellStyle name="Currency 5 5 3" xfId="1712"/>
    <cellStyle name="Currency 5 5 3 2" xfId="12451"/>
    <cellStyle name="Currency 5 5 3 2 2" xfId="20476"/>
    <cellStyle name="Currency 5 5 3 2 2 2" xfId="34501"/>
    <cellStyle name="Currency 5 5 3 2 3" xfId="26490"/>
    <cellStyle name="Currency 5 5 3 3" xfId="14466"/>
    <cellStyle name="Currency 5 5 3 3 2" xfId="22481"/>
    <cellStyle name="Currency 5 5 3 3 2 2" xfId="36506"/>
    <cellStyle name="Currency 5 5 3 3 3" xfId="28495"/>
    <cellStyle name="Currency 5 5 3 4" xfId="16472"/>
    <cellStyle name="Currency 5 5 3 4 2" xfId="30497"/>
    <cellStyle name="Currency 5 5 3 5" xfId="18474"/>
    <cellStyle name="Currency 5 5 3 5 2" xfId="32499"/>
    <cellStyle name="Currency 5 5 3 6" xfId="24488"/>
    <cellStyle name="Currency 5 5 4" xfId="12448"/>
    <cellStyle name="Currency 5 5 4 2" xfId="20473"/>
    <cellStyle name="Currency 5 5 4 2 2" xfId="34498"/>
    <cellStyle name="Currency 5 5 4 3" xfId="26487"/>
    <cellStyle name="Currency 5 5 5" xfId="14463"/>
    <cellStyle name="Currency 5 5 5 2" xfId="22478"/>
    <cellStyle name="Currency 5 5 5 2 2" xfId="36503"/>
    <cellStyle name="Currency 5 5 5 3" xfId="28492"/>
    <cellStyle name="Currency 5 5 6" xfId="16469"/>
    <cellStyle name="Currency 5 5 6 2" xfId="30494"/>
    <cellStyle name="Currency 5 5 7" xfId="18471"/>
    <cellStyle name="Currency 5 5 7 2" xfId="32496"/>
    <cellStyle name="Currency 5 5 8" xfId="24485"/>
    <cellStyle name="Currency 5 6" xfId="1713"/>
    <cellStyle name="Currency 5 6 2" xfId="1714"/>
    <cellStyle name="Currency 5 6 2 2" xfId="12453"/>
    <cellStyle name="Currency 5 6 2 2 2" xfId="20478"/>
    <cellStyle name="Currency 5 6 2 2 2 2" xfId="34503"/>
    <cellStyle name="Currency 5 6 2 2 3" xfId="26492"/>
    <cellStyle name="Currency 5 6 2 3" xfId="14468"/>
    <cellStyle name="Currency 5 6 2 3 2" xfId="22483"/>
    <cellStyle name="Currency 5 6 2 3 2 2" xfId="36508"/>
    <cellStyle name="Currency 5 6 2 3 3" xfId="28497"/>
    <cellStyle name="Currency 5 6 2 4" xfId="16474"/>
    <cellStyle name="Currency 5 6 2 4 2" xfId="30499"/>
    <cellStyle name="Currency 5 6 2 5" xfId="18476"/>
    <cellStyle name="Currency 5 6 2 5 2" xfId="32501"/>
    <cellStyle name="Currency 5 6 2 6" xfId="24490"/>
    <cellStyle name="Currency 5 6 3" xfId="12452"/>
    <cellStyle name="Currency 5 6 3 2" xfId="20477"/>
    <cellStyle name="Currency 5 6 3 2 2" xfId="34502"/>
    <cellStyle name="Currency 5 6 3 3" xfId="26491"/>
    <cellStyle name="Currency 5 6 4" xfId="14467"/>
    <cellStyle name="Currency 5 6 4 2" xfId="22482"/>
    <cellStyle name="Currency 5 6 4 2 2" xfId="36507"/>
    <cellStyle name="Currency 5 6 4 3" xfId="28496"/>
    <cellStyle name="Currency 5 6 5" xfId="16473"/>
    <cellStyle name="Currency 5 6 5 2" xfId="30498"/>
    <cellStyle name="Currency 5 6 6" xfId="18475"/>
    <cellStyle name="Currency 5 6 6 2" xfId="32500"/>
    <cellStyle name="Currency 5 6 7" xfId="24489"/>
    <cellStyle name="Currency 5 7" xfId="1715"/>
    <cellStyle name="Currency 5 7 2" xfId="1716"/>
    <cellStyle name="Currency 5 7 2 2" xfId="12455"/>
    <cellStyle name="Currency 5 7 2 2 2" xfId="20480"/>
    <cellStyle name="Currency 5 7 2 2 2 2" xfId="34505"/>
    <cellStyle name="Currency 5 7 2 2 3" xfId="26494"/>
    <cellStyle name="Currency 5 7 2 3" xfId="14470"/>
    <cellStyle name="Currency 5 7 2 3 2" xfId="22485"/>
    <cellStyle name="Currency 5 7 2 3 2 2" xfId="36510"/>
    <cellStyle name="Currency 5 7 2 3 3" xfId="28499"/>
    <cellStyle name="Currency 5 7 2 4" xfId="16476"/>
    <cellStyle name="Currency 5 7 2 4 2" xfId="30501"/>
    <cellStyle name="Currency 5 7 2 5" xfId="18478"/>
    <cellStyle name="Currency 5 7 2 5 2" xfId="32503"/>
    <cellStyle name="Currency 5 7 2 6" xfId="24492"/>
    <cellStyle name="Currency 5 7 3" xfId="12454"/>
    <cellStyle name="Currency 5 7 3 2" xfId="20479"/>
    <cellStyle name="Currency 5 7 3 2 2" xfId="34504"/>
    <cellStyle name="Currency 5 7 3 3" xfId="26493"/>
    <cellStyle name="Currency 5 7 4" xfId="14469"/>
    <cellStyle name="Currency 5 7 4 2" xfId="22484"/>
    <cellStyle name="Currency 5 7 4 2 2" xfId="36509"/>
    <cellStyle name="Currency 5 7 4 3" xfId="28498"/>
    <cellStyle name="Currency 5 7 5" xfId="16475"/>
    <cellStyle name="Currency 5 7 5 2" xfId="30500"/>
    <cellStyle name="Currency 5 7 6" xfId="18477"/>
    <cellStyle name="Currency 5 7 6 2" xfId="32502"/>
    <cellStyle name="Currency 5 7 7" xfId="24491"/>
    <cellStyle name="Currency 5 8" xfId="1717"/>
    <cellStyle name="Currency 5 8 2" xfId="12456"/>
    <cellStyle name="Currency 5 8 2 2" xfId="20481"/>
    <cellStyle name="Currency 5 8 2 2 2" xfId="34506"/>
    <cellStyle name="Currency 5 8 2 3" xfId="26495"/>
    <cellStyle name="Currency 5 8 3" xfId="14471"/>
    <cellStyle name="Currency 5 8 3 2" xfId="22486"/>
    <cellStyle name="Currency 5 8 3 2 2" xfId="36511"/>
    <cellStyle name="Currency 5 8 3 3" xfId="28500"/>
    <cellStyle name="Currency 5 8 4" xfId="16477"/>
    <cellStyle name="Currency 5 8 4 2" xfId="30502"/>
    <cellStyle name="Currency 5 8 5" xfId="18479"/>
    <cellStyle name="Currency 5 8 5 2" xfId="32504"/>
    <cellStyle name="Currency 5 8 6" xfId="24493"/>
    <cellStyle name="Currency 6" xfId="1718"/>
    <cellStyle name="Currency 6 2" xfId="1719"/>
    <cellStyle name="Currency 7" xfId="1720"/>
    <cellStyle name="Currency 8" xfId="11278"/>
    <cellStyle name="Currency No Comma" xfId="1721"/>
    <cellStyle name="Currency0" xfId="443"/>
    <cellStyle name="Date" xfId="444"/>
    <cellStyle name="Explanatory Text 2" xfId="445"/>
    <cellStyle name="Fixed" xfId="446"/>
    <cellStyle name="Formula" xfId="447"/>
    <cellStyle name="fred" xfId="448"/>
    <cellStyle name="Fred%" xfId="449"/>
    <cellStyle name="fred_EGSI_TX_LA_SPLIT_BS_12_05_rev" xfId="450"/>
    <cellStyle name="Good 2" xfId="451"/>
    <cellStyle name="Grey" xfId="452"/>
    <cellStyle name="Header" xfId="453"/>
    <cellStyle name="Header1" xfId="454"/>
    <cellStyle name="Header2" xfId="455"/>
    <cellStyle name="Heading" xfId="456"/>
    <cellStyle name="Heading 1 2" xfId="457"/>
    <cellStyle name="Heading 2 2" xfId="458"/>
    <cellStyle name="Heading 3 2" xfId="459"/>
    <cellStyle name="Heading 4 2" xfId="460"/>
    <cellStyle name="Hyperlink 2" xfId="461"/>
    <cellStyle name="Hyperlink 3" xfId="462"/>
    <cellStyle name="Hyperlink 4" xfId="463"/>
    <cellStyle name="Hyperlink 5" xfId="464"/>
    <cellStyle name="Hyperlink 6" xfId="465"/>
    <cellStyle name="Input [yellow]" xfId="466"/>
    <cellStyle name="Input 10" xfId="11309"/>
    <cellStyle name="Input 11" xfId="11298"/>
    <cellStyle name="Input 12" xfId="11311"/>
    <cellStyle name="Input 2" xfId="467"/>
    <cellStyle name="Input 2 10" xfId="1722"/>
    <cellStyle name="Input 2 10 2" xfId="1723"/>
    <cellStyle name="Input 2 11" xfId="1724"/>
    <cellStyle name="Input 2 11 2" xfId="1725"/>
    <cellStyle name="Input 2 12" xfId="1726"/>
    <cellStyle name="Input 2 12 2" xfId="1727"/>
    <cellStyle name="Input 2 13" xfId="1728"/>
    <cellStyle name="Input 2 13 2" xfId="1729"/>
    <cellStyle name="Input 2 14" xfId="1730"/>
    <cellStyle name="Input 2 14 2" xfId="1731"/>
    <cellStyle name="Input 2 15" xfId="1732"/>
    <cellStyle name="Input 2 15 2" xfId="1733"/>
    <cellStyle name="Input 2 16" xfId="1734"/>
    <cellStyle name="Input 2 2" xfId="1735"/>
    <cellStyle name="Input 2 2 10" xfId="1736"/>
    <cellStyle name="Input 2 2 10 2" xfId="1737"/>
    <cellStyle name="Input 2 2 11" xfId="1738"/>
    <cellStyle name="Input 2 2 2" xfId="1739"/>
    <cellStyle name="Input 2 2 2 2" xfId="1740"/>
    <cellStyle name="Input 2 2 2 2 2" xfId="1741"/>
    <cellStyle name="Input 2 2 2 3" xfId="1742"/>
    <cellStyle name="Input 2 2 3" xfId="1743"/>
    <cellStyle name="Input 2 2 3 2" xfId="1744"/>
    <cellStyle name="Input 2 2 4" xfId="1745"/>
    <cellStyle name="Input 2 2 4 2" xfId="1746"/>
    <cellStyle name="Input 2 2 5" xfId="1747"/>
    <cellStyle name="Input 2 2 5 2" xfId="1748"/>
    <cellStyle name="Input 2 2 6" xfId="1749"/>
    <cellStyle name="Input 2 2 6 2" xfId="1750"/>
    <cellStyle name="Input 2 2 7" xfId="1751"/>
    <cellStyle name="Input 2 2 7 2" xfId="1752"/>
    <cellStyle name="Input 2 2 8" xfId="1753"/>
    <cellStyle name="Input 2 2 8 2" xfId="1754"/>
    <cellStyle name="Input 2 2 9" xfId="1755"/>
    <cellStyle name="Input 2 2 9 2" xfId="1756"/>
    <cellStyle name="Input 2 3" xfId="1757"/>
    <cellStyle name="Input 2 3 10" xfId="1758"/>
    <cellStyle name="Input 2 3 10 2" xfId="1759"/>
    <cellStyle name="Input 2 3 11" xfId="1760"/>
    <cellStyle name="Input 2 3 2" xfId="1761"/>
    <cellStyle name="Input 2 3 2 2" xfId="1762"/>
    <cellStyle name="Input 2 3 2 2 2" xfId="1763"/>
    <cellStyle name="Input 2 3 2 3" xfId="1764"/>
    <cellStyle name="Input 2 3 3" xfId="1765"/>
    <cellStyle name="Input 2 3 3 2" xfId="1766"/>
    <cellStyle name="Input 2 3 4" xfId="1767"/>
    <cellStyle name="Input 2 3 4 2" xfId="1768"/>
    <cellStyle name="Input 2 3 5" xfId="1769"/>
    <cellStyle name="Input 2 3 5 2" xfId="1770"/>
    <cellStyle name="Input 2 3 6" xfId="1771"/>
    <cellStyle name="Input 2 3 6 2" xfId="1772"/>
    <cellStyle name="Input 2 3 7" xfId="1773"/>
    <cellStyle name="Input 2 3 7 2" xfId="1774"/>
    <cellStyle name="Input 2 3 8" xfId="1775"/>
    <cellStyle name="Input 2 3 8 2" xfId="1776"/>
    <cellStyle name="Input 2 3 9" xfId="1777"/>
    <cellStyle name="Input 2 3 9 2" xfId="1778"/>
    <cellStyle name="Input 2 4" xfId="1779"/>
    <cellStyle name="Input 2 4 10" xfId="1780"/>
    <cellStyle name="Input 2 4 10 2" xfId="1781"/>
    <cellStyle name="Input 2 4 11" xfId="1782"/>
    <cellStyle name="Input 2 4 2" xfId="1783"/>
    <cellStyle name="Input 2 4 2 2" xfId="1784"/>
    <cellStyle name="Input 2 4 2 2 2" xfId="1785"/>
    <cellStyle name="Input 2 4 2 3" xfId="1786"/>
    <cellStyle name="Input 2 4 3" xfId="1787"/>
    <cellStyle name="Input 2 4 3 2" xfId="1788"/>
    <cellStyle name="Input 2 4 4" xfId="1789"/>
    <cellStyle name="Input 2 4 4 2" xfId="1790"/>
    <cellStyle name="Input 2 4 5" xfId="1791"/>
    <cellStyle name="Input 2 4 5 2" xfId="1792"/>
    <cellStyle name="Input 2 4 6" xfId="1793"/>
    <cellStyle name="Input 2 4 6 2" xfId="1794"/>
    <cellStyle name="Input 2 4 7" xfId="1795"/>
    <cellStyle name="Input 2 4 7 2" xfId="1796"/>
    <cellStyle name="Input 2 4 8" xfId="1797"/>
    <cellStyle name="Input 2 4 8 2" xfId="1798"/>
    <cellStyle name="Input 2 4 9" xfId="1799"/>
    <cellStyle name="Input 2 4 9 2" xfId="1800"/>
    <cellStyle name="Input 2 5" xfId="1801"/>
    <cellStyle name="Input 2 5 10" xfId="1802"/>
    <cellStyle name="Input 2 5 10 2" xfId="1803"/>
    <cellStyle name="Input 2 5 11" xfId="1804"/>
    <cellStyle name="Input 2 5 2" xfId="1805"/>
    <cellStyle name="Input 2 5 2 2" xfId="1806"/>
    <cellStyle name="Input 2 5 2 2 2" xfId="1807"/>
    <cellStyle name="Input 2 5 2 3" xfId="1808"/>
    <cellStyle name="Input 2 5 3" xfId="1809"/>
    <cellStyle name="Input 2 5 3 2" xfId="1810"/>
    <cellStyle name="Input 2 5 4" xfId="1811"/>
    <cellStyle name="Input 2 5 4 2" xfId="1812"/>
    <cellStyle name="Input 2 5 5" xfId="1813"/>
    <cellStyle name="Input 2 5 5 2" xfId="1814"/>
    <cellStyle name="Input 2 5 6" xfId="1815"/>
    <cellStyle name="Input 2 5 6 2" xfId="1816"/>
    <cellStyle name="Input 2 5 7" xfId="1817"/>
    <cellStyle name="Input 2 5 7 2" xfId="1818"/>
    <cellStyle name="Input 2 5 8" xfId="1819"/>
    <cellStyle name="Input 2 5 8 2" xfId="1820"/>
    <cellStyle name="Input 2 5 9" xfId="1821"/>
    <cellStyle name="Input 2 5 9 2" xfId="1822"/>
    <cellStyle name="Input 2 6" xfId="1823"/>
    <cellStyle name="Input 2 6 10" xfId="1824"/>
    <cellStyle name="Input 2 6 10 2" xfId="1825"/>
    <cellStyle name="Input 2 6 11" xfId="1826"/>
    <cellStyle name="Input 2 6 2" xfId="1827"/>
    <cellStyle name="Input 2 6 2 2" xfId="1828"/>
    <cellStyle name="Input 2 6 2 2 2" xfId="1829"/>
    <cellStyle name="Input 2 6 2 3" xfId="1830"/>
    <cellStyle name="Input 2 6 3" xfId="1831"/>
    <cellStyle name="Input 2 6 3 2" xfId="1832"/>
    <cellStyle name="Input 2 6 4" xfId="1833"/>
    <cellStyle name="Input 2 6 4 2" xfId="1834"/>
    <cellStyle name="Input 2 6 5" xfId="1835"/>
    <cellStyle name="Input 2 6 5 2" xfId="1836"/>
    <cellStyle name="Input 2 6 6" xfId="1837"/>
    <cellStyle name="Input 2 6 6 2" xfId="1838"/>
    <cellStyle name="Input 2 6 7" xfId="1839"/>
    <cellStyle name="Input 2 6 7 2" xfId="1840"/>
    <cellStyle name="Input 2 6 8" xfId="1841"/>
    <cellStyle name="Input 2 6 8 2" xfId="1842"/>
    <cellStyle name="Input 2 6 9" xfId="1843"/>
    <cellStyle name="Input 2 6 9 2" xfId="1844"/>
    <cellStyle name="Input 2 7" xfId="1845"/>
    <cellStyle name="Input 2 7 2" xfId="1846"/>
    <cellStyle name="Input 2 7 2 2" xfId="1847"/>
    <cellStyle name="Input 2 7 3" xfId="1848"/>
    <cellStyle name="Input 2 8" xfId="1849"/>
    <cellStyle name="Input 2 8 2" xfId="1850"/>
    <cellStyle name="Input 2 9" xfId="1851"/>
    <cellStyle name="Input 2 9 2" xfId="1852"/>
    <cellStyle name="Input 3" xfId="11303"/>
    <cellStyle name="Input 4" xfId="11306"/>
    <cellStyle name="Input 5" xfId="11295"/>
    <cellStyle name="Input 6" xfId="11307"/>
    <cellStyle name="Input 7" xfId="11296"/>
    <cellStyle name="Input 8" xfId="11308"/>
    <cellStyle name="Input 9" xfId="11297"/>
    <cellStyle name="kwh_centered" xfId="468"/>
    <cellStyle name="Linked Cell 2" xfId="469"/>
    <cellStyle name="MCP" xfId="1853"/>
    <cellStyle name="Neutral 2" xfId="470"/>
    <cellStyle name="no dec" xfId="471"/>
    <cellStyle name="nONE" xfId="1854"/>
    <cellStyle name="noninput" xfId="1855"/>
    <cellStyle name="Normal" xfId="0" builtinId="0"/>
    <cellStyle name="Normal - Style1" xfId="472"/>
    <cellStyle name="Normal 10" xfId="473"/>
    <cellStyle name="Normal 10 10" xfId="1856"/>
    <cellStyle name="Normal 10 10 2" xfId="12457"/>
    <cellStyle name="Normal 10 10 2 2" xfId="20482"/>
    <cellStyle name="Normal 10 10 2 2 2" xfId="34507"/>
    <cellStyle name="Normal 10 10 2 3" xfId="26496"/>
    <cellStyle name="Normal 10 10 3" xfId="14472"/>
    <cellStyle name="Normal 10 10 3 2" xfId="22487"/>
    <cellStyle name="Normal 10 10 3 2 2" xfId="36512"/>
    <cellStyle name="Normal 10 10 3 3" xfId="28501"/>
    <cellStyle name="Normal 10 10 4" xfId="16478"/>
    <cellStyle name="Normal 10 10 4 2" xfId="30503"/>
    <cellStyle name="Normal 10 10 5" xfId="18480"/>
    <cellStyle name="Normal 10 10 5 2" xfId="32505"/>
    <cellStyle name="Normal 10 10 6" xfId="24494"/>
    <cellStyle name="Normal 10 11" xfId="11625"/>
    <cellStyle name="Normal 10 2" xfId="474"/>
    <cellStyle name="Normal 10 2 2" xfId="475"/>
    <cellStyle name="Normal 10 3" xfId="476"/>
    <cellStyle name="Normal 10 4" xfId="1857"/>
    <cellStyle name="Normal 10 4 10" xfId="16479"/>
    <cellStyle name="Normal 10 4 10 2" xfId="30504"/>
    <cellStyle name="Normal 10 4 11" xfId="18481"/>
    <cellStyle name="Normal 10 4 11 2" xfId="32506"/>
    <cellStyle name="Normal 10 4 12" xfId="24495"/>
    <cellStyle name="Normal 10 4 2" xfId="1858"/>
    <cellStyle name="Normal 10 4 2 10" xfId="18482"/>
    <cellStyle name="Normal 10 4 2 10 2" xfId="32507"/>
    <cellStyle name="Normal 10 4 2 11" xfId="24496"/>
    <cellStyle name="Normal 10 4 2 2" xfId="1859"/>
    <cellStyle name="Normal 10 4 2 2 10" xfId="24497"/>
    <cellStyle name="Normal 10 4 2 2 2" xfId="1860"/>
    <cellStyle name="Normal 10 4 2 2 2 2" xfId="1861"/>
    <cellStyle name="Normal 10 4 2 2 2 2 2" xfId="1862"/>
    <cellStyle name="Normal 10 4 2 2 2 2 2 2" xfId="12463"/>
    <cellStyle name="Normal 10 4 2 2 2 2 2 2 2" xfId="20488"/>
    <cellStyle name="Normal 10 4 2 2 2 2 2 2 2 2" xfId="34513"/>
    <cellStyle name="Normal 10 4 2 2 2 2 2 2 3" xfId="26502"/>
    <cellStyle name="Normal 10 4 2 2 2 2 2 3" xfId="14478"/>
    <cellStyle name="Normal 10 4 2 2 2 2 2 3 2" xfId="22493"/>
    <cellStyle name="Normal 10 4 2 2 2 2 2 3 2 2" xfId="36518"/>
    <cellStyle name="Normal 10 4 2 2 2 2 2 3 3" xfId="28507"/>
    <cellStyle name="Normal 10 4 2 2 2 2 2 4" xfId="16484"/>
    <cellStyle name="Normal 10 4 2 2 2 2 2 4 2" xfId="30509"/>
    <cellStyle name="Normal 10 4 2 2 2 2 2 5" xfId="18486"/>
    <cellStyle name="Normal 10 4 2 2 2 2 2 5 2" xfId="32511"/>
    <cellStyle name="Normal 10 4 2 2 2 2 2 6" xfId="24500"/>
    <cellStyle name="Normal 10 4 2 2 2 2 3" xfId="12462"/>
    <cellStyle name="Normal 10 4 2 2 2 2 3 2" xfId="20487"/>
    <cellStyle name="Normal 10 4 2 2 2 2 3 2 2" xfId="34512"/>
    <cellStyle name="Normal 10 4 2 2 2 2 3 3" xfId="26501"/>
    <cellStyle name="Normal 10 4 2 2 2 2 4" xfId="14477"/>
    <cellStyle name="Normal 10 4 2 2 2 2 4 2" xfId="22492"/>
    <cellStyle name="Normal 10 4 2 2 2 2 4 2 2" xfId="36517"/>
    <cellStyle name="Normal 10 4 2 2 2 2 4 3" xfId="28506"/>
    <cellStyle name="Normal 10 4 2 2 2 2 5" xfId="16483"/>
    <cellStyle name="Normal 10 4 2 2 2 2 5 2" xfId="30508"/>
    <cellStyle name="Normal 10 4 2 2 2 2 6" xfId="18485"/>
    <cellStyle name="Normal 10 4 2 2 2 2 6 2" xfId="32510"/>
    <cellStyle name="Normal 10 4 2 2 2 2 7" xfId="24499"/>
    <cellStyle name="Normal 10 4 2 2 2 3" xfId="1863"/>
    <cellStyle name="Normal 10 4 2 2 2 3 2" xfId="12464"/>
    <cellStyle name="Normal 10 4 2 2 2 3 2 2" xfId="20489"/>
    <cellStyle name="Normal 10 4 2 2 2 3 2 2 2" xfId="34514"/>
    <cellStyle name="Normal 10 4 2 2 2 3 2 3" xfId="26503"/>
    <cellStyle name="Normal 10 4 2 2 2 3 3" xfId="14479"/>
    <cellStyle name="Normal 10 4 2 2 2 3 3 2" xfId="22494"/>
    <cellStyle name="Normal 10 4 2 2 2 3 3 2 2" xfId="36519"/>
    <cellStyle name="Normal 10 4 2 2 2 3 3 3" xfId="28508"/>
    <cellStyle name="Normal 10 4 2 2 2 3 4" xfId="16485"/>
    <cellStyle name="Normal 10 4 2 2 2 3 4 2" xfId="30510"/>
    <cellStyle name="Normal 10 4 2 2 2 3 5" xfId="18487"/>
    <cellStyle name="Normal 10 4 2 2 2 3 5 2" xfId="32512"/>
    <cellStyle name="Normal 10 4 2 2 2 3 6" xfId="24501"/>
    <cellStyle name="Normal 10 4 2 2 2 4" xfId="12461"/>
    <cellStyle name="Normal 10 4 2 2 2 4 2" xfId="20486"/>
    <cellStyle name="Normal 10 4 2 2 2 4 2 2" xfId="34511"/>
    <cellStyle name="Normal 10 4 2 2 2 4 3" xfId="26500"/>
    <cellStyle name="Normal 10 4 2 2 2 5" xfId="14476"/>
    <cellStyle name="Normal 10 4 2 2 2 5 2" xfId="22491"/>
    <cellStyle name="Normal 10 4 2 2 2 5 2 2" xfId="36516"/>
    <cellStyle name="Normal 10 4 2 2 2 5 3" xfId="28505"/>
    <cellStyle name="Normal 10 4 2 2 2 6" xfId="16482"/>
    <cellStyle name="Normal 10 4 2 2 2 6 2" xfId="30507"/>
    <cellStyle name="Normal 10 4 2 2 2 7" xfId="18484"/>
    <cellStyle name="Normal 10 4 2 2 2 7 2" xfId="32509"/>
    <cellStyle name="Normal 10 4 2 2 2 8" xfId="24498"/>
    <cellStyle name="Normal 10 4 2 2 3" xfId="1864"/>
    <cellStyle name="Normal 10 4 2 2 3 2" xfId="1865"/>
    <cellStyle name="Normal 10 4 2 2 3 2 2" xfId="12466"/>
    <cellStyle name="Normal 10 4 2 2 3 2 2 2" xfId="20491"/>
    <cellStyle name="Normal 10 4 2 2 3 2 2 2 2" xfId="34516"/>
    <cellStyle name="Normal 10 4 2 2 3 2 2 3" xfId="26505"/>
    <cellStyle name="Normal 10 4 2 2 3 2 3" xfId="14481"/>
    <cellStyle name="Normal 10 4 2 2 3 2 3 2" xfId="22496"/>
    <cellStyle name="Normal 10 4 2 2 3 2 3 2 2" xfId="36521"/>
    <cellStyle name="Normal 10 4 2 2 3 2 3 3" xfId="28510"/>
    <cellStyle name="Normal 10 4 2 2 3 2 4" xfId="16487"/>
    <cellStyle name="Normal 10 4 2 2 3 2 4 2" xfId="30512"/>
    <cellStyle name="Normal 10 4 2 2 3 2 5" xfId="18489"/>
    <cellStyle name="Normal 10 4 2 2 3 2 5 2" xfId="32514"/>
    <cellStyle name="Normal 10 4 2 2 3 2 6" xfId="24503"/>
    <cellStyle name="Normal 10 4 2 2 3 3" xfId="12465"/>
    <cellStyle name="Normal 10 4 2 2 3 3 2" xfId="20490"/>
    <cellStyle name="Normal 10 4 2 2 3 3 2 2" xfId="34515"/>
    <cellStyle name="Normal 10 4 2 2 3 3 3" xfId="26504"/>
    <cellStyle name="Normal 10 4 2 2 3 4" xfId="14480"/>
    <cellStyle name="Normal 10 4 2 2 3 4 2" xfId="22495"/>
    <cellStyle name="Normal 10 4 2 2 3 4 2 2" xfId="36520"/>
    <cellStyle name="Normal 10 4 2 2 3 4 3" xfId="28509"/>
    <cellStyle name="Normal 10 4 2 2 3 5" xfId="16486"/>
    <cellStyle name="Normal 10 4 2 2 3 5 2" xfId="30511"/>
    <cellStyle name="Normal 10 4 2 2 3 6" xfId="18488"/>
    <cellStyle name="Normal 10 4 2 2 3 6 2" xfId="32513"/>
    <cellStyle name="Normal 10 4 2 2 3 7" xfId="24502"/>
    <cellStyle name="Normal 10 4 2 2 4" xfId="1866"/>
    <cellStyle name="Normal 10 4 2 2 4 2" xfId="1867"/>
    <cellStyle name="Normal 10 4 2 2 4 2 2" xfId="12468"/>
    <cellStyle name="Normal 10 4 2 2 4 2 2 2" xfId="20493"/>
    <cellStyle name="Normal 10 4 2 2 4 2 2 2 2" xfId="34518"/>
    <cellStyle name="Normal 10 4 2 2 4 2 2 3" xfId="26507"/>
    <cellStyle name="Normal 10 4 2 2 4 2 3" xfId="14483"/>
    <cellStyle name="Normal 10 4 2 2 4 2 3 2" xfId="22498"/>
    <cellStyle name="Normal 10 4 2 2 4 2 3 2 2" xfId="36523"/>
    <cellStyle name="Normal 10 4 2 2 4 2 3 3" xfId="28512"/>
    <cellStyle name="Normal 10 4 2 2 4 2 4" xfId="16489"/>
    <cellStyle name="Normal 10 4 2 2 4 2 4 2" xfId="30514"/>
    <cellStyle name="Normal 10 4 2 2 4 2 5" xfId="18491"/>
    <cellStyle name="Normal 10 4 2 2 4 2 5 2" xfId="32516"/>
    <cellStyle name="Normal 10 4 2 2 4 2 6" xfId="24505"/>
    <cellStyle name="Normal 10 4 2 2 4 3" xfId="12467"/>
    <cellStyle name="Normal 10 4 2 2 4 3 2" xfId="20492"/>
    <cellStyle name="Normal 10 4 2 2 4 3 2 2" xfId="34517"/>
    <cellStyle name="Normal 10 4 2 2 4 3 3" xfId="26506"/>
    <cellStyle name="Normal 10 4 2 2 4 4" xfId="14482"/>
    <cellStyle name="Normal 10 4 2 2 4 4 2" xfId="22497"/>
    <cellStyle name="Normal 10 4 2 2 4 4 2 2" xfId="36522"/>
    <cellStyle name="Normal 10 4 2 2 4 4 3" xfId="28511"/>
    <cellStyle name="Normal 10 4 2 2 4 5" xfId="16488"/>
    <cellStyle name="Normal 10 4 2 2 4 5 2" xfId="30513"/>
    <cellStyle name="Normal 10 4 2 2 4 6" xfId="18490"/>
    <cellStyle name="Normal 10 4 2 2 4 6 2" xfId="32515"/>
    <cellStyle name="Normal 10 4 2 2 4 7" xfId="24504"/>
    <cellStyle name="Normal 10 4 2 2 5" xfId="1868"/>
    <cellStyle name="Normal 10 4 2 2 5 2" xfId="12469"/>
    <cellStyle name="Normal 10 4 2 2 5 2 2" xfId="20494"/>
    <cellStyle name="Normal 10 4 2 2 5 2 2 2" xfId="34519"/>
    <cellStyle name="Normal 10 4 2 2 5 2 3" xfId="26508"/>
    <cellStyle name="Normal 10 4 2 2 5 3" xfId="14484"/>
    <cellStyle name="Normal 10 4 2 2 5 3 2" xfId="22499"/>
    <cellStyle name="Normal 10 4 2 2 5 3 2 2" xfId="36524"/>
    <cellStyle name="Normal 10 4 2 2 5 3 3" xfId="28513"/>
    <cellStyle name="Normal 10 4 2 2 5 4" xfId="16490"/>
    <cellStyle name="Normal 10 4 2 2 5 4 2" xfId="30515"/>
    <cellStyle name="Normal 10 4 2 2 5 5" xfId="18492"/>
    <cellStyle name="Normal 10 4 2 2 5 5 2" xfId="32517"/>
    <cellStyle name="Normal 10 4 2 2 5 6" xfId="24506"/>
    <cellStyle name="Normal 10 4 2 2 6" xfId="12460"/>
    <cellStyle name="Normal 10 4 2 2 6 2" xfId="20485"/>
    <cellStyle name="Normal 10 4 2 2 6 2 2" xfId="34510"/>
    <cellStyle name="Normal 10 4 2 2 6 3" xfId="26499"/>
    <cellStyle name="Normal 10 4 2 2 7" xfId="14475"/>
    <cellStyle name="Normal 10 4 2 2 7 2" xfId="22490"/>
    <cellStyle name="Normal 10 4 2 2 7 2 2" xfId="36515"/>
    <cellStyle name="Normal 10 4 2 2 7 3" xfId="28504"/>
    <cellStyle name="Normal 10 4 2 2 8" xfId="16481"/>
    <cellStyle name="Normal 10 4 2 2 8 2" xfId="30506"/>
    <cellStyle name="Normal 10 4 2 2 9" xfId="18483"/>
    <cellStyle name="Normal 10 4 2 2 9 2" xfId="32508"/>
    <cellStyle name="Normal 10 4 2 3" xfId="1869"/>
    <cellStyle name="Normal 10 4 2 3 2" xfId="1870"/>
    <cellStyle name="Normal 10 4 2 3 2 2" xfId="1871"/>
    <cellStyle name="Normal 10 4 2 3 2 2 2" xfId="12472"/>
    <cellStyle name="Normal 10 4 2 3 2 2 2 2" xfId="20497"/>
    <cellStyle name="Normal 10 4 2 3 2 2 2 2 2" xfId="34522"/>
    <cellStyle name="Normal 10 4 2 3 2 2 2 3" xfId="26511"/>
    <cellStyle name="Normal 10 4 2 3 2 2 3" xfId="14487"/>
    <cellStyle name="Normal 10 4 2 3 2 2 3 2" xfId="22502"/>
    <cellStyle name="Normal 10 4 2 3 2 2 3 2 2" xfId="36527"/>
    <cellStyle name="Normal 10 4 2 3 2 2 3 3" xfId="28516"/>
    <cellStyle name="Normal 10 4 2 3 2 2 4" xfId="16493"/>
    <cellStyle name="Normal 10 4 2 3 2 2 4 2" xfId="30518"/>
    <cellStyle name="Normal 10 4 2 3 2 2 5" xfId="18495"/>
    <cellStyle name="Normal 10 4 2 3 2 2 5 2" xfId="32520"/>
    <cellStyle name="Normal 10 4 2 3 2 2 6" xfId="24509"/>
    <cellStyle name="Normal 10 4 2 3 2 3" xfId="12471"/>
    <cellStyle name="Normal 10 4 2 3 2 3 2" xfId="20496"/>
    <cellStyle name="Normal 10 4 2 3 2 3 2 2" xfId="34521"/>
    <cellStyle name="Normal 10 4 2 3 2 3 3" xfId="26510"/>
    <cellStyle name="Normal 10 4 2 3 2 4" xfId="14486"/>
    <cellStyle name="Normal 10 4 2 3 2 4 2" xfId="22501"/>
    <cellStyle name="Normal 10 4 2 3 2 4 2 2" xfId="36526"/>
    <cellStyle name="Normal 10 4 2 3 2 4 3" xfId="28515"/>
    <cellStyle name="Normal 10 4 2 3 2 5" xfId="16492"/>
    <cellStyle name="Normal 10 4 2 3 2 5 2" xfId="30517"/>
    <cellStyle name="Normal 10 4 2 3 2 6" xfId="18494"/>
    <cellStyle name="Normal 10 4 2 3 2 6 2" xfId="32519"/>
    <cellStyle name="Normal 10 4 2 3 2 7" xfId="24508"/>
    <cellStyle name="Normal 10 4 2 3 3" xfId="1872"/>
    <cellStyle name="Normal 10 4 2 3 3 2" xfId="12473"/>
    <cellStyle name="Normal 10 4 2 3 3 2 2" xfId="20498"/>
    <cellStyle name="Normal 10 4 2 3 3 2 2 2" xfId="34523"/>
    <cellStyle name="Normal 10 4 2 3 3 2 3" xfId="26512"/>
    <cellStyle name="Normal 10 4 2 3 3 3" xfId="14488"/>
    <cellStyle name="Normal 10 4 2 3 3 3 2" xfId="22503"/>
    <cellStyle name="Normal 10 4 2 3 3 3 2 2" xfId="36528"/>
    <cellStyle name="Normal 10 4 2 3 3 3 3" xfId="28517"/>
    <cellStyle name="Normal 10 4 2 3 3 4" xfId="16494"/>
    <cellStyle name="Normal 10 4 2 3 3 4 2" xfId="30519"/>
    <cellStyle name="Normal 10 4 2 3 3 5" xfId="18496"/>
    <cellStyle name="Normal 10 4 2 3 3 5 2" xfId="32521"/>
    <cellStyle name="Normal 10 4 2 3 3 6" xfId="24510"/>
    <cellStyle name="Normal 10 4 2 3 4" xfId="12470"/>
    <cellStyle name="Normal 10 4 2 3 4 2" xfId="20495"/>
    <cellStyle name="Normal 10 4 2 3 4 2 2" xfId="34520"/>
    <cellStyle name="Normal 10 4 2 3 4 3" xfId="26509"/>
    <cellStyle name="Normal 10 4 2 3 5" xfId="14485"/>
    <cellStyle name="Normal 10 4 2 3 5 2" xfId="22500"/>
    <cellStyle name="Normal 10 4 2 3 5 2 2" xfId="36525"/>
    <cellStyle name="Normal 10 4 2 3 5 3" xfId="28514"/>
    <cellStyle name="Normal 10 4 2 3 6" xfId="16491"/>
    <cellStyle name="Normal 10 4 2 3 6 2" xfId="30516"/>
    <cellStyle name="Normal 10 4 2 3 7" xfId="18493"/>
    <cellStyle name="Normal 10 4 2 3 7 2" xfId="32518"/>
    <cellStyle name="Normal 10 4 2 3 8" xfId="24507"/>
    <cellStyle name="Normal 10 4 2 4" xfId="1873"/>
    <cellStyle name="Normal 10 4 2 4 2" xfId="1874"/>
    <cellStyle name="Normal 10 4 2 4 2 2" xfId="12475"/>
    <cellStyle name="Normal 10 4 2 4 2 2 2" xfId="20500"/>
    <cellStyle name="Normal 10 4 2 4 2 2 2 2" xfId="34525"/>
    <cellStyle name="Normal 10 4 2 4 2 2 3" xfId="26514"/>
    <cellStyle name="Normal 10 4 2 4 2 3" xfId="14490"/>
    <cellStyle name="Normal 10 4 2 4 2 3 2" xfId="22505"/>
    <cellStyle name="Normal 10 4 2 4 2 3 2 2" xfId="36530"/>
    <cellStyle name="Normal 10 4 2 4 2 3 3" xfId="28519"/>
    <cellStyle name="Normal 10 4 2 4 2 4" xfId="16496"/>
    <cellStyle name="Normal 10 4 2 4 2 4 2" xfId="30521"/>
    <cellStyle name="Normal 10 4 2 4 2 5" xfId="18498"/>
    <cellStyle name="Normal 10 4 2 4 2 5 2" xfId="32523"/>
    <cellStyle name="Normal 10 4 2 4 2 6" xfId="24512"/>
    <cellStyle name="Normal 10 4 2 4 3" xfId="12474"/>
    <cellStyle name="Normal 10 4 2 4 3 2" xfId="20499"/>
    <cellStyle name="Normal 10 4 2 4 3 2 2" xfId="34524"/>
    <cellStyle name="Normal 10 4 2 4 3 3" xfId="26513"/>
    <cellStyle name="Normal 10 4 2 4 4" xfId="14489"/>
    <cellStyle name="Normal 10 4 2 4 4 2" xfId="22504"/>
    <cellStyle name="Normal 10 4 2 4 4 2 2" xfId="36529"/>
    <cellStyle name="Normal 10 4 2 4 4 3" xfId="28518"/>
    <cellStyle name="Normal 10 4 2 4 5" xfId="16495"/>
    <cellStyle name="Normal 10 4 2 4 5 2" xfId="30520"/>
    <cellStyle name="Normal 10 4 2 4 6" xfId="18497"/>
    <cellStyle name="Normal 10 4 2 4 6 2" xfId="32522"/>
    <cellStyle name="Normal 10 4 2 4 7" xfId="24511"/>
    <cellStyle name="Normal 10 4 2 5" xfId="1875"/>
    <cellStyle name="Normal 10 4 2 5 2" xfId="1876"/>
    <cellStyle name="Normal 10 4 2 5 2 2" xfId="12477"/>
    <cellStyle name="Normal 10 4 2 5 2 2 2" xfId="20502"/>
    <cellStyle name="Normal 10 4 2 5 2 2 2 2" xfId="34527"/>
    <cellStyle name="Normal 10 4 2 5 2 2 3" xfId="26516"/>
    <cellStyle name="Normal 10 4 2 5 2 3" xfId="14492"/>
    <cellStyle name="Normal 10 4 2 5 2 3 2" xfId="22507"/>
    <cellStyle name="Normal 10 4 2 5 2 3 2 2" xfId="36532"/>
    <cellStyle name="Normal 10 4 2 5 2 3 3" xfId="28521"/>
    <cellStyle name="Normal 10 4 2 5 2 4" xfId="16498"/>
    <cellStyle name="Normal 10 4 2 5 2 4 2" xfId="30523"/>
    <cellStyle name="Normal 10 4 2 5 2 5" xfId="18500"/>
    <cellStyle name="Normal 10 4 2 5 2 5 2" xfId="32525"/>
    <cellStyle name="Normal 10 4 2 5 2 6" xfId="24514"/>
    <cellStyle name="Normal 10 4 2 5 3" xfId="12476"/>
    <cellStyle name="Normal 10 4 2 5 3 2" xfId="20501"/>
    <cellStyle name="Normal 10 4 2 5 3 2 2" xfId="34526"/>
    <cellStyle name="Normal 10 4 2 5 3 3" xfId="26515"/>
    <cellStyle name="Normal 10 4 2 5 4" xfId="14491"/>
    <cellStyle name="Normal 10 4 2 5 4 2" xfId="22506"/>
    <cellStyle name="Normal 10 4 2 5 4 2 2" xfId="36531"/>
    <cellStyle name="Normal 10 4 2 5 4 3" xfId="28520"/>
    <cellStyle name="Normal 10 4 2 5 5" xfId="16497"/>
    <cellStyle name="Normal 10 4 2 5 5 2" xfId="30522"/>
    <cellStyle name="Normal 10 4 2 5 6" xfId="18499"/>
    <cellStyle name="Normal 10 4 2 5 6 2" xfId="32524"/>
    <cellStyle name="Normal 10 4 2 5 7" xfId="24513"/>
    <cellStyle name="Normal 10 4 2 6" xfId="1877"/>
    <cellStyle name="Normal 10 4 2 6 2" xfId="12478"/>
    <cellStyle name="Normal 10 4 2 6 2 2" xfId="20503"/>
    <cellStyle name="Normal 10 4 2 6 2 2 2" xfId="34528"/>
    <cellStyle name="Normal 10 4 2 6 2 3" xfId="26517"/>
    <cellStyle name="Normal 10 4 2 6 3" xfId="14493"/>
    <cellStyle name="Normal 10 4 2 6 3 2" xfId="22508"/>
    <cellStyle name="Normal 10 4 2 6 3 2 2" xfId="36533"/>
    <cellStyle name="Normal 10 4 2 6 3 3" xfId="28522"/>
    <cellStyle name="Normal 10 4 2 6 4" xfId="16499"/>
    <cellStyle name="Normal 10 4 2 6 4 2" xfId="30524"/>
    <cellStyle name="Normal 10 4 2 6 5" xfId="18501"/>
    <cellStyle name="Normal 10 4 2 6 5 2" xfId="32526"/>
    <cellStyle name="Normal 10 4 2 6 6" xfId="24515"/>
    <cellStyle name="Normal 10 4 2 7" xfId="12459"/>
    <cellStyle name="Normal 10 4 2 7 2" xfId="20484"/>
    <cellStyle name="Normal 10 4 2 7 2 2" xfId="34509"/>
    <cellStyle name="Normal 10 4 2 7 3" xfId="26498"/>
    <cellStyle name="Normal 10 4 2 8" xfId="14474"/>
    <cellStyle name="Normal 10 4 2 8 2" xfId="22489"/>
    <cellStyle name="Normal 10 4 2 8 2 2" xfId="36514"/>
    <cellStyle name="Normal 10 4 2 8 3" xfId="28503"/>
    <cellStyle name="Normal 10 4 2 9" xfId="16480"/>
    <cellStyle name="Normal 10 4 2 9 2" xfId="30505"/>
    <cellStyle name="Normal 10 4 3" xfId="1878"/>
    <cellStyle name="Normal 10 4 3 10" xfId="24516"/>
    <cellStyle name="Normal 10 4 3 2" xfId="1879"/>
    <cellStyle name="Normal 10 4 3 2 2" xfId="1880"/>
    <cellStyle name="Normal 10 4 3 2 2 2" xfId="1881"/>
    <cellStyle name="Normal 10 4 3 2 2 2 2" xfId="12482"/>
    <cellStyle name="Normal 10 4 3 2 2 2 2 2" xfId="20507"/>
    <cellStyle name="Normal 10 4 3 2 2 2 2 2 2" xfId="34532"/>
    <cellStyle name="Normal 10 4 3 2 2 2 2 3" xfId="26521"/>
    <cellStyle name="Normal 10 4 3 2 2 2 3" xfId="14497"/>
    <cellStyle name="Normal 10 4 3 2 2 2 3 2" xfId="22512"/>
    <cellStyle name="Normal 10 4 3 2 2 2 3 2 2" xfId="36537"/>
    <cellStyle name="Normal 10 4 3 2 2 2 3 3" xfId="28526"/>
    <cellStyle name="Normal 10 4 3 2 2 2 4" xfId="16503"/>
    <cellStyle name="Normal 10 4 3 2 2 2 4 2" xfId="30528"/>
    <cellStyle name="Normal 10 4 3 2 2 2 5" xfId="18505"/>
    <cellStyle name="Normal 10 4 3 2 2 2 5 2" xfId="32530"/>
    <cellStyle name="Normal 10 4 3 2 2 2 6" xfId="24519"/>
    <cellStyle name="Normal 10 4 3 2 2 3" xfId="12481"/>
    <cellStyle name="Normal 10 4 3 2 2 3 2" xfId="20506"/>
    <cellStyle name="Normal 10 4 3 2 2 3 2 2" xfId="34531"/>
    <cellStyle name="Normal 10 4 3 2 2 3 3" xfId="26520"/>
    <cellStyle name="Normal 10 4 3 2 2 4" xfId="14496"/>
    <cellStyle name="Normal 10 4 3 2 2 4 2" xfId="22511"/>
    <cellStyle name="Normal 10 4 3 2 2 4 2 2" xfId="36536"/>
    <cellStyle name="Normal 10 4 3 2 2 4 3" xfId="28525"/>
    <cellStyle name="Normal 10 4 3 2 2 5" xfId="16502"/>
    <cellStyle name="Normal 10 4 3 2 2 5 2" xfId="30527"/>
    <cellStyle name="Normal 10 4 3 2 2 6" xfId="18504"/>
    <cellStyle name="Normal 10 4 3 2 2 6 2" xfId="32529"/>
    <cellStyle name="Normal 10 4 3 2 2 7" xfId="24518"/>
    <cellStyle name="Normal 10 4 3 2 3" xfId="1882"/>
    <cellStyle name="Normal 10 4 3 2 3 2" xfId="12483"/>
    <cellStyle name="Normal 10 4 3 2 3 2 2" xfId="20508"/>
    <cellStyle name="Normal 10 4 3 2 3 2 2 2" xfId="34533"/>
    <cellStyle name="Normal 10 4 3 2 3 2 3" xfId="26522"/>
    <cellStyle name="Normal 10 4 3 2 3 3" xfId="14498"/>
    <cellStyle name="Normal 10 4 3 2 3 3 2" xfId="22513"/>
    <cellStyle name="Normal 10 4 3 2 3 3 2 2" xfId="36538"/>
    <cellStyle name="Normal 10 4 3 2 3 3 3" xfId="28527"/>
    <cellStyle name="Normal 10 4 3 2 3 4" xfId="16504"/>
    <cellStyle name="Normal 10 4 3 2 3 4 2" xfId="30529"/>
    <cellStyle name="Normal 10 4 3 2 3 5" xfId="18506"/>
    <cellStyle name="Normal 10 4 3 2 3 5 2" xfId="32531"/>
    <cellStyle name="Normal 10 4 3 2 3 6" xfId="24520"/>
    <cellStyle name="Normal 10 4 3 2 4" xfId="12480"/>
    <cellStyle name="Normal 10 4 3 2 4 2" xfId="20505"/>
    <cellStyle name="Normal 10 4 3 2 4 2 2" xfId="34530"/>
    <cellStyle name="Normal 10 4 3 2 4 3" xfId="26519"/>
    <cellStyle name="Normal 10 4 3 2 5" xfId="14495"/>
    <cellStyle name="Normal 10 4 3 2 5 2" xfId="22510"/>
    <cellStyle name="Normal 10 4 3 2 5 2 2" xfId="36535"/>
    <cellStyle name="Normal 10 4 3 2 5 3" xfId="28524"/>
    <cellStyle name="Normal 10 4 3 2 6" xfId="16501"/>
    <cellStyle name="Normal 10 4 3 2 6 2" xfId="30526"/>
    <cellStyle name="Normal 10 4 3 2 7" xfId="18503"/>
    <cellStyle name="Normal 10 4 3 2 7 2" xfId="32528"/>
    <cellStyle name="Normal 10 4 3 2 8" xfId="24517"/>
    <cellStyle name="Normal 10 4 3 3" xfId="1883"/>
    <cellStyle name="Normal 10 4 3 3 2" xfId="1884"/>
    <cellStyle name="Normal 10 4 3 3 2 2" xfId="12485"/>
    <cellStyle name="Normal 10 4 3 3 2 2 2" xfId="20510"/>
    <cellStyle name="Normal 10 4 3 3 2 2 2 2" xfId="34535"/>
    <cellStyle name="Normal 10 4 3 3 2 2 3" xfId="26524"/>
    <cellStyle name="Normal 10 4 3 3 2 3" xfId="14500"/>
    <cellStyle name="Normal 10 4 3 3 2 3 2" xfId="22515"/>
    <cellStyle name="Normal 10 4 3 3 2 3 2 2" xfId="36540"/>
    <cellStyle name="Normal 10 4 3 3 2 3 3" xfId="28529"/>
    <cellStyle name="Normal 10 4 3 3 2 4" xfId="16506"/>
    <cellStyle name="Normal 10 4 3 3 2 4 2" xfId="30531"/>
    <cellStyle name="Normal 10 4 3 3 2 5" xfId="18508"/>
    <cellStyle name="Normal 10 4 3 3 2 5 2" xfId="32533"/>
    <cellStyle name="Normal 10 4 3 3 2 6" xfId="24522"/>
    <cellStyle name="Normal 10 4 3 3 3" xfId="12484"/>
    <cellStyle name="Normal 10 4 3 3 3 2" xfId="20509"/>
    <cellStyle name="Normal 10 4 3 3 3 2 2" xfId="34534"/>
    <cellStyle name="Normal 10 4 3 3 3 3" xfId="26523"/>
    <cellStyle name="Normal 10 4 3 3 4" xfId="14499"/>
    <cellStyle name="Normal 10 4 3 3 4 2" xfId="22514"/>
    <cellStyle name="Normal 10 4 3 3 4 2 2" xfId="36539"/>
    <cellStyle name="Normal 10 4 3 3 4 3" xfId="28528"/>
    <cellStyle name="Normal 10 4 3 3 5" xfId="16505"/>
    <cellStyle name="Normal 10 4 3 3 5 2" xfId="30530"/>
    <cellStyle name="Normal 10 4 3 3 6" xfId="18507"/>
    <cellStyle name="Normal 10 4 3 3 6 2" xfId="32532"/>
    <cellStyle name="Normal 10 4 3 3 7" xfId="24521"/>
    <cellStyle name="Normal 10 4 3 4" xfId="1885"/>
    <cellStyle name="Normal 10 4 3 4 2" xfId="1886"/>
    <cellStyle name="Normal 10 4 3 4 2 2" xfId="12487"/>
    <cellStyle name="Normal 10 4 3 4 2 2 2" xfId="20512"/>
    <cellStyle name="Normal 10 4 3 4 2 2 2 2" xfId="34537"/>
    <cellStyle name="Normal 10 4 3 4 2 2 3" xfId="26526"/>
    <cellStyle name="Normal 10 4 3 4 2 3" xfId="14502"/>
    <cellStyle name="Normal 10 4 3 4 2 3 2" xfId="22517"/>
    <cellStyle name="Normal 10 4 3 4 2 3 2 2" xfId="36542"/>
    <cellStyle name="Normal 10 4 3 4 2 3 3" xfId="28531"/>
    <cellStyle name="Normal 10 4 3 4 2 4" xfId="16508"/>
    <cellStyle name="Normal 10 4 3 4 2 4 2" xfId="30533"/>
    <cellStyle name="Normal 10 4 3 4 2 5" xfId="18510"/>
    <cellStyle name="Normal 10 4 3 4 2 5 2" xfId="32535"/>
    <cellStyle name="Normal 10 4 3 4 2 6" xfId="24524"/>
    <cellStyle name="Normal 10 4 3 4 3" xfId="12486"/>
    <cellStyle name="Normal 10 4 3 4 3 2" xfId="20511"/>
    <cellStyle name="Normal 10 4 3 4 3 2 2" xfId="34536"/>
    <cellStyle name="Normal 10 4 3 4 3 3" xfId="26525"/>
    <cellStyle name="Normal 10 4 3 4 4" xfId="14501"/>
    <cellStyle name="Normal 10 4 3 4 4 2" xfId="22516"/>
    <cellStyle name="Normal 10 4 3 4 4 2 2" xfId="36541"/>
    <cellStyle name="Normal 10 4 3 4 4 3" xfId="28530"/>
    <cellStyle name="Normal 10 4 3 4 5" xfId="16507"/>
    <cellStyle name="Normal 10 4 3 4 5 2" xfId="30532"/>
    <cellStyle name="Normal 10 4 3 4 6" xfId="18509"/>
    <cellStyle name="Normal 10 4 3 4 6 2" xfId="32534"/>
    <cellStyle name="Normal 10 4 3 4 7" xfId="24523"/>
    <cellStyle name="Normal 10 4 3 5" xfId="1887"/>
    <cellStyle name="Normal 10 4 3 5 2" xfId="12488"/>
    <cellStyle name="Normal 10 4 3 5 2 2" xfId="20513"/>
    <cellStyle name="Normal 10 4 3 5 2 2 2" xfId="34538"/>
    <cellStyle name="Normal 10 4 3 5 2 3" xfId="26527"/>
    <cellStyle name="Normal 10 4 3 5 3" xfId="14503"/>
    <cellStyle name="Normal 10 4 3 5 3 2" xfId="22518"/>
    <cellStyle name="Normal 10 4 3 5 3 2 2" xfId="36543"/>
    <cellStyle name="Normal 10 4 3 5 3 3" xfId="28532"/>
    <cellStyle name="Normal 10 4 3 5 4" xfId="16509"/>
    <cellStyle name="Normal 10 4 3 5 4 2" xfId="30534"/>
    <cellStyle name="Normal 10 4 3 5 5" xfId="18511"/>
    <cellStyle name="Normal 10 4 3 5 5 2" xfId="32536"/>
    <cellStyle name="Normal 10 4 3 5 6" xfId="24525"/>
    <cellStyle name="Normal 10 4 3 6" xfId="12479"/>
    <cellStyle name="Normal 10 4 3 6 2" xfId="20504"/>
    <cellStyle name="Normal 10 4 3 6 2 2" xfId="34529"/>
    <cellStyle name="Normal 10 4 3 6 3" xfId="26518"/>
    <cellStyle name="Normal 10 4 3 7" xfId="14494"/>
    <cellStyle name="Normal 10 4 3 7 2" xfId="22509"/>
    <cellStyle name="Normal 10 4 3 7 2 2" xfId="36534"/>
    <cellStyle name="Normal 10 4 3 7 3" xfId="28523"/>
    <cellStyle name="Normal 10 4 3 8" xfId="16500"/>
    <cellStyle name="Normal 10 4 3 8 2" xfId="30525"/>
    <cellStyle name="Normal 10 4 3 9" xfId="18502"/>
    <cellStyle name="Normal 10 4 3 9 2" xfId="32527"/>
    <cellStyle name="Normal 10 4 4" xfId="1888"/>
    <cellStyle name="Normal 10 4 4 2" xfId="1889"/>
    <cellStyle name="Normal 10 4 4 2 2" xfId="1890"/>
    <cellStyle name="Normal 10 4 4 2 2 2" xfId="12491"/>
    <cellStyle name="Normal 10 4 4 2 2 2 2" xfId="20516"/>
    <cellStyle name="Normal 10 4 4 2 2 2 2 2" xfId="34541"/>
    <cellStyle name="Normal 10 4 4 2 2 2 3" xfId="26530"/>
    <cellStyle name="Normal 10 4 4 2 2 3" xfId="14506"/>
    <cellStyle name="Normal 10 4 4 2 2 3 2" xfId="22521"/>
    <cellStyle name="Normal 10 4 4 2 2 3 2 2" xfId="36546"/>
    <cellStyle name="Normal 10 4 4 2 2 3 3" xfId="28535"/>
    <cellStyle name="Normal 10 4 4 2 2 4" xfId="16512"/>
    <cellStyle name="Normal 10 4 4 2 2 4 2" xfId="30537"/>
    <cellStyle name="Normal 10 4 4 2 2 5" xfId="18514"/>
    <cellStyle name="Normal 10 4 4 2 2 5 2" xfId="32539"/>
    <cellStyle name="Normal 10 4 4 2 2 6" xfId="24528"/>
    <cellStyle name="Normal 10 4 4 2 3" xfId="12490"/>
    <cellStyle name="Normal 10 4 4 2 3 2" xfId="20515"/>
    <cellStyle name="Normal 10 4 4 2 3 2 2" xfId="34540"/>
    <cellStyle name="Normal 10 4 4 2 3 3" xfId="26529"/>
    <cellStyle name="Normal 10 4 4 2 4" xfId="14505"/>
    <cellStyle name="Normal 10 4 4 2 4 2" xfId="22520"/>
    <cellStyle name="Normal 10 4 4 2 4 2 2" xfId="36545"/>
    <cellStyle name="Normal 10 4 4 2 4 3" xfId="28534"/>
    <cellStyle name="Normal 10 4 4 2 5" xfId="16511"/>
    <cellStyle name="Normal 10 4 4 2 5 2" xfId="30536"/>
    <cellStyle name="Normal 10 4 4 2 6" xfId="18513"/>
    <cellStyle name="Normal 10 4 4 2 6 2" xfId="32538"/>
    <cellStyle name="Normal 10 4 4 2 7" xfId="24527"/>
    <cellStyle name="Normal 10 4 4 3" xfId="1891"/>
    <cellStyle name="Normal 10 4 4 3 2" xfId="12492"/>
    <cellStyle name="Normal 10 4 4 3 2 2" xfId="20517"/>
    <cellStyle name="Normal 10 4 4 3 2 2 2" xfId="34542"/>
    <cellStyle name="Normal 10 4 4 3 2 3" xfId="26531"/>
    <cellStyle name="Normal 10 4 4 3 3" xfId="14507"/>
    <cellStyle name="Normal 10 4 4 3 3 2" xfId="22522"/>
    <cellStyle name="Normal 10 4 4 3 3 2 2" xfId="36547"/>
    <cellStyle name="Normal 10 4 4 3 3 3" xfId="28536"/>
    <cellStyle name="Normal 10 4 4 3 4" xfId="16513"/>
    <cellStyle name="Normal 10 4 4 3 4 2" xfId="30538"/>
    <cellStyle name="Normal 10 4 4 3 5" xfId="18515"/>
    <cellStyle name="Normal 10 4 4 3 5 2" xfId="32540"/>
    <cellStyle name="Normal 10 4 4 3 6" xfId="24529"/>
    <cellStyle name="Normal 10 4 4 4" xfId="12489"/>
    <cellStyle name="Normal 10 4 4 4 2" xfId="20514"/>
    <cellStyle name="Normal 10 4 4 4 2 2" xfId="34539"/>
    <cellStyle name="Normal 10 4 4 4 3" xfId="26528"/>
    <cellStyle name="Normal 10 4 4 5" xfId="14504"/>
    <cellStyle name="Normal 10 4 4 5 2" xfId="22519"/>
    <cellStyle name="Normal 10 4 4 5 2 2" xfId="36544"/>
    <cellStyle name="Normal 10 4 4 5 3" xfId="28533"/>
    <cellStyle name="Normal 10 4 4 6" xfId="16510"/>
    <cellStyle name="Normal 10 4 4 6 2" xfId="30535"/>
    <cellStyle name="Normal 10 4 4 7" xfId="18512"/>
    <cellStyle name="Normal 10 4 4 7 2" xfId="32537"/>
    <cellStyle name="Normal 10 4 4 8" xfId="24526"/>
    <cellStyle name="Normal 10 4 5" xfId="1892"/>
    <cellStyle name="Normal 10 4 5 2" xfId="1893"/>
    <cellStyle name="Normal 10 4 5 2 2" xfId="12494"/>
    <cellStyle name="Normal 10 4 5 2 2 2" xfId="20519"/>
    <cellStyle name="Normal 10 4 5 2 2 2 2" xfId="34544"/>
    <cellStyle name="Normal 10 4 5 2 2 3" xfId="26533"/>
    <cellStyle name="Normal 10 4 5 2 3" xfId="14509"/>
    <cellStyle name="Normal 10 4 5 2 3 2" xfId="22524"/>
    <cellStyle name="Normal 10 4 5 2 3 2 2" xfId="36549"/>
    <cellStyle name="Normal 10 4 5 2 3 3" xfId="28538"/>
    <cellStyle name="Normal 10 4 5 2 4" xfId="16515"/>
    <cellStyle name="Normal 10 4 5 2 4 2" xfId="30540"/>
    <cellStyle name="Normal 10 4 5 2 5" xfId="18517"/>
    <cellStyle name="Normal 10 4 5 2 5 2" xfId="32542"/>
    <cellStyle name="Normal 10 4 5 2 6" xfId="24531"/>
    <cellStyle name="Normal 10 4 5 3" xfId="12493"/>
    <cellStyle name="Normal 10 4 5 3 2" xfId="20518"/>
    <cellStyle name="Normal 10 4 5 3 2 2" xfId="34543"/>
    <cellStyle name="Normal 10 4 5 3 3" xfId="26532"/>
    <cellStyle name="Normal 10 4 5 4" xfId="14508"/>
    <cellStyle name="Normal 10 4 5 4 2" xfId="22523"/>
    <cellStyle name="Normal 10 4 5 4 2 2" xfId="36548"/>
    <cellStyle name="Normal 10 4 5 4 3" xfId="28537"/>
    <cellStyle name="Normal 10 4 5 5" xfId="16514"/>
    <cellStyle name="Normal 10 4 5 5 2" xfId="30539"/>
    <cellStyle name="Normal 10 4 5 6" xfId="18516"/>
    <cellStyle name="Normal 10 4 5 6 2" xfId="32541"/>
    <cellStyle name="Normal 10 4 5 7" xfId="24530"/>
    <cellStyle name="Normal 10 4 6" xfId="1894"/>
    <cellStyle name="Normal 10 4 6 2" xfId="1895"/>
    <cellStyle name="Normal 10 4 6 2 2" xfId="12496"/>
    <cellStyle name="Normal 10 4 6 2 2 2" xfId="20521"/>
    <cellStyle name="Normal 10 4 6 2 2 2 2" xfId="34546"/>
    <cellStyle name="Normal 10 4 6 2 2 3" xfId="26535"/>
    <cellStyle name="Normal 10 4 6 2 3" xfId="14511"/>
    <cellStyle name="Normal 10 4 6 2 3 2" xfId="22526"/>
    <cellStyle name="Normal 10 4 6 2 3 2 2" xfId="36551"/>
    <cellStyle name="Normal 10 4 6 2 3 3" xfId="28540"/>
    <cellStyle name="Normal 10 4 6 2 4" xfId="16517"/>
    <cellStyle name="Normal 10 4 6 2 4 2" xfId="30542"/>
    <cellStyle name="Normal 10 4 6 2 5" xfId="18519"/>
    <cellStyle name="Normal 10 4 6 2 5 2" xfId="32544"/>
    <cellStyle name="Normal 10 4 6 2 6" xfId="24533"/>
    <cellStyle name="Normal 10 4 6 3" xfId="12495"/>
    <cellStyle name="Normal 10 4 6 3 2" xfId="20520"/>
    <cellStyle name="Normal 10 4 6 3 2 2" xfId="34545"/>
    <cellStyle name="Normal 10 4 6 3 3" xfId="26534"/>
    <cellStyle name="Normal 10 4 6 4" xfId="14510"/>
    <cellStyle name="Normal 10 4 6 4 2" xfId="22525"/>
    <cellStyle name="Normal 10 4 6 4 2 2" xfId="36550"/>
    <cellStyle name="Normal 10 4 6 4 3" xfId="28539"/>
    <cellStyle name="Normal 10 4 6 5" xfId="16516"/>
    <cellStyle name="Normal 10 4 6 5 2" xfId="30541"/>
    <cellStyle name="Normal 10 4 6 6" xfId="18518"/>
    <cellStyle name="Normal 10 4 6 6 2" xfId="32543"/>
    <cellStyle name="Normal 10 4 6 7" xfId="24532"/>
    <cellStyle name="Normal 10 4 7" xfId="1896"/>
    <cellStyle name="Normal 10 4 7 2" xfId="12497"/>
    <cellStyle name="Normal 10 4 7 2 2" xfId="20522"/>
    <cellStyle name="Normal 10 4 7 2 2 2" xfId="34547"/>
    <cellStyle name="Normal 10 4 7 2 3" xfId="26536"/>
    <cellStyle name="Normal 10 4 7 3" xfId="14512"/>
    <cellStyle name="Normal 10 4 7 3 2" xfId="22527"/>
    <cellStyle name="Normal 10 4 7 3 2 2" xfId="36552"/>
    <cellStyle name="Normal 10 4 7 3 3" xfId="28541"/>
    <cellStyle name="Normal 10 4 7 4" xfId="16518"/>
    <cellStyle name="Normal 10 4 7 4 2" xfId="30543"/>
    <cellStyle name="Normal 10 4 7 5" xfId="18520"/>
    <cellStyle name="Normal 10 4 7 5 2" xfId="32545"/>
    <cellStyle name="Normal 10 4 7 6" xfId="24534"/>
    <cellStyle name="Normal 10 4 8" xfId="12458"/>
    <cellStyle name="Normal 10 4 8 2" xfId="20483"/>
    <cellStyle name="Normal 10 4 8 2 2" xfId="34508"/>
    <cellStyle name="Normal 10 4 8 3" xfId="26497"/>
    <cellStyle name="Normal 10 4 9" xfId="14473"/>
    <cellStyle name="Normal 10 4 9 2" xfId="22488"/>
    <cellStyle name="Normal 10 4 9 2 2" xfId="36513"/>
    <cellStyle name="Normal 10 4 9 3" xfId="28502"/>
    <cellStyle name="Normal 10 5" xfId="1897"/>
    <cellStyle name="Normal 10 5 10" xfId="18521"/>
    <cellStyle name="Normal 10 5 10 2" xfId="32546"/>
    <cellStyle name="Normal 10 5 11" xfId="24535"/>
    <cellStyle name="Normal 10 5 2" xfId="1898"/>
    <cellStyle name="Normal 10 5 2 10" xfId="24536"/>
    <cellStyle name="Normal 10 5 2 2" xfId="1899"/>
    <cellStyle name="Normal 10 5 2 2 2" xfId="1900"/>
    <cellStyle name="Normal 10 5 2 2 2 2" xfId="1901"/>
    <cellStyle name="Normal 10 5 2 2 2 2 2" xfId="12502"/>
    <cellStyle name="Normal 10 5 2 2 2 2 2 2" xfId="20527"/>
    <cellStyle name="Normal 10 5 2 2 2 2 2 2 2" xfId="34552"/>
    <cellStyle name="Normal 10 5 2 2 2 2 2 3" xfId="26541"/>
    <cellStyle name="Normal 10 5 2 2 2 2 3" xfId="14517"/>
    <cellStyle name="Normal 10 5 2 2 2 2 3 2" xfId="22532"/>
    <cellStyle name="Normal 10 5 2 2 2 2 3 2 2" xfId="36557"/>
    <cellStyle name="Normal 10 5 2 2 2 2 3 3" xfId="28546"/>
    <cellStyle name="Normal 10 5 2 2 2 2 4" xfId="16523"/>
    <cellStyle name="Normal 10 5 2 2 2 2 4 2" xfId="30548"/>
    <cellStyle name="Normal 10 5 2 2 2 2 5" xfId="18525"/>
    <cellStyle name="Normal 10 5 2 2 2 2 5 2" xfId="32550"/>
    <cellStyle name="Normal 10 5 2 2 2 2 6" xfId="24539"/>
    <cellStyle name="Normal 10 5 2 2 2 3" xfId="12501"/>
    <cellStyle name="Normal 10 5 2 2 2 3 2" xfId="20526"/>
    <cellStyle name="Normal 10 5 2 2 2 3 2 2" xfId="34551"/>
    <cellStyle name="Normal 10 5 2 2 2 3 3" xfId="26540"/>
    <cellStyle name="Normal 10 5 2 2 2 4" xfId="14516"/>
    <cellStyle name="Normal 10 5 2 2 2 4 2" xfId="22531"/>
    <cellStyle name="Normal 10 5 2 2 2 4 2 2" xfId="36556"/>
    <cellStyle name="Normal 10 5 2 2 2 4 3" xfId="28545"/>
    <cellStyle name="Normal 10 5 2 2 2 5" xfId="16522"/>
    <cellStyle name="Normal 10 5 2 2 2 5 2" xfId="30547"/>
    <cellStyle name="Normal 10 5 2 2 2 6" xfId="18524"/>
    <cellStyle name="Normal 10 5 2 2 2 6 2" xfId="32549"/>
    <cellStyle name="Normal 10 5 2 2 2 7" xfId="24538"/>
    <cellStyle name="Normal 10 5 2 2 3" xfId="1902"/>
    <cellStyle name="Normal 10 5 2 2 3 2" xfId="12503"/>
    <cellStyle name="Normal 10 5 2 2 3 2 2" xfId="20528"/>
    <cellStyle name="Normal 10 5 2 2 3 2 2 2" xfId="34553"/>
    <cellStyle name="Normal 10 5 2 2 3 2 3" xfId="26542"/>
    <cellStyle name="Normal 10 5 2 2 3 3" xfId="14518"/>
    <cellStyle name="Normal 10 5 2 2 3 3 2" xfId="22533"/>
    <cellStyle name="Normal 10 5 2 2 3 3 2 2" xfId="36558"/>
    <cellStyle name="Normal 10 5 2 2 3 3 3" xfId="28547"/>
    <cellStyle name="Normal 10 5 2 2 3 4" xfId="16524"/>
    <cellStyle name="Normal 10 5 2 2 3 4 2" xfId="30549"/>
    <cellStyle name="Normal 10 5 2 2 3 5" xfId="18526"/>
    <cellStyle name="Normal 10 5 2 2 3 5 2" xfId="32551"/>
    <cellStyle name="Normal 10 5 2 2 3 6" xfId="24540"/>
    <cellStyle name="Normal 10 5 2 2 4" xfId="12500"/>
    <cellStyle name="Normal 10 5 2 2 4 2" xfId="20525"/>
    <cellStyle name="Normal 10 5 2 2 4 2 2" xfId="34550"/>
    <cellStyle name="Normal 10 5 2 2 4 3" xfId="26539"/>
    <cellStyle name="Normal 10 5 2 2 5" xfId="14515"/>
    <cellStyle name="Normal 10 5 2 2 5 2" xfId="22530"/>
    <cellStyle name="Normal 10 5 2 2 5 2 2" xfId="36555"/>
    <cellStyle name="Normal 10 5 2 2 5 3" xfId="28544"/>
    <cellStyle name="Normal 10 5 2 2 6" xfId="16521"/>
    <cellStyle name="Normal 10 5 2 2 6 2" xfId="30546"/>
    <cellStyle name="Normal 10 5 2 2 7" xfId="18523"/>
    <cellStyle name="Normal 10 5 2 2 7 2" xfId="32548"/>
    <cellStyle name="Normal 10 5 2 2 8" xfId="24537"/>
    <cellStyle name="Normal 10 5 2 3" xfId="1903"/>
    <cellStyle name="Normal 10 5 2 3 2" xfId="1904"/>
    <cellStyle name="Normal 10 5 2 3 2 2" xfId="12505"/>
    <cellStyle name="Normal 10 5 2 3 2 2 2" xfId="20530"/>
    <cellStyle name="Normal 10 5 2 3 2 2 2 2" xfId="34555"/>
    <cellStyle name="Normal 10 5 2 3 2 2 3" xfId="26544"/>
    <cellStyle name="Normal 10 5 2 3 2 3" xfId="14520"/>
    <cellStyle name="Normal 10 5 2 3 2 3 2" xfId="22535"/>
    <cellStyle name="Normal 10 5 2 3 2 3 2 2" xfId="36560"/>
    <cellStyle name="Normal 10 5 2 3 2 3 3" xfId="28549"/>
    <cellStyle name="Normal 10 5 2 3 2 4" xfId="16526"/>
    <cellStyle name="Normal 10 5 2 3 2 4 2" xfId="30551"/>
    <cellStyle name="Normal 10 5 2 3 2 5" xfId="18528"/>
    <cellStyle name="Normal 10 5 2 3 2 5 2" xfId="32553"/>
    <cellStyle name="Normal 10 5 2 3 2 6" xfId="24542"/>
    <cellStyle name="Normal 10 5 2 3 3" xfId="12504"/>
    <cellStyle name="Normal 10 5 2 3 3 2" xfId="20529"/>
    <cellStyle name="Normal 10 5 2 3 3 2 2" xfId="34554"/>
    <cellStyle name="Normal 10 5 2 3 3 3" xfId="26543"/>
    <cellStyle name="Normal 10 5 2 3 4" xfId="14519"/>
    <cellStyle name="Normal 10 5 2 3 4 2" xfId="22534"/>
    <cellStyle name="Normal 10 5 2 3 4 2 2" xfId="36559"/>
    <cellStyle name="Normal 10 5 2 3 4 3" xfId="28548"/>
    <cellStyle name="Normal 10 5 2 3 5" xfId="16525"/>
    <cellStyle name="Normal 10 5 2 3 5 2" xfId="30550"/>
    <cellStyle name="Normal 10 5 2 3 6" xfId="18527"/>
    <cellStyle name="Normal 10 5 2 3 6 2" xfId="32552"/>
    <cellStyle name="Normal 10 5 2 3 7" xfId="24541"/>
    <cellStyle name="Normal 10 5 2 4" xfId="1905"/>
    <cellStyle name="Normal 10 5 2 4 2" xfId="1906"/>
    <cellStyle name="Normal 10 5 2 4 2 2" xfId="12507"/>
    <cellStyle name="Normal 10 5 2 4 2 2 2" xfId="20532"/>
    <cellStyle name="Normal 10 5 2 4 2 2 2 2" xfId="34557"/>
    <cellStyle name="Normal 10 5 2 4 2 2 3" xfId="26546"/>
    <cellStyle name="Normal 10 5 2 4 2 3" xfId="14522"/>
    <cellStyle name="Normal 10 5 2 4 2 3 2" xfId="22537"/>
    <cellStyle name="Normal 10 5 2 4 2 3 2 2" xfId="36562"/>
    <cellStyle name="Normal 10 5 2 4 2 3 3" xfId="28551"/>
    <cellStyle name="Normal 10 5 2 4 2 4" xfId="16528"/>
    <cellStyle name="Normal 10 5 2 4 2 4 2" xfId="30553"/>
    <cellStyle name="Normal 10 5 2 4 2 5" xfId="18530"/>
    <cellStyle name="Normal 10 5 2 4 2 5 2" xfId="32555"/>
    <cellStyle name="Normal 10 5 2 4 2 6" xfId="24544"/>
    <cellStyle name="Normal 10 5 2 4 3" xfId="12506"/>
    <cellStyle name="Normal 10 5 2 4 3 2" xfId="20531"/>
    <cellStyle name="Normal 10 5 2 4 3 2 2" xfId="34556"/>
    <cellStyle name="Normal 10 5 2 4 3 3" xfId="26545"/>
    <cellStyle name="Normal 10 5 2 4 4" xfId="14521"/>
    <cellStyle name="Normal 10 5 2 4 4 2" xfId="22536"/>
    <cellStyle name="Normal 10 5 2 4 4 2 2" xfId="36561"/>
    <cellStyle name="Normal 10 5 2 4 4 3" xfId="28550"/>
    <cellStyle name="Normal 10 5 2 4 5" xfId="16527"/>
    <cellStyle name="Normal 10 5 2 4 5 2" xfId="30552"/>
    <cellStyle name="Normal 10 5 2 4 6" xfId="18529"/>
    <cellStyle name="Normal 10 5 2 4 6 2" xfId="32554"/>
    <cellStyle name="Normal 10 5 2 4 7" xfId="24543"/>
    <cellStyle name="Normal 10 5 2 5" xfId="1907"/>
    <cellStyle name="Normal 10 5 2 5 2" xfId="12508"/>
    <cellStyle name="Normal 10 5 2 5 2 2" xfId="20533"/>
    <cellStyle name="Normal 10 5 2 5 2 2 2" xfId="34558"/>
    <cellStyle name="Normal 10 5 2 5 2 3" xfId="26547"/>
    <cellStyle name="Normal 10 5 2 5 3" xfId="14523"/>
    <cellStyle name="Normal 10 5 2 5 3 2" xfId="22538"/>
    <cellStyle name="Normal 10 5 2 5 3 2 2" xfId="36563"/>
    <cellStyle name="Normal 10 5 2 5 3 3" xfId="28552"/>
    <cellStyle name="Normal 10 5 2 5 4" xfId="16529"/>
    <cellStyle name="Normal 10 5 2 5 4 2" xfId="30554"/>
    <cellStyle name="Normal 10 5 2 5 5" xfId="18531"/>
    <cellStyle name="Normal 10 5 2 5 5 2" xfId="32556"/>
    <cellStyle name="Normal 10 5 2 5 6" xfId="24545"/>
    <cellStyle name="Normal 10 5 2 6" xfId="12499"/>
    <cellStyle name="Normal 10 5 2 6 2" xfId="20524"/>
    <cellStyle name="Normal 10 5 2 6 2 2" xfId="34549"/>
    <cellStyle name="Normal 10 5 2 6 3" xfId="26538"/>
    <cellStyle name="Normal 10 5 2 7" xfId="14514"/>
    <cellStyle name="Normal 10 5 2 7 2" xfId="22529"/>
    <cellStyle name="Normal 10 5 2 7 2 2" xfId="36554"/>
    <cellStyle name="Normal 10 5 2 7 3" xfId="28543"/>
    <cellStyle name="Normal 10 5 2 8" xfId="16520"/>
    <cellStyle name="Normal 10 5 2 8 2" xfId="30545"/>
    <cellStyle name="Normal 10 5 2 9" xfId="18522"/>
    <cellStyle name="Normal 10 5 2 9 2" xfId="32547"/>
    <cellStyle name="Normal 10 5 3" xfId="1908"/>
    <cellStyle name="Normal 10 5 3 2" xfId="1909"/>
    <cellStyle name="Normal 10 5 3 2 2" xfId="1910"/>
    <cellStyle name="Normal 10 5 3 2 2 2" xfId="12511"/>
    <cellStyle name="Normal 10 5 3 2 2 2 2" xfId="20536"/>
    <cellStyle name="Normal 10 5 3 2 2 2 2 2" xfId="34561"/>
    <cellStyle name="Normal 10 5 3 2 2 2 3" xfId="26550"/>
    <cellStyle name="Normal 10 5 3 2 2 3" xfId="14526"/>
    <cellStyle name="Normal 10 5 3 2 2 3 2" xfId="22541"/>
    <cellStyle name="Normal 10 5 3 2 2 3 2 2" xfId="36566"/>
    <cellStyle name="Normal 10 5 3 2 2 3 3" xfId="28555"/>
    <cellStyle name="Normal 10 5 3 2 2 4" xfId="16532"/>
    <cellStyle name="Normal 10 5 3 2 2 4 2" xfId="30557"/>
    <cellStyle name="Normal 10 5 3 2 2 5" xfId="18534"/>
    <cellStyle name="Normal 10 5 3 2 2 5 2" xfId="32559"/>
    <cellStyle name="Normal 10 5 3 2 2 6" xfId="24548"/>
    <cellStyle name="Normal 10 5 3 2 3" xfId="12510"/>
    <cellStyle name="Normal 10 5 3 2 3 2" xfId="20535"/>
    <cellStyle name="Normal 10 5 3 2 3 2 2" xfId="34560"/>
    <cellStyle name="Normal 10 5 3 2 3 3" xfId="26549"/>
    <cellStyle name="Normal 10 5 3 2 4" xfId="14525"/>
    <cellStyle name="Normal 10 5 3 2 4 2" xfId="22540"/>
    <cellStyle name="Normal 10 5 3 2 4 2 2" xfId="36565"/>
    <cellStyle name="Normal 10 5 3 2 4 3" xfId="28554"/>
    <cellStyle name="Normal 10 5 3 2 5" xfId="16531"/>
    <cellStyle name="Normal 10 5 3 2 5 2" xfId="30556"/>
    <cellStyle name="Normal 10 5 3 2 6" xfId="18533"/>
    <cellStyle name="Normal 10 5 3 2 6 2" xfId="32558"/>
    <cellStyle name="Normal 10 5 3 2 7" xfId="24547"/>
    <cellStyle name="Normal 10 5 3 3" xfId="1911"/>
    <cellStyle name="Normal 10 5 3 3 2" xfId="12512"/>
    <cellStyle name="Normal 10 5 3 3 2 2" xfId="20537"/>
    <cellStyle name="Normal 10 5 3 3 2 2 2" xfId="34562"/>
    <cellStyle name="Normal 10 5 3 3 2 3" xfId="26551"/>
    <cellStyle name="Normal 10 5 3 3 3" xfId="14527"/>
    <cellStyle name="Normal 10 5 3 3 3 2" xfId="22542"/>
    <cellStyle name="Normal 10 5 3 3 3 2 2" xfId="36567"/>
    <cellStyle name="Normal 10 5 3 3 3 3" xfId="28556"/>
    <cellStyle name="Normal 10 5 3 3 4" xfId="16533"/>
    <cellStyle name="Normal 10 5 3 3 4 2" xfId="30558"/>
    <cellStyle name="Normal 10 5 3 3 5" xfId="18535"/>
    <cellStyle name="Normal 10 5 3 3 5 2" xfId="32560"/>
    <cellStyle name="Normal 10 5 3 3 6" xfId="24549"/>
    <cellStyle name="Normal 10 5 3 4" xfId="12509"/>
    <cellStyle name="Normal 10 5 3 4 2" xfId="20534"/>
    <cellStyle name="Normal 10 5 3 4 2 2" xfId="34559"/>
    <cellStyle name="Normal 10 5 3 4 3" xfId="26548"/>
    <cellStyle name="Normal 10 5 3 5" xfId="14524"/>
    <cellStyle name="Normal 10 5 3 5 2" xfId="22539"/>
    <cellStyle name="Normal 10 5 3 5 2 2" xfId="36564"/>
    <cellStyle name="Normal 10 5 3 5 3" xfId="28553"/>
    <cellStyle name="Normal 10 5 3 6" xfId="16530"/>
    <cellStyle name="Normal 10 5 3 6 2" xfId="30555"/>
    <cellStyle name="Normal 10 5 3 7" xfId="18532"/>
    <cellStyle name="Normal 10 5 3 7 2" xfId="32557"/>
    <cellStyle name="Normal 10 5 3 8" xfId="24546"/>
    <cellStyle name="Normal 10 5 4" xfId="1912"/>
    <cellStyle name="Normal 10 5 4 2" xfId="1913"/>
    <cellStyle name="Normal 10 5 4 2 2" xfId="12514"/>
    <cellStyle name="Normal 10 5 4 2 2 2" xfId="20539"/>
    <cellStyle name="Normal 10 5 4 2 2 2 2" xfId="34564"/>
    <cellStyle name="Normal 10 5 4 2 2 3" xfId="26553"/>
    <cellStyle name="Normal 10 5 4 2 3" xfId="14529"/>
    <cellStyle name="Normal 10 5 4 2 3 2" xfId="22544"/>
    <cellStyle name="Normal 10 5 4 2 3 2 2" xfId="36569"/>
    <cellStyle name="Normal 10 5 4 2 3 3" xfId="28558"/>
    <cellStyle name="Normal 10 5 4 2 4" xfId="16535"/>
    <cellStyle name="Normal 10 5 4 2 4 2" xfId="30560"/>
    <cellStyle name="Normal 10 5 4 2 5" xfId="18537"/>
    <cellStyle name="Normal 10 5 4 2 5 2" xfId="32562"/>
    <cellStyle name="Normal 10 5 4 2 6" xfId="24551"/>
    <cellStyle name="Normal 10 5 4 3" xfId="12513"/>
    <cellStyle name="Normal 10 5 4 3 2" xfId="20538"/>
    <cellStyle name="Normal 10 5 4 3 2 2" xfId="34563"/>
    <cellStyle name="Normal 10 5 4 3 3" xfId="26552"/>
    <cellStyle name="Normal 10 5 4 4" xfId="14528"/>
    <cellStyle name="Normal 10 5 4 4 2" xfId="22543"/>
    <cellStyle name="Normal 10 5 4 4 2 2" xfId="36568"/>
    <cellStyle name="Normal 10 5 4 4 3" xfId="28557"/>
    <cellStyle name="Normal 10 5 4 5" xfId="16534"/>
    <cellStyle name="Normal 10 5 4 5 2" xfId="30559"/>
    <cellStyle name="Normal 10 5 4 6" xfId="18536"/>
    <cellStyle name="Normal 10 5 4 6 2" xfId="32561"/>
    <cellStyle name="Normal 10 5 4 7" xfId="24550"/>
    <cellStyle name="Normal 10 5 5" xfId="1914"/>
    <cellStyle name="Normal 10 5 5 2" xfId="1915"/>
    <cellStyle name="Normal 10 5 5 2 2" xfId="12516"/>
    <cellStyle name="Normal 10 5 5 2 2 2" xfId="20541"/>
    <cellStyle name="Normal 10 5 5 2 2 2 2" xfId="34566"/>
    <cellStyle name="Normal 10 5 5 2 2 3" xfId="26555"/>
    <cellStyle name="Normal 10 5 5 2 3" xfId="14531"/>
    <cellStyle name="Normal 10 5 5 2 3 2" xfId="22546"/>
    <cellStyle name="Normal 10 5 5 2 3 2 2" xfId="36571"/>
    <cellStyle name="Normal 10 5 5 2 3 3" xfId="28560"/>
    <cellStyle name="Normal 10 5 5 2 4" xfId="16537"/>
    <cellStyle name="Normal 10 5 5 2 4 2" xfId="30562"/>
    <cellStyle name="Normal 10 5 5 2 5" xfId="18539"/>
    <cellStyle name="Normal 10 5 5 2 5 2" xfId="32564"/>
    <cellStyle name="Normal 10 5 5 2 6" xfId="24553"/>
    <cellStyle name="Normal 10 5 5 3" xfId="12515"/>
    <cellStyle name="Normal 10 5 5 3 2" xfId="20540"/>
    <cellStyle name="Normal 10 5 5 3 2 2" xfId="34565"/>
    <cellStyle name="Normal 10 5 5 3 3" xfId="26554"/>
    <cellStyle name="Normal 10 5 5 4" xfId="14530"/>
    <cellStyle name="Normal 10 5 5 4 2" xfId="22545"/>
    <cellStyle name="Normal 10 5 5 4 2 2" xfId="36570"/>
    <cellStyle name="Normal 10 5 5 4 3" xfId="28559"/>
    <cellStyle name="Normal 10 5 5 5" xfId="16536"/>
    <cellStyle name="Normal 10 5 5 5 2" xfId="30561"/>
    <cellStyle name="Normal 10 5 5 6" xfId="18538"/>
    <cellStyle name="Normal 10 5 5 6 2" xfId="32563"/>
    <cellStyle name="Normal 10 5 5 7" xfId="24552"/>
    <cellStyle name="Normal 10 5 6" xfId="1916"/>
    <cellStyle name="Normal 10 5 6 2" xfId="12517"/>
    <cellStyle name="Normal 10 5 6 2 2" xfId="20542"/>
    <cellStyle name="Normal 10 5 6 2 2 2" xfId="34567"/>
    <cellStyle name="Normal 10 5 6 2 3" xfId="26556"/>
    <cellStyle name="Normal 10 5 6 3" xfId="14532"/>
    <cellStyle name="Normal 10 5 6 3 2" xfId="22547"/>
    <cellStyle name="Normal 10 5 6 3 2 2" xfId="36572"/>
    <cellStyle name="Normal 10 5 6 3 3" xfId="28561"/>
    <cellStyle name="Normal 10 5 6 4" xfId="16538"/>
    <cellStyle name="Normal 10 5 6 4 2" xfId="30563"/>
    <cellStyle name="Normal 10 5 6 5" xfId="18540"/>
    <cellStyle name="Normal 10 5 6 5 2" xfId="32565"/>
    <cellStyle name="Normal 10 5 6 6" xfId="24554"/>
    <cellStyle name="Normal 10 5 7" xfId="12498"/>
    <cellStyle name="Normal 10 5 7 2" xfId="20523"/>
    <cellStyle name="Normal 10 5 7 2 2" xfId="34548"/>
    <cellStyle name="Normal 10 5 7 3" xfId="26537"/>
    <cellStyle name="Normal 10 5 8" xfId="14513"/>
    <cellStyle name="Normal 10 5 8 2" xfId="22528"/>
    <cellStyle name="Normal 10 5 8 2 2" xfId="36553"/>
    <cellStyle name="Normal 10 5 8 3" xfId="28542"/>
    <cellStyle name="Normal 10 5 9" xfId="16519"/>
    <cellStyle name="Normal 10 5 9 2" xfId="30544"/>
    <cellStyle name="Normal 10 6" xfId="1917"/>
    <cellStyle name="Normal 10 6 10" xfId="24555"/>
    <cellStyle name="Normal 10 6 2" xfId="1918"/>
    <cellStyle name="Normal 10 6 2 2" xfId="1919"/>
    <cellStyle name="Normal 10 6 2 2 2" xfId="1920"/>
    <cellStyle name="Normal 10 6 2 2 2 2" xfId="12521"/>
    <cellStyle name="Normal 10 6 2 2 2 2 2" xfId="20546"/>
    <cellStyle name="Normal 10 6 2 2 2 2 2 2" xfId="34571"/>
    <cellStyle name="Normal 10 6 2 2 2 2 3" xfId="26560"/>
    <cellStyle name="Normal 10 6 2 2 2 3" xfId="14536"/>
    <cellStyle name="Normal 10 6 2 2 2 3 2" xfId="22551"/>
    <cellStyle name="Normal 10 6 2 2 2 3 2 2" xfId="36576"/>
    <cellStyle name="Normal 10 6 2 2 2 3 3" xfId="28565"/>
    <cellStyle name="Normal 10 6 2 2 2 4" xfId="16542"/>
    <cellStyle name="Normal 10 6 2 2 2 4 2" xfId="30567"/>
    <cellStyle name="Normal 10 6 2 2 2 5" xfId="18544"/>
    <cellStyle name="Normal 10 6 2 2 2 5 2" xfId="32569"/>
    <cellStyle name="Normal 10 6 2 2 2 6" xfId="24558"/>
    <cellStyle name="Normal 10 6 2 2 3" xfId="12520"/>
    <cellStyle name="Normal 10 6 2 2 3 2" xfId="20545"/>
    <cellStyle name="Normal 10 6 2 2 3 2 2" xfId="34570"/>
    <cellStyle name="Normal 10 6 2 2 3 3" xfId="26559"/>
    <cellStyle name="Normal 10 6 2 2 4" xfId="14535"/>
    <cellStyle name="Normal 10 6 2 2 4 2" xfId="22550"/>
    <cellStyle name="Normal 10 6 2 2 4 2 2" xfId="36575"/>
    <cellStyle name="Normal 10 6 2 2 4 3" xfId="28564"/>
    <cellStyle name="Normal 10 6 2 2 5" xfId="16541"/>
    <cellStyle name="Normal 10 6 2 2 5 2" xfId="30566"/>
    <cellStyle name="Normal 10 6 2 2 6" xfId="18543"/>
    <cellStyle name="Normal 10 6 2 2 6 2" xfId="32568"/>
    <cellStyle name="Normal 10 6 2 2 7" xfId="24557"/>
    <cellStyle name="Normal 10 6 2 3" xfId="1921"/>
    <cellStyle name="Normal 10 6 2 3 2" xfId="12522"/>
    <cellStyle name="Normal 10 6 2 3 2 2" xfId="20547"/>
    <cellStyle name="Normal 10 6 2 3 2 2 2" xfId="34572"/>
    <cellStyle name="Normal 10 6 2 3 2 3" xfId="26561"/>
    <cellStyle name="Normal 10 6 2 3 3" xfId="14537"/>
    <cellStyle name="Normal 10 6 2 3 3 2" xfId="22552"/>
    <cellStyle name="Normal 10 6 2 3 3 2 2" xfId="36577"/>
    <cellStyle name="Normal 10 6 2 3 3 3" xfId="28566"/>
    <cellStyle name="Normal 10 6 2 3 4" xfId="16543"/>
    <cellStyle name="Normal 10 6 2 3 4 2" xfId="30568"/>
    <cellStyle name="Normal 10 6 2 3 5" xfId="18545"/>
    <cellStyle name="Normal 10 6 2 3 5 2" xfId="32570"/>
    <cellStyle name="Normal 10 6 2 3 6" xfId="24559"/>
    <cellStyle name="Normal 10 6 2 4" xfId="12519"/>
    <cellStyle name="Normal 10 6 2 4 2" xfId="20544"/>
    <cellStyle name="Normal 10 6 2 4 2 2" xfId="34569"/>
    <cellStyle name="Normal 10 6 2 4 3" xfId="26558"/>
    <cellStyle name="Normal 10 6 2 5" xfId="14534"/>
    <cellStyle name="Normal 10 6 2 5 2" xfId="22549"/>
    <cellStyle name="Normal 10 6 2 5 2 2" xfId="36574"/>
    <cellStyle name="Normal 10 6 2 5 3" xfId="28563"/>
    <cellStyle name="Normal 10 6 2 6" xfId="16540"/>
    <cellStyle name="Normal 10 6 2 6 2" xfId="30565"/>
    <cellStyle name="Normal 10 6 2 7" xfId="18542"/>
    <cellStyle name="Normal 10 6 2 7 2" xfId="32567"/>
    <cellStyle name="Normal 10 6 2 8" xfId="24556"/>
    <cellStyle name="Normal 10 6 3" xfId="1922"/>
    <cellStyle name="Normal 10 6 3 2" xfId="1923"/>
    <cellStyle name="Normal 10 6 3 2 2" xfId="12524"/>
    <cellStyle name="Normal 10 6 3 2 2 2" xfId="20549"/>
    <cellStyle name="Normal 10 6 3 2 2 2 2" xfId="34574"/>
    <cellStyle name="Normal 10 6 3 2 2 3" xfId="26563"/>
    <cellStyle name="Normal 10 6 3 2 3" xfId="14539"/>
    <cellStyle name="Normal 10 6 3 2 3 2" xfId="22554"/>
    <cellStyle name="Normal 10 6 3 2 3 2 2" xfId="36579"/>
    <cellStyle name="Normal 10 6 3 2 3 3" xfId="28568"/>
    <cellStyle name="Normal 10 6 3 2 4" xfId="16545"/>
    <cellStyle name="Normal 10 6 3 2 4 2" xfId="30570"/>
    <cellStyle name="Normal 10 6 3 2 5" xfId="18547"/>
    <cellStyle name="Normal 10 6 3 2 5 2" xfId="32572"/>
    <cellStyle name="Normal 10 6 3 2 6" xfId="24561"/>
    <cellStyle name="Normal 10 6 3 3" xfId="12523"/>
    <cellStyle name="Normal 10 6 3 3 2" xfId="20548"/>
    <cellStyle name="Normal 10 6 3 3 2 2" xfId="34573"/>
    <cellStyle name="Normal 10 6 3 3 3" xfId="26562"/>
    <cellStyle name="Normal 10 6 3 4" xfId="14538"/>
    <cellStyle name="Normal 10 6 3 4 2" xfId="22553"/>
    <cellStyle name="Normal 10 6 3 4 2 2" xfId="36578"/>
    <cellStyle name="Normal 10 6 3 4 3" xfId="28567"/>
    <cellStyle name="Normal 10 6 3 5" xfId="16544"/>
    <cellStyle name="Normal 10 6 3 5 2" xfId="30569"/>
    <cellStyle name="Normal 10 6 3 6" xfId="18546"/>
    <cellStyle name="Normal 10 6 3 6 2" xfId="32571"/>
    <cellStyle name="Normal 10 6 3 7" xfId="24560"/>
    <cellStyle name="Normal 10 6 4" xfId="1924"/>
    <cellStyle name="Normal 10 6 4 2" xfId="1925"/>
    <cellStyle name="Normal 10 6 4 2 2" xfId="12526"/>
    <cellStyle name="Normal 10 6 4 2 2 2" xfId="20551"/>
    <cellStyle name="Normal 10 6 4 2 2 2 2" xfId="34576"/>
    <cellStyle name="Normal 10 6 4 2 2 3" xfId="26565"/>
    <cellStyle name="Normal 10 6 4 2 3" xfId="14541"/>
    <cellStyle name="Normal 10 6 4 2 3 2" xfId="22556"/>
    <cellStyle name="Normal 10 6 4 2 3 2 2" xfId="36581"/>
    <cellStyle name="Normal 10 6 4 2 3 3" xfId="28570"/>
    <cellStyle name="Normal 10 6 4 2 4" xfId="16547"/>
    <cellStyle name="Normal 10 6 4 2 4 2" xfId="30572"/>
    <cellStyle name="Normal 10 6 4 2 5" xfId="18549"/>
    <cellStyle name="Normal 10 6 4 2 5 2" xfId="32574"/>
    <cellStyle name="Normal 10 6 4 2 6" xfId="24563"/>
    <cellStyle name="Normal 10 6 4 3" xfId="12525"/>
    <cellStyle name="Normal 10 6 4 3 2" xfId="20550"/>
    <cellStyle name="Normal 10 6 4 3 2 2" xfId="34575"/>
    <cellStyle name="Normal 10 6 4 3 3" xfId="26564"/>
    <cellStyle name="Normal 10 6 4 4" xfId="14540"/>
    <cellStyle name="Normal 10 6 4 4 2" xfId="22555"/>
    <cellStyle name="Normal 10 6 4 4 2 2" xfId="36580"/>
    <cellStyle name="Normal 10 6 4 4 3" xfId="28569"/>
    <cellStyle name="Normal 10 6 4 5" xfId="16546"/>
    <cellStyle name="Normal 10 6 4 5 2" xfId="30571"/>
    <cellStyle name="Normal 10 6 4 6" xfId="18548"/>
    <cellStyle name="Normal 10 6 4 6 2" xfId="32573"/>
    <cellStyle name="Normal 10 6 4 7" xfId="24562"/>
    <cellStyle name="Normal 10 6 5" xfId="1926"/>
    <cellStyle name="Normal 10 6 5 2" xfId="12527"/>
    <cellStyle name="Normal 10 6 5 2 2" xfId="20552"/>
    <cellStyle name="Normal 10 6 5 2 2 2" xfId="34577"/>
    <cellStyle name="Normal 10 6 5 2 3" xfId="26566"/>
    <cellStyle name="Normal 10 6 5 3" xfId="14542"/>
    <cellStyle name="Normal 10 6 5 3 2" xfId="22557"/>
    <cellStyle name="Normal 10 6 5 3 2 2" xfId="36582"/>
    <cellStyle name="Normal 10 6 5 3 3" xfId="28571"/>
    <cellStyle name="Normal 10 6 5 4" xfId="16548"/>
    <cellStyle name="Normal 10 6 5 4 2" xfId="30573"/>
    <cellStyle name="Normal 10 6 5 5" xfId="18550"/>
    <cellStyle name="Normal 10 6 5 5 2" xfId="32575"/>
    <cellStyle name="Normal 10 6 5 6" xfId="24564"/>
    <cellStyle name="Normal 10 6 6" xfId="12518"/>
    <cellStyle name="Normal 10 6 6 2" xfId="20543"/>
    <cellStyle name="Normal 10 6 6 2 2" xfId="34568"/>
    <cellStyle name="Normal 10 6 6 3" xfId="26557"/>
    <cellStyle name="Normal 10 6 7" xfId="14533"/>
    <cellStyle name="Normal 10 6 7 2" xfId="22548"/>
    <cellStyle name="Normal 10 6 7 2 2" xfId="36573"/>
    <cellStyle name="Normal 10 6 7 3" xfId="28562"/>
    <cellStyle name="Normal 10 6 8" xfId="16539"/>
    <cellStyle name="Normal 10 6 8 2" xfId="30564"/>
    <cellStyle name="Normal 10 6 9" xfId="18541"/>
    <cellStyle name="Normal 10 6 9 2" xfId="32566"/>
    <cellStyle name="Normal 10 7" xfId="1927"/>
    <cellStyle name="Normal 10 7 2" xfId="1928"/>
    <cellStyle name="Normal 10 7 2 2" xfId="1929"/>
    <cellStyle name="Normal 10 7 2 2 2" xfId="12530"/>
    <cellStyle name="Normal 10 7 2 2 2 2" xfId="20555"/>
    <cellStyle name="Normal 10 7 2 2 2 2 2" xfId="34580"/>
    <cellStyle name="Normal 10 7 2 2 2 3" xfId="26569"/>
    <cellStyle name="Normal 10 7 2 2 3" xfId="14545"/>
    <cellStyle name="Normal 10 7 2 2 3 2" xfId="22560"/>
    <cellStyle name="Normal 10 7 2 2 3 2 2" xfId="36585"/>
    <cellStyle name="Normal 10 7 2 2 3 3" xfId="28574"/>
    <cellStyle name="Normal 10 7 2 2 4" xfId="16551"/>
    <cellStyle name="Normal 10 7 2 2 4 2" xfId="30576"/>
    <cellStyle name="Normal 10 7 2 2 5" xfId="18553"/>
    <cellStyle name="Normal 10 7 2 2 5 2" xfId="32578"/>
    <cellStyle name="Normal 10 7 2 2 6" xfId="24567"/>
    <cellStyle name="Normal 10 7 2 3" xfId="12529"/>
    <cellStyle name="Normal 10 7 2 3 2" xfId="20554"/>
    <cellStyle name="Normal 10 7 2 3 2 2" xfId="34579"/>
    <cellStyle name="Normal 10 7 2 3 3" xfId="26568"/>
    <cellStyle name="Normal 10 7 2 4" xfId="14544"/>
    <cellStyle name="Normal 10 7 2 4 2" xfId="22559"/>
    <cellStyle name="Normal 10 7 2 4 2 2" xfId="36584"/>
    <cellStyle name="Normal 10 7 2 4 3" xfId="28573"/>
    <cellStyle name="Normal 10 7 2 5" xfId="16550"/>
    <cellStyle name="Normal 10 7 2 5 2" xfId="30575"/>
    <cellStyle name="Normal 10 7 2 6" xfId="18552"/>
    <cellStyle name="Normal 10 7 2 6 2" xfId="32577"/>
    <cellStyle name="Normal 10 7 2 7" xfId="24566"/>
    <cellStyle name="Normal 10 7 3" xfId="1930"/>
    <cellStyle name="Normal 10 7 3 2" xfId="12531"/>
    <cellStyle name="Normal 10 7 3 2 2" xfId="20556"/>
    <cellStyle name="Normal 10 7 3 2 2 2" xfId="34581"/>
    <cellStyle name="Normal 10 7 3 2 3" xfId="26570"/>
    <cellStyle name="Normal 10 7 3 3" xfId="14546"/>
    <cellStyle name="Normal 10 7 3 3 2" xfId="22561"/>
    <cellStyle name="Normal 10 7 3 3 2 2" xfId="36586"/>
    <cellStyle name="Normal 10 7 3 3 3" xfId="28575"/>
    <cellStyle name="Normal 10 7 3 4" xfId="16552"/>
    <cellStyle name="Normal 10 7 3 4 2" xfId="30577"/>
    <cellStyle name="Normal 10 7 3 5" xfId="18554"/>
    <cellStyle name="Normal 10 7 3 5 2" xfId="32579"/>
    <cellStyle name="Normal 10 7 3 6" xfId="24568"/>
    <cellStyle name="Normal 10 7 4" xfId="12528"/>
    <cellStyle name="Normal 10 7 4 2" xfId="20553"/>
    <cellStyle name="Normal 10 7 4 2 2" xfId="34578"/>
    <cellStyle name="Normal 10 7 4 3" xfId="26567"/>
    <cellStyle name="Normal 10 7 5" xfId="14543"/>
    <cellStyle name="Normal 10 7 5 2" xfId="22558"/>
    <cellStyle name="Normal 10 7 5 2 2" xfId="36583"/>
    <cellStyle name="Normal 10 7 5 3" xfId="28572"/>
    <cellStyle name="Normal 10 7 6" xfId="16549"/>
    <cellStyle name="Normal 10 7 6 2" xfId="30574"/>
    <cellStyle name="Normal 10 7 7" xfId="18551"/>
    <cellStyle name="Normal 10 7 7 2" xfId="32576"/>
    <cellStyle name="Normal 10 7 8" xfId="24565"/>
    <cellStyle name="Normal 10 8" xfId="1931"/>
    <cellStyle name="Normal 10 8 2" xfId="1932"/>
    <cellStyle name="Normal 10 8 2 2" xfId="12533"/>
    <cellStyle name="Normal 10 8 2 2 2" xfId="20558"/>
    <cellStyle name="Normal 10 8 2 2 2 2" xfId="34583"/>
    <cellStyle name="Normal 10 8 2 2 3" xfId="26572"/>
    <cellStyle name="Normal 10 8 2 3" xfId="14548"/>
    <cellStyle name="Normal 10 8 2 3 2" xfId="22563"/>
    <cellStyle name="Normal 10 8 2 3 2 2" xfId="36588"/>
    <cellStyle name="Normal 10 8 2 3 3" xfId="28577"/>
    <cellStyle name="Normal 10 8 2 4" xfId="16554"/>
    <cellStyle name="Normal 10 8 2 4 2" xfId="30579"/>
    <cellStyle name="Normal 10 8 2 5" xfId="18556"/>
    <cellStyle name="Normal 10 8 2 5 2" xfId="32581"/>
    <cellStyle name="Normal 10 8 2 6" xfId="24570"/>
    <cellStyle name="Normal 10 8 3" xfId="12532"/>
    <cellStyle name="Normal 10 8 3 2" xfId="20557"/>
    <cellStyle name="Normal 10 8 3 2 2" xfId="34582"/>
    <cellStyle name="Normal 10 8 3 3" xfId="26571"/>
    <cellStyle name="Normal 10 8 4" xfId="14547"/>
    <cellStyle name="Normal 10 8 4 2" xfId="22562"/>
    <cellStyle name="Normal 10 8 4 2 2" xfId="36587"/>
    <cellStyle name="Normal 10 8 4 3" xfId="28576"/>
    <cellStyle name="Normal 10 8 5" xfId="16553"/>
    <cellStyle name="Normal 10 8 5 2" xfId="30578"/>
    <cellStyle name="Normal 10 8 6" xfId="18555"/>
    <cellStyle name="Normal 10 8 6 2" xfId="32580"/>
    <cellStyle name="Normal 10 8 7" xfId="24569"/>
    <cellStyle name="Normal 10 9" xfId="1933"/>
    <cellStyle name="Normal 10 9 2" xfId="1934"/>
    <cellStyle name="Normal 10 9 2 2" xfId="12535"/>
    <cellStyle name="Normal 10 9 2 2 2" xfId="20560"/>
    <cellStyle name="Normal 10 9 2 2 2 2" xfId="34585"/>
    <cellStyle name="Normal 10 9 2 2 3" xfId="26574"/>
    <cellStyle name="Normal 10 9 2 3" xfId="14550"/>
    <cellStyle name="Normal 10 9 2 3 2" xfId="22565"/>
    <cellStyle name="Normal 10 9 2 3 2 2" xfId="36590"/>
    <cellStyle name="Normal 10 9 2 3 3" xfId="28579"/>
    <cellStyle name="Normal 10 9 2 4" xfId="16556"/>
    <cellStyle name="Normal 10 9 2 4 2" xfId="30581"/>
    <cellStyle name="Normal 10 9 2 5" xfId="18558"/>
    <cellStyle name="Normal 10 9 2 5 2" xfId="32583"/>
    <cellStyle name="Normal 10 9 2 6" xfId="24572"/>
    <cellStyle name="Normal 10 9 3" xfId="12534"/>
    <cellStyle name="Normal 10 9 3 2" xfId="20559"/>
    <cellStyle name="Normal 10 9 3 2 2" xfId="34584"/>
    <cellStyle name="Normal 10 9 3 3" xfId="26573"/>
    <cellStyle name="Normal 10 9 4" xfId="14549"/>
    <cellStyle name="Normal 10 9 4 2" xfId="22564"/>
    <cellStyle name="Normal 10 9 4 2 2" xfId="36589"/>
    <cellStyle name="Normal 10 9 4 3" xfId="28578"/>
    <cellStyle name="Normal 10 9 5" xfId="16555"/>
    <cellStyle name="Normal 10 9 5 2" xfId="30580"/>
    <cellStyle name="Normal 10 9 6" xfId="18557"/>
    <cellStyle name="Normal 10 9 6 2" xfId="32582"/>
    <cellStyle name="Normal 10 9 7" xfId="24571"/>
    <cellStyle name="Normal 10_10-15-10-Stmt AU - Period I - Working 1 0" xfId="477"/>
    <cellStyle name="Normal 11" xfId="478"/>
    <cellStyle name="Normal 11 10" xfId="11266"/>
    <cellStyle name="Normal 11 2" xfId="479"/>
    <cellStyle name="Normal 11 3" xfId="1935"/>
    <cellStyle name="Normal 11 3 10" xfId="16557"/>
    <cellStyle name="Normal 11 3 10 2" xfId="30582"/>
    <cellStyle name="Normal 11 3 11" xfId="18559"/>
    <cellStyle name="Normal 11 3 11 2" xfId="32584"/>
    <cellStyle name="Normal 11 3 12" xfId="24573"/>
    <cellStyle name="Normal 11 3 2" xfId="1936"/>
    <cellStyle name="Normal 11 3 2 10" xfId="18560"/>
    <cellStyle name="Normal 11 3 2 10 2" xfId="32585"/>
    <cellStyle name="Normal 11 3 2 11" xfId="24574"/>
    <cellStyle name="Normal 11 3 2 2" xfId="1937"/>
    <cellStyle name="Normal 11 3 2 2 10" xfId="24575"/>
    <cellStyle name="Normal 11 3 2 2 2" xfId="1938"/>
    <cellStyle name="Normal 11 3 2 2 2 2" xfId="1939"/>
    <cellStyle name="Normal 11 3 2 2 2 2 2" xfId="1940"/>
    <cellStyle name="Normal 11 3 2 2 2 2 2 2" xfId="12541"/>
    <cellStyle name="Normal 11 3 2 2 2 2 2 2 2" xfId="20566"/>
    <cellStyle name="Normal 11 3 2 2 2 2 2 2 2 2" xfId="34591"/>
    <cellStyle name="Normal 11 3 2 2 2 2 2 2 3" xfId="26580"/>
    <cellStyle name="Normal 11 3 2 2 2 2 2 3" xfId="14556"/>
    <cellStyle name="Normal 11 3 2 2 2 2 2 3 2" xfId="22571"/>
    <cellStyle name="Normal 11 3 2 2 2 2 2 3 2 2" xfId="36596"/>
    <cellStyle name="Normal 11 3 2 2 2 2 2 3 3" xfId="28585"/>
    <cellStyle name="Normal 11 3 2 2 2 2 2 4" xfId="16562"/>
    <cellStyle name="Normal 11 3 2 2 2 2 2 4 2" xfId="30587"/>
    <cellStyle name="Normal 11 3 2 2 2 2 2 5" xfId="18564"/>
    <cellStyle name="Normal 11 3 2 2 2 2 2 5 2" xfId="32589"/>
    <cellStyle name="Normal 11 3 2 2 2 2 2 6" xfId="24578"/>
    <cellStyle name="Normal 11 3 2 2 2 2 3" xfId="12540"/>
    <cellStyle name="Normal 11 3 2 2 2 2 3 2" xfId="20565"/>
    <cellStyle name="Normal 11 3 2 2 2 2 3 2 2" xfId="34590"/>
    <cellStyle name="Normal 11 3 2 2 2 2 3 3" xfId="26579"/>
    <cellStyle name="Normal 11 3 2 2 2 2 4" xfId="14555"/>
    <cellStyle name="Normal 11 3 2 2 2 2 4 2" xfId="22570"/>
    <cellStyle name="Normal 11 3 2 2 2 2 4 2 2" xfId="36595"/>
    <cellStyle name="Normal 11 3 2 2 2 2 4 3" xfId="28584"/>
    <cellStyle name="Normal 11 3 2 2 2 2 5" xfId="16561"/>
    <cellStyle name="Normal 11 3 2 2 2 2 5 2" xfId="30586"/>
    <cellStyle name="Normal 11 3 2 2 2 2 6" xfId="18563"/>
    <cellStyle name="Normal 11 3 2 2 2 2 6 2" xfId="32588"/>
    <cellStyle name="Normal 11 3 2 2 2 2 7" xfId="24577"/>
    <cellStyle name="Normal 11 3 2 2 2 3" xfId="1941"/>
    <cellStyle name="Normal 11 3 2 2 2 3 2" xfId="12542"/>
    <cellStyle name="Normal 11 3 2 2 2 3 2 2" xfId="20567"/>
    <cellStyle name="Normal 11 3 2 2 2 3 2 2 2" xfId="34592"/>
    <cellStyle name="Normal 11 3 2 2 2 3 2 3" xfId="26581"/>
    <cellStyle name="Normal 11 3 2 2 2 3 3" xfId="14557"/>
    <cellStyle name="Normal 11 3 2 2 2 3 3 2" xfId="22572"/>
    <cellStyle name="Normal 11 3 2 2 2 3 3 2 2" xfId="36597"/>
    <cellStyle name="Normal 11 3 2 2 2 3 3 3" xfId="28586"/>
    <cellStyle name="Normal 11 3 2 2 2 3 4" xfId="16563"/>
    <cellStyle name="Normal 11 3 2 2 2 3 4 2" xfId="30588"/>
    <cellStyle name="Normal 11 3 2 2 2 3 5" xfId="18565"/>
    <cellStyle name="Normal 11 3 2 2 2 3 5 2" xfId="32590"/>
    <cellStyle name="Normal 11 3 2 2 2 3 6" xfId="24579"/>
    <cellStyle name="Normal 11 3 2 2 2 4" xfId="12539"/>
    <cellStyle name="Normal 11 3 2 2 2 4 2" xfId="20564"/>
    <cellStyle name="Normal 11 3 2 2 2 4 2 2" xfId="34589"/>
    <cellStyle name="Normal 11 3 2 2 2 4 3" xfId="26578"/>
    <cellStyle name="Normal 11 3 2 2 2 5" xfId="14554"/>
    <cellStyle name="Normal 11 3 2 2 2 5 2" xfId="22569"/>
    <cellStyle name="Normal 11 3 2 2 2 5 2 2" xfId="36594"/>
    <cellStyle name="Normal 11 3 2 2 2 5 3" xfId="28583"/>
    <cellStyle name="Normal 11 3 2 2 2 6" xfId="16560"/>
    <cellStyle name="Normal 11 3 2 2 2 6 2" xfId="30585"/>
    <cellStyle name="Normal 11 3 2 2 2 7" xfId="18562"/>
    <cellStyle name="Normal 11 3 2 2 2 7 2" xfId="32587"/>
    <cellStyle name="Normal 11 3 2 2 2 8" xfId="24576"/>
    <cellStyle name="Normal 11 3 2 2 3" xfId="1942"/>
    <cellStyle name="Normal 11 3 2 2 3 2" xfId="1943"/>
    <cellStyle name="Normal 11 3 2 2 3 2 2" xfId="12544"/>
    <cellStyle name="Normal 11 3 2 2 3 2 2 2" xfId="20569"/>
    <cellStyle name="Normal 11 3 2 2 3 2 2 2 2" xfId="34594"/>
    <cellStyle name="Normal 11 3 2 2 3 2 2 3" xfId="26583"/>
    <cellStyle name="Normal 11 3 2 2 3 2 3" xfId="14559"/>
    <cellStyle name="Normal 11 3 2 2 3 2 3 2" xfId="22574"/>
    <cellStyle name="Normal 11 3 2 2 3 2 3 2 2" xfId="36599"/>
    <cellStyle name="Normal 11 3 2 2 3 2 3 3" xfId="28588"/>
    <cellStyle name="Normal 11 3 2 2 3 2 4" xfId="16565"/>
    <cellStyle name="Normal 11 3 2 2 3 2 4 2" xfId="30590"/>
    <cellStyle name="Normal 11 3 2 2 3 2 5" xfId="18567"/>
    <cellStyle name="Normal 11 3 2 2 3 2 5 2" xfId="32592"/>
    <cellStyle name="Normal 11 3 2 2 3 2 6" xfId="24581"/>
    <cellStyle name="Normal 11 3 2 2 3 3" xfId="12543"/>
    <cellStyle name="Normal 11 3 2 2 3 3 2" xfId="20568"/>
    <cellStyle name="Normal 11 3 2 2 3 3 2 2" xfId="34593"/>
    <cellStyle name="Normal 11 3 2 2 3 3 3" xfId="26582"/>
    <cellStyle name="Normal 11 3 2 2 3 4" xfId="14558"/>
    <cellStyle name="Normal 11 3 2 2 3 4 2" xfId="22573"/>
    <cellStyle name="Normal 11 3 2 2 3 4 2 2" xfId="36598"/>
    <cellStyle name="Normal 11 3 2 2 3 4 3" xfId="28587"/>
    <cellStyle name="Normal 11 3 2 2 3 5" xfId="16564"/>
    <cellStyle name="Normal 11 3 2 2 3 5 2" xfId="30589"/>
    <cellStyle name="Normal 11 3 2 2 3 6" xfId="18566"/>
    <cellStyle name="Normal 11 3 2 2 3 6 2" xfId="32591"/>
    <cellStyle name="Normal 11 3 2 2 3 7" xfId="24580"/>
    <cellStyle name="Normal 11 3 2 2 4" xfId="1944"/>
    <cellStyle name="Normal 11 3 2 2 4 2" xfId="1945"/>
    <cellStyle name="Normal 11 3 2 2 4 2 2" xfId="12546"/>
    <cellStyle name="Normal 11 3 2 2 4 2 2 2" xfId="20571"/>
    <cellStyle name="Normal 11 3 2 2 4 2 2 2 2" xfId="34596"/>
    <cellStyle name="Normal 11 3 2 2 4 2 2 3" xfId="26585"/>
    <cellStyle name="Normal 11 3 2 2 4 2 3" xfId="14561"/>
    <cellStyle name="Normal 11 3 2 2 4 2 3 2" xfId="22576"/>
    <cellStyle name="Normal 11 3 2 2 4 2 3 2 2" xfId="36601"/>
    <cellStyle name="Normal 11 3 2 2 4 2 3 3" xfId="28590"/>
    <cellStyle name="Normal 11 3 2 2 4 2 4" xfId="16567"/>
    <cellStyle name="Normal 11 3 2 2 4 2 4 2" xfId="30592"/>
    <cellStyle name="Normal 11 3 2 2 4 2 5" xfId="18569"/>
    <cellStyle name="Normal 11 3 2 2 4 2 5 2" xfId="32594"/>
    <cellStyle name="Normal 11 3 2 2 4 2 6" xfId="24583"/>
    <cellStyle name="Normal 11 3 2 2 4 3" xfId="12545"/>
    <cellStyle name="Normal 11 3 2 2 4 3 2" xfId="20570"/>
    <cellStyle name="Normal 11 3 2 2 4 3 2 2" xfId="34595"/>
    <cellStyle name="Normal 11 3 2 2 4 3 3" xfId="26584"/>
    <cellStyle name="Normal 11 3 2 2 4 4" xfId="14560"/>
    <cellStyle name="Normal 11 3 2 2 4 4 2" xfId="22575"/>
    <cellStyle name="Normal 11 3 2 2 4 4 2 2" xfId="36600"/>
    <cellStyle name="Normal 11 3 2 2 4 4 3" xfId="28589"/>
    <cellStyle name="Normal 11 3 2 2 4 5" xfId="16566"/>
    <cellStyle name="Normal 11 3 2 2 4 5 2" xfId="30591"/>
    <cellStyle name="Normal 11 3 2 2 4 6" xfId="18568"/>
    <cellStyle name="Normal 11 3 2 2 4 6 2" xfId="32593"/>
    <cellStyle name="Normal 11 3 2 2 4 7" xfId="24582"/>
    <cellStyle name="Normal 11 3 2 2 5" xfId="1946"/>
    <cellStyle name="Normal 11 3 2 2 5 2" xfId="12547"/>
    <cellStyle name="Normal 11 3 2 2 5 2 2" xfId="20572"/>
    <cellStyle name="Normal 11 3 2 2 5 2 2 2" xfId="34597"/>
    <cellStyle name="Normal 11 3 2 2 5 2 3" xfId="26586"/>
    <cellStyle name="Normal 11 3 2 2 5 3" xfId="14562"/>
    <cellStyle name="Normal 11 3 2 2 5 3 2" xfId="22577"/>
    <cellStyle name="Normal 11 3 2 2 5 3 2 2" xfId="36602"/>
    <cellStyle name="Normal 11 3 2 2 5 3 3" xfId="28591"/>
    <cellStyle name="Normal 11 3 2 2 5 4" xfId="16568"/>
    <cellStyle name="Normal 11 3 2 2 5 4 2" xfId="30593"/>
    <cellStyle name="Normal 11 3 2 2 5 5" xfId="18570"/>
    <cellStyle name="Normal 11 3 2 2 5 5 2" xfId="32595"/>
    <cellStyle name="Normal 11 3 2 2 5 6" xfId="24584"/>
    <cellStyle name="Normal 11 3 2 2 6" xfId="12538"/>
    <cellStyle name="Normal 11 3 2 2 6 2" xfId="20563"/>
    <cellStyle name="Normal 11 3 2 2 6 2 2" xfId="34588"/>
    <cellStyle name="Normal 11 3 2 2 6 3" xfId="26577"/>
    <cellStyle name="Normal 11 3 2 2 7" xfId="14553"/>
    <cellStyle name="Normal 11 3 2 2 7 2" xfId="22568"/>
    <cellStyle name="Normal 11 3 2 2 7 2 2" xfId="36593"/>
    <cellStyle name="Normal 11 3 2 2 7 3" xfId="28582"/>
    <cellStyle name="Normal 11 3 2 2 8" xfId="16559"/>
    <cellStyle name="Normal 11 3 2 2 8 2" xfId="30584"/>
    <cellStyle name="Normal 11 3 2 2 9" xfId="18561"/>
    <cellStyle name="Normal 11 3 2 2 9 2" xfId="32586"/>
    <cellStyle name="Normal 11 3 2 3" xfId="1947"/>
    <cellStyle name="Normal 11 3 2 3 2" xfId="1948"/>
    <cellStyle name="Normal 11 3 2 3 2 2" xfId="1949"/>
    <cellStyle name="Normal 11 3 2 3 2 2 2" xfId="12550"/>
    <cellStyle name="Normal 11 3 2 3 2 2 2 2" xfId="20575"/>
    <cellStyle name="Normal 11 3 2 3 2 2 2 2 2" xfId="34600"/>
    <cellStyle name="Normal 11 3 2 3 2 2 2 3" xfId="26589"/>
    <cellStyle name="Normal 11 3 2 3 2 2 3" xfId="14565"/>
    <cellStyle name="Normal 11 3 2 3 2 2 3 2" xfId="22580"/>
    <cellStyle name="Normal 11 3 2 3 2 2 3 2 2" xfId="36605"/>
    <cellStyle name="Normal 11 3 2 3 2 2 3 3" xfId="28594"/>
    <cellStyle name="Normal 11 3 2 3 2 2 4" xfId="16571"/>
    <cellStyle name="Normal 11 3 2 3 2 2 4 2" xfId="30596"/>
    <cellStyle name="Normal 11 3 2 3 2 2 5" xfId="18573"/>
    <cellStyle name="Normal 11 3 2 3 2 2 5 2" xfId="32598"/>
    <cellStyle name="Normal 11 3 2 3 2 2 6" xfId="24587"/>
    <cellStyle name="Normal 11 3 2 3 2 3" xfId="12549"/>
    <cellStyle name="Normal 11 3 2 3 2 3 2" xfId="20574"/>
    <cellStyle name="Normal 11 3 2 3 2 3 2 2" xfId="34599"/>
    <cellStyle name="Normal 11 3 2 3 2 3 3" xfId="26588"/>
    <cellStyle name="Normal 11 3 2 3 2 4" xfId="14564"/>
    <cellStyle name="Normal 11 3 2 3 2 4 2" xfId="22579"/>
    <cellStyle name="Normal 11 3 2 3 2 4 2 2" xfId="36604"/>
    <cellStyle name="Normal 11 3 2 3 2 4 3" xfId="28593"/>
    <cellStyle name="Normal 11 3 2 3 2 5" xfId="16570"/>
    <cellStyle name="Normal 11 3 2 3 2 5 2" xfId="30595"/>
    <cellStyle name="Normal 11 3 2 3 2 6" xfId="18572"/>
    <cellStyle name="Normal 11 3 2 3 2 6 2" xfId="32597"/>
    <cellStyle name="Normal 11 3 2 3 2 7" xfId="24586"/>
    <cellStyle name="Normal 11 3 2 3 3" xfId="1950"/>
    <cellStyle name="Normal 11 3 2 3 3 2" xfId="12551"/>
    <cellStyle name="Normal 11 3 2 3 3 2 2" xfId="20576"/>
    <cellStyle name="Normal 11 3 2 3 3 2 2 2" xfId="34601"/>
    <cellStyle name="Normal 11 3 2 3 3 2 3" xfId="26590"/>
    <cellStyle name="Normal 11 3 2 3 3 3" xfId="14566"/>
    <cellStyle name="Normal 11 3 2 3 3 3 2" xfId="22581"/>
    <cellStyle name="Normal 11 3 2 3 3 3 2 2" xfId="36606"/>
    <cellStyle name="Normal 11 3 2 3 3 3 3" xfId="28595"/>
    <cellStyle name="Normal 11 3 2 3 3 4" xfId="16572"/>
    <cellStyle name="Normal 11 3 2 3 3 4 2" xfId="30597"/>
    <cellStyle name="Normal 11 3 2 3 3 5" xfId="18574"/>
    <cellStyle name="Normal 11 3 2 3 3 5 2" xfId="32599"/>
    <cellStyle name="Normal 11 3 2 3 3 6" xfId="24588"/>
    <cellStyle name="Normal 11 3 2 3 4" xfId="12548"/>
    <cellStyle name="Normal 11 3 2 3 4 2" xfId="20573"/>
    <cellStyle name="Normal 11 3 2 3 4 2 2" xfId="34598"/>
    <cellStyle name="Normal 11 3 2 3 4 3" xfId="26587"/>
    <cellStyle name="Normal 11 3 2 3 5" xfId="14563"/>
    <cellStyle name="Normal 11 3 2 3 5 2" xfId="22578"/>
    <cellStyle name="Normal 11 3 2 3 5 2 2" xfId="36603"/>
    <cellStyle name="Normal 11 3 2 3 5 3" xfId="28592"/>
    <cellStyle name="Normal 11 3 2 3 6" xfId="16569"/>
    <cellStyle name="Normal 11 3 2 3 6 2" xfId="30594"/>
    <cellStyle name="Normal 11 3 2 3 7" xfId="18571"/>
    <cellStyle name="Normal 11 3 2 3 7 2" xfId="32596"/>
    <cellStyle name="Normal 11 3 2 3 8" xfId="24585"/>
    <cellStyle name="Normal 11 3 2 4" xfId="1951"/>
    <cellStyle name="Normal 11 3 2 4 2" xfId="1952"/>
    <cellStyle name="Normal 11 3 2 4 2 2" xfId="12553"/>
    <cellStyle name="Normal 11 3 2 4 2 2 2" xfId="20578"/>
    <cellStyle name="Normal 11 3 2 4 2 2 2 2" xfId="34603"/>
    <cellStyle name="Normal 11 3 2 4 2 2 3" xfId="26592"/>
    <cellStyle name="Normal 11 3 2 4 2 3" xfId="14568"/>
    <cellStyle name="Normal 11 3 2 4 2 3 2" xfId="22583"/>
    <cellStyle name="Normal 11 3 2 4 2 3 2 2" xfId="36608"/>
    <cellStyle name="Normal 11 3 2 4 2 3 3" xfId="28597"/>
    <cellStyle name="Normal 11 3 2 4 2 4" xfId="16574"/>
    <cellStyle name="Normal 11 3 2 4 2 4 2" xfId="30599"/>
    <cellStyle name="Normal 11 3 2 4 2 5" xfId="18576"/>
    <cellStyle name="Normal 11 3 2 4 2 5 2" xfId="32601"/>
    <cellStyle name="Normal 11 3 2 4 2 6" xfId="24590"/>
    <cellStyle name="Normal 11 3 2 4 3" xfId="12552"/>
    <cellStyle name="Normal 11 3 2 4 3 2" xfId="20577"/>
    <cellStyle name="Normal 11 3 2 4 3 2 2" xfId="34602"/>
    <cellStyle name="Normal 11 3 2 4 3 3" xfId="26591"/>
    <cellStyle name="Normal 11 3 2 4 4" xfId="14567"/>
    <cellStyle name="Normal 11 3 2 4 4 2" xfId="22582"/>
    <cellStyle name="Normal 11 3 2 4 4 2 2" xfId="36607"/>
    <cellStyle name="Normal 11 3 2 4 4 3" xfId="28596"/>
    <cellStyle name="Normal 11 3 2 4 5" xfId="16573"/>
    <cellStyle name="Normal 11 3 2 4 5 2" xfId="30598"/>
    <cellStyle name="Normal 11 3 2 4 6" xfId="18575"/>
    <cellStyle name="Normal 11 3 2 4 6 2" xfId="32600"/>
    <cellStyle name="Normal 11 3 2 4 7" xfId="24589"/>
    <cellStyle name="Normal 11 3 2 5" xfId="1953"/>
    <cellStyle name="Normal 11 3 2 5 2" xfId="1954"/>
    <cellStyle name="Normal 11 3 2 5 2 2" xfId="12555"/>
    <cellStyle name="Normal 11 3 2 5 2 2 2" xfId="20580"/>
    <cellStyle name="Normal 11 3 2 5 2 2 2 2" xfId="34605"/>
    <cellStyle name="Normal 11 3 2 5 2 2 3" xfId="26594"/>
    <cellStyle name="Normal 11 3 2 5 2 3" xfId="14570"/>
    <cellStyle name="Normal 11 3 2 5 2 3 2" xfId="22585"/>
    <cellStyle name="Normal 11 3 2 5 2 3 2 2" xfId="36610"/>
    <cellStyle name="Normal 11 3 2 5 2 3 3" xfId="28599"/>
    <cellStyle name="Normal 11 3 2 5 2 4" xfId="16576"/>
    <cellStyle name="Normal 11 3 2 5 2 4 2" xfId="30601"/>
    <cellStyle name="Normal 11 3 2 5 2 5" xfId="18578"/>
    <cellStyle name="Normal 11 3 2 5 2 5 2" xfId="32603"/>
    <cellStyle name="Normal 11 3 2 5 2 6" xfId="24592"/>
    <cellStyle name="Normal 11 3 2 5 3" xfId="12554"/>
    <cellStyle name="Normal 11 3 2 5 3 2" xfId="20579"/>
    <cellStyle name="Normal 11 3 2 5 3 2 2" xfId="34604"/>
    <cellStyle name="Normal 11 3 2 5 3 3" xfId="26593"/>
    <cellStyle name="Normal 11 3 2 5 4" xfId="14569"/>
    <cellStyle name="Normal 11 3 2 5 4 2" xfId="22584"/>
    <cellStyle name="Normal 11 3 2 5 4 2 2" xfId="36609"/>
    <cellStyle name="Normal 11 3 2 5 4 3" xfId="28598"/>
    <cellStyle name="Normal 11 3 2 5 5" xfId="16575"/>
    <cellStyle name="Normal 11 3 2 5 5 2" xfId="30600"/>
    <cellStyle name="Normal 11 3 2 5 6" xfId="18577"/>
    <cellStyle name="Normal 11 3 2 5 6 2" xfId="32602"/>
    <cellStyle name="Normal 11 3 2 5 7" xfId="24591"/>
    <cellStyle name="Normal 11 3 2 6" xfId="1955"/>
    <cellStyle name="Normal 11 3 2 6 2" xfId="12556"/>
    <cellStyle name="Normal 11 3 2 6 2 2" xfId="20581"/>
    <cellStyle name="Normal 11 3 2 6 2 2 2" xfId="34606"/>
    <cellStyle name="Normal 11 3 2 6 2 3" xfId="26595"/>
    <cellStyle name="Normal 11 3 2 6 3" xfId="14571"/>
    <cellStyle name="Normal 11 3 2 6 3 2" xfId="22586"/>
    <cellStyle name="Normal 11 3 2 6 3 2 2" xfId="36611"/>
    <cellStyle name="Normal 11 3 2 6 3 3" xfId="28600"/>
    <cellStyle name="Normal 11 3 2 6 4" xfId="16577"/>
    <cellStyle name="Normal 11 3 2 6 4 2" xfId="30602"/>
    <cellStyle name="Normal 11 3 2 6 5" xfId="18579"/>
    <cellStyle name="Normal 11 3 2 6 5 2" xfId="32604"/>
    <cellStyle name="Normal 11 3 2 6 6" xfId="24593"/>
    <cellStyle name="Normal 11 3 2 7" xfId="12537"/>
    <cellStyle name="Normal 11 3 2 7 2" xfId="20562"/>
    <cellStyle name="Normal 11 3 2 7 2 2" xfId="34587"/>
    <cellStyle name="Normal 11 3 2 7 3" xfId="26576"/>
    <cellStyle name="Normal 11 3 2 8" xfId="14552"/>
    <cellStyle name="Normal 11 3 2 8 2" xfId="22567"/>
    <cellStyle name="Normal 11 3 2 8 2 2" xfId="36592"/>
    <cellStyle name="Normal 11 3 2 8 3" xfId="28581"/>
    <cellStyle name="Normal 11 3 2 9" xfId="16558"/>
    <cellStyle name="Normal 11 3 2 9 2" xfId="30583"/>
    <cellStyle name="Normal 11 3 3" xfId="1956"/>
    <cellStyle name="Normal 11 3 3 10" xfId="24594"/>
    <cellStyle name="Normal 11 3 3 2" xfId="1957"/>
    <cellStyle name="Normal 11 3 3 2 2" xfId="1958"/>
    <cellStyle name="Normal 11 3 3 2 2 2" xfId="1959"/>
    <cellStyle name="Normal 11 3 3 2 2 2 2" xfId="12560"/>
    <cellStyle name="Normal 11 3 3 2 2 2 2 2" xfId="20585"/>
    <cellStyle name="Normal 11 3 3 2 2 2 2 2 2" xfId="34610"/>
    <cellStyle name="Normal 11 3 3 2 2 2 2 3" xfId="26599"/>
    <cellStyle name="Normal 11 3 3 2 2 2 3" xfId="14575"/>
    <cellStyle name="Normal 11 3 3 2 2 2 3 2" xfId="22590"/>
    <cellStyle name="Normal 11 3 3 2 2 2 3 2 2" xfId="36615"/>
    <cellStyle name="Normal 11 3 3 2 2 2 3 3" xfId="28604"/>
    <cellStyle name="Normal 11 3 3 2 2 2 4" xfId="16581"/>
    <cellStyle name="Normal 11 3 3 2 2 2 4 2" xfId="30606"/>
    <cellStyle name="Normal 11 3 3 2 2 2 5" xfId="18583"/>
    <cellStyle name="Normal 11 3 3 2 2 2 5 2" xfId="32608"/>
    <cellStyle name="Normal 11 3 3 2 2 2 6" xfId="24597"/>
    <cellStyle name="Normal 11 3 3 2 2 3" xfId="12559"/>
    <cellStyle name="Normal 11 3 3 2 2 3 2" xfId="20584"/>
    <cellStyle name="Normal 11 3 3 2 2 3 2 2" xfId="34609"/>
    <cellStyle name="Normal 11 3 3 2 2 3 3" xfId="26598"/>
    <cellStyle name="Normal 11 3 3 2 2 4" xfId="14574"/>
    <cellStyle name="Normal 11 3 3 2 2 4 2" xfId="22589"/>
    <cellStyle name="Normal 11 3 3 2 2 4 2 2" xfId="36614"/>
    <cellStyle name="Normal 11 3 3 2 2 4 3" xfId="28603"/>
    <cellStyle name="Normal 11 3 3 2 2 5" xfId="16580"/>
    <cellStyle name="Normal 11 3 3 2 2 5 2" xfId="30605"/>
    <cellStyle name="Normal 11 3 3 2 2 6" xfId="18582"/>
    <cellStyle name="Normal 11 3 3 2 2 6 2" xfId="32607"/>
    <cellStyle name="Normal 11 3 3 2 2 7" xfId="24596"/>
    <cellStyle name="Normal 11 3 3 2 3" xfId="1960"/>
    <cellStyle name="Normal 11 3 3 2 3 2" xfId="12561"/>
    <cellStyle name="Normal 11 3 3 2 3 2 2" xfId="20586"/>
    <cellStyle name="Normal 11 3 3 2 3 2 2 2" xfId="34611"/>
    <cellStyle name="Normal 11 3 3 2 3 2 3" xfId="26600"/>
    <cellStyle name="Normal 11 3 3 2 3 3" xfId="14576"/>
    <cellStyle name="Normal 11 3 3 2 3 3 2" xfId="22591"/>
    <cellStyle name="Normal 11 3 3 2 3 3 2 2" xfId="36616"/>
    <cellStyle name="Normal 11 3 3 2 3 3 3" xfId="28605"/>
    <cellStyle name="Normal 11 3 3 2 3 4" xfId="16582"/>
    <cellStyle name="Normal 11 3 3 2 3 4 2" xfId="30607"/>
    <cellStyle name="Normal 11 3 3 2 3 5" xfId="18584"/>
    <cellStyle name="Normal 11 3 3 2 3 5 2" xfId="32609"/>
    <cellStyle name="Normal 11 3 3 2 3 6" xfId="24598"/>
    <cellStyle name="Normal 11 3 3 2 4" xfId="12558"/>
    <cellStyle name="Normal 11 3 3 2 4 2" xfId="20583"/>
    <cellStyle name="Normal 11 3 3 2 4 2 2" xfId="34608"/>
    <cellStyle name="Normal 11 3 3 2 4 3" xfId="26597"/>
    <cellStyle name="Normal 11 3 3 2 5" xfId="14573"/>
    <cellStyle name="Normal 11 3 3 2 5 2" xfId="22588"/>
    <cellStyle name="Normal 11 3 3 2 5 2 2" xfId="36613"/>
    <cellStyle name="Normal 11 3 3 2 5 3" xfId="28602"/>
    <cellStyle name="Normal 11 3 3 2 6" xfId="16579"/>
    <cellStyle name="Normal 11 3 3 2 6 2" xfId="30604"/>
    <cellStyle name="Normal 11 3 3 2 7" xfId="18581"/>
    <cellStyle name="Normal 11 3 3 2 7 2" xfId="32606"/>
    <cellStyle name="Normal 11 3 3 2 8" xfId="24595"/>
    <cellStyle name="Normal 11 3 3 3" xfId="1961"/>
    <cellStyle name="Normal 11 3 3 3 2" xfId="1962"/>
    <cellStyle name="Normal 11 3 3 3 2 2" xfId="12563"/>
    <cellStyle name="Normal 11 3 3 3 2 2 2" xfId="20588"/>
    <cellStyle name="Normal 11 3 3 3 2 2 2 2" xfId="34613"/>
    <cellStyle name="Normal 11 3 3 3 2 2 3" xfId="26602"/>
    <cellStyle name="Normal 11 3 3 3 2 3" xfId="14578"/>
    <cellStyle name="Normal 11 3 3 3 2 3 2" xfId="22593"/>
    <cellStyle name="Normal 11 3 3 3 2 3 2 2" xfId="36618"/>
    <cellStyle name="Normal 11 3 3 3 2 3 3" xfId="28607"/>
    <cellStyle name="Normal 11 3 3 3 2 4" xfId="16584"/>
    <cellStyle name="Normal 11 3 3 3 2 4 2" xfId="30609"/>
    <cellStyle name="Normal 11 3 3 3 2 5" xfId="18586"/>
    <cellStyle name="Normal 11 3 3 3 2 5 2" xfId="32611"/>
    <cellStyle name="Normal 11 3 3 3 2 6" xfId="24600"/>
    <cellStyle name="Normal 11 3 3 3 3" xfId="12562"/>
    <cellStyle name="Normal 11 3 3 3 3 2" xfId="20587"/>
    <cellStyle name="Normal 11 3 3 3 3 2 2" xfId="34612"/>
    <cellStyle name="Normal 11 3 3 3 3 3" xfId="26601"/>
    <cellStyle name="Normal 11 3 3 3 4" xfId="14577"/>
    <cellStyle name="Normal 11 3 3 3 4 2" xfId="22592"/>
    <cellStyle name="Normal 11 3 3 3 4 2 2" xfId="36617"/>
    <cellStyle name="Normal 11 3 3 3 4 3" xfId="28606"/>
    <cellStyle name="Normal 11 3 3 3 5" xfId="16583"/>
    <cellStyle name="Normal 11 3 3 3 5 2" xfId="30608"/>
    <cellStyle name="Normal 11 3 3 3 6" xfId="18585"/>
    <cellStyle name="Normal 11 3 3 3 6 2" xfId="32610"/>
    <cellStyle name="Normal 11 3 3 3 7" xfId="24599"/>
    <cellStyle name="Normal 11 3 3 4" xfId="1963"/>
    <cellStyle name="Normal 11 3 3 4 2" xfId="1964"/>
    <cellStyle name="Normal 11 3 3 4 2 2" xfId="12565"/>
    <cellStyle name="Normal 11 3 3 4 2 2 2" xfId="20590"/>
    <cellStyle name="Normal 11 3 3 4 2 2 2 2" xfId="34615"/>
    <cellStyle name="Normal 11 3 3 4 2 2 3" xfId="26604"/>
    <cellStyle name="Normal 11 3 3 4 2 3" xfId="14580"/>
    <cellStyle name="Normal 11 3 3 4 2 3 2" xfId="22595"/>
    <cellStyle name="Normal 11 3 3 4 2 3 2 2" xfId="36620"/>
    <cellStyle name="Normal 11 3 3 4 2 3 3" xfId="28609"/>
    <cellStyle name="Normal 11 3 3 4 2 4" xfId="16586"/>
    <cellStyle name="Normal 11 3 3 4 2 4 2" xfId="30611"/>
    <cellStyle name="Normal 11 3 3 4 2 5" xfId="18588"/>
    <cellStyle name="Normal 11 3 3 4 2 5 2" xfId="32613"/>
    <cellStyle name="Normal 11 3 3 4 2 6" xfId="24602"/>
    <cellStyle name="Normal 11 3 3 4 3" xfId="12564"/>
    <cellStyle name="Normal 11 3 3 4 3 2" xfId="20589"/>
    <cellStyle name="Normal 11 3 3 4 3 2 2" xfId="34614"/>
    <cellStyle name="Normal 11 3 3 4 3 3" xfId="26603"/>
    <cellStyle name="Normal 11 3 3 4 4" xfId="14579"/>
    <cellStyle name="Normal 11 3 3 4 4 2" xfId="22594"/>
    <cellStyle name="Normal 11 3 3 4 4 2 2" xfId="36619"/>
    <cellStyle name="Normal 11 3 3 4 4 3" xfId="28608"/>
    <cellStyle name="Normal 11 3 3 4 5" xfId="16585"/>
    <cellStyle name="Normal 11 3 3 4 5 2" xfId="30610"/>
    <cellStyle name="Normal 11 3 3 4 6" xfId="18587"/>
    <cellStyle name="Normal 11 3 3 4 6 2" xfId="32612"/>
    <cellStyle name="Normal 11 3 3 4 7" xfId="24601"/>
    <cellStyle name="Normal 11 3 3 5" xfId="1965"/>
    <cellStyle name="Normal 11 3 3 5 2" xfId="12566"/>
    <cellStyle name="Normal 11 3 3 5 2 2" xfId="20591"/>
    <cellStyle name="Normal 11 3 3 5 2 2 2" xfId="34616"/>
    <cellStyle name="Normal 11 3 3 5 2 3" xfId="26605"/>
    <cellStyle name="Normal 11 3 3 5 3" xfId="14581"/>
    <cellStyle name="Normal 11 3 3 5 3 2" xfId="22596"/>
    <cellStyle name="Normal 11 3 3 5 3 2 2" xfId="36621"/>
    <cellStyle name="Normal 11 3 3 5 3 3" xfId="28610"/>
    <cellStyle name="Normal 11 3 3 5 4" xfId="16587"/>
    <cellStyle name="Normal 11 3 3 5 4 2" xfId="30612"/>
    <cellStyle name="Normal 11 3 3 5 5" xfId="18589"/>
    <cellStyle name="Normal 11 3 3 5 5 2" xfId="32614"/>
    <cellStyle name="Normal 11 3 3 5 6" xfId="24603"/>
    <cellStyle name="Normal 11 3 3 6" xfId="12557"/>
    <cellStyle name="Normal 11 3 3 6 2" xfId="20582"/>
    <cellStyle name="Normal 11 3 3 6 2 2" xfId="34607"/>
    <cellStyle name="Normal 11 3 3 6 3" xfId="26596"/>
    <cellStyle name="Normal 11 3 3 7" xfId="14572"/>
    <cellStyle name="Normal 11 3 3 7 2" xfId="22587"/>
    <cellStyle name="Normal 11 3 3 7 2 2" xfId="36612"/>
    <cellStyle name="Normal 11 3 3 7 3" xfId="28601"/>
    <cellStyle name="Normal 11 3 3 8" xfId="16578"/>
    <cellStyle name="Normal 11 3 3 8 2" xfId="30603"/>
    <cellStyle name="Normal 11 3 3 9" xfId="18580"/>
    <cellStyle name="Normal 11 3 3 9 2" xfId="32605"/>
    <cellStyle name="Normal 11 3 4" xfId="1966"/>
    <cellStyle name="Normal 11 3 4 2" xfId="1967"/>
    <cellStyle name="Normal 11 3 4 2 2" xfId="1968"/>
    <cellStyle name="Normal 11 3 4 2 2 2" xfId="12569"/>
    <cellStyle name="Normal 11 3 4 2 2 2 2" xfId="20594"/>
    <cellStyle name="Normal 11 3 4 2 2 2 2 2" xfId="34619"/>
    <cellStyle name="Normal 11 3 4 2 2 2 3" xfId="26608"/>
    <cellStyle name="Normal 11 3 4 2 2 3" xfId="14584"/>
    <cellStyle name="Normal 11 3 4 2 2 3 2" xfId="22599"/>
    <cellStyle name="Normal 11 3 4 2 2 3 2 2" xfId="36624"/>
    <cellStyle name="Normal 11 3 4 2 2 3 3" xfId="28613"/>
    <cellStyle name="Normal 11 3 4 2 2 4" xfId="16590"/>
    <cellStyle name="Normal 11 3 4 2 2 4 2" xfId="30615"/>
    <cellStyle name="Normal 11 3 4 2 2 5" xfId="18592"/>
    <cellStyle name="Normal 11 3 4 2 2 5 2" xfId="32617"/>
    <cellStyle name="Normal 11 3 4 2 2 6" xfId="24606"/>
    <cellStyle name="Normal 11 3 4 2 3" xfId="12568"/>
    <cellStyle name="Normal 11 3 4 2 3 2" xfId="20593"/>
    <cellStyle name="Normal 11 3 4 2 3 2 2" xfId="34618"/>
    <cellStyle name="Normal 11 3 4 2 3 3" xfId="26607"/>
    <cellStyle name="Normal 11 3 4 2 4" xfId="14583"/>
    <cellStyle name="Normal 11 3 4 2 4 2" xfId="22598"/>
    <cellStyle name="Normal 11 3 4 2 4 2 2" xfId="36623"/>
    <cellStyle name="Normal 11 3 4 2 4 3" xfId="28612"/>
    <cellStyle name="Normal 11 3 4 2 5" xfId="16589"/>
    <cellStyle name="Normal 11 3 4 2 5 2" xfId="30614"/>
    <cellStyle name="Normal 11 3 4 2 6" xfId="18591"/>
    <cellStyle name="Normal 11 3 4 2 6 2" xfId="32616"/>
    <cellStyle name="Normal 11 3 4 2 7" xfId="24605"/>
    <cellStyle name="Normal 11 3 4 3" xfId="1969"/>
    <cellStyle name="Normal 11 3 4 3 2" xfId="12570"/>
    <cellStyle name="Normal 11 3 4 3 2 2" xfId="20595"/>
    <cellStyle name="Normal 11 3 4 3 2 2 2" xfId="34620"/>
    <cellStyle name="Normal 11 3 4 3 2 3" xfId="26609"/>
    <cellStyle name="Normal 11 3 4 3 3" xfId="14585"/>
    <cellStyle name="Normal 11 3 4 3 3 2" xfId="22600"/>
    <cellStyle name="Normal 11 3 4 3 3 2 2" xfId="36625"/>
    <cellStyle name="Normal 11 3 4 3 3 3" xfId="28614"/>
    <cellStyle name="Normal 11 3 4 3 4" xfId="16591"/>
    <cellStyle name="Normal 11 3 4 3 4 2" xfId="30616"/>
    <cellStyle name="Normal 11 3 4 3 5" xfId="18593"/>
    <cellStyle name="Normal 11 3 4 3 5 2" xfId="32618"/>
    <cellStyle name="Normal 11 3 4 3 6" xfId="24607"/>
    <cellStyle name="Normal 11 3 4 4" xfId="12567"/>
    <cellStyle name="Normal 11 3 4 4 2" xfId="20592"/>
    <cellStyle name="Normal 11 3 4 4 2 2" xfId="34617"/>
    <cellStyle name="Normal 11 3 4 4 3" xfId="26606"/>
    <cellStyle name="Normal 11 3 4 5" xfId="14582"/>
    <cellStyle name="Normal 11 3 4 5 2" xfId="22597"/>
    <cellStyle name="Normal 11 3 4 5 2 2" xfId="36622"/>
    <cellStyle name="Normal 11 3 4 5 3" xfId="28611"/>
    <cellStyle name="Normal 11 3 4 6" xfId="16588"/>
    <cellStyle name="Normal 11 3 4 6 2" xfId="30613"/>
    <cellStyle name="Normal 11 3 4 7" xfId="18590"/>
    <cellStyle name="Normal 11 3 4 7 2" xfId="32615"/>
    <cellStyle name="Normal 11 3 4 8" xfId="24604"/>
    <cellStyle name="Normal 11 3 5" xfId="1970"/>
    <cellStyle name="Normal 11 3 5 2" xfId="1971"/>
    <cellStyle name="Normal 11 3 5 2 2" xfId="12572"/>
    <cellStyle name="Normal 11 3 5 2 2 2" xfId="20597"/>
    <cellStyle name="Normal 11 3 5 2 2 2 2" xfId="34622"/>
    <cellStyle name="Normal 11 3 5 2 2 3" xfId="26611"/>
    <cellStyle name="Normal 11 3 5 2 3" xfId="14587"/>
    <cellStyle name="Normal 11 3 5 2 3 2" xfId="22602"/>
    <cellStyle name="Normal 11 3 5 2 3 2 2" xfId="36627"/>
    <cellStyle name="Normal 11 3 5 2 3 3" xfId="28616"/>
    <cellStyle name="Normal 11 3 5 2 4" xfId="16593"/>
    <cellStyle name="Normal 11 3 5 2 4 2" xfId="30618"/>
    <cellStyle name="Normal 11 3 5 2 5" xfId="18595"/>
    <cellStyle name="Normal 11 3 5 2 5 2" xfId="32620"/>
    <cellStyle name="Normal 11 3 5 2 6" xfId="24609"/>
    <cellStyle name="Normal 11 3 5 3" xfId="12571"/>
    <cellStyle name="Normal 11 3 5 3 2" xfId="20596"/>
    <cellStyle name="Normal 11 3 5 3 2 2" xfId="34621"/>
    <cellStyle name="Normal 11 3 5 3 3" xfId="26610"/>
    <cellStyle name="Normal 11 3 5 4" xfId="14586"/>
    <cellStyle name="Normal 11 3 5 4 2" xfId="22601"/>
    <cellStyle name="Normal 11 3 5 4 2 2" xfId="36626"/>
    <cellStyle name="Normal 11 3 5 4 3" xfId="28615"/>
    <cellStyle name="Normal 11 3 5 5" xfId="16592"/>
    <cellStyle name="Normal 11 3 5 5 2" xfId="30617"/>
    <cellStyle name="Normal 11 3 5 6" xfId="18594"/>
    <cellStyle name="Normal 11 3 5 6 2" xfId="32619"/>
    <cellStyle name="Normal 11 3 5 7" xfId="24608"/>
    <cellStyle name="Normal 11 3 6" xfId="1972"/>
    <cellStyle name="Normal 11 3 6 2" xfId="1973"/>
    <cellStyle name="Normal 11 3 6 2 2" xfId="12574"/>
    <cellStyle name="Normal 11 3 6 2 2 2" xfId="20599"/>
    <cellStyle name="Normal 11 3 6 2 2 2 2" xfId="34624"/>
    <cellStyle name="Normal 11 3 6 2 2 3" xfId="26613"/>
    <cellStyle name="Normal 11 3 6 2 3" xfId="14589"/>
    <cellStyle name="Normal 11 3 6 2 3 2" xfId="22604"/>
    <cellStyle name="Normal 11 3 6 2 3 2 2" xfId="36629"/>
    <cellStyle name="Normal 11 3 6 2 3 3" xfId="28618"/>
    <cellStyle name="Normal 11 3 6 2 4" xfId="16595"/>
    <cellStyle name="Normal 11 3 6 2 4 2" xfId="30620"/>
    <cellStyle name="Normal 11 3 6 2 5" xfId="18597"/>
    <cellStyle name="Normal 11 3 6 2 5 2" xfId="32622"/>
    <cellStyle name="Normal 11 3 6 2 6" xfId="24611"/>
    <cellStyle name="Normal 11 3 6 3" xfId="12573"/>
    <cellStyle name="Normal 11 3 6 3 2" xfId="20598"/>
    <cellStyle name="Normal 11 3 6 3 2 2" xfId="34623"/>
    <cellStyle name="Normal 11 3 6 3 3" xfId="26612"/>
    <cellStyle name="Normal 11 3 6 4" xfId="14588"/>
    <cellStyle name="Normal 11 3 6 4 2" xfId="22603"/>
    <cellStyle name="Normal 11 3 6 4 2 2" xfId="36628"/>
    <cellStyle name="Normal 11 3 6 4 3" xfId="28617"/>
    <cellStyle name="Normal 11 3 6 5" xfId="16594"/>
    <cellStyle name="Normal 11 3 6 5 2" xfId="30619"/>
    <cellStyle name="Normal 11 3 6 6" xfId="18596"/>
    <cellStyle name="Normal 11 3 6 6 2" xfId="32621"/>
    <cellStyle name="Normal 11 3 6 7" xfId="24610"/>
    <cellStyle name="Normal 11 3 7" xfId="1974"/>
    <cellStyle name="Normal 11 3 7 2" xfId="12575"/>
    <cellStyle name="Normal 11 3 7 2 2" xfId="20600"/>
    <cellStyle name="Normal 11 3 7 2 2 2" xfId="34625"/>
    <cellStyle name="Normal 11 3 7 2 3" xfId="26614"/>
    <cellStyle name="Normal 11 3 7 3" xfId="14590"/>
    <cellStyle name="Normal 11 3 7 3 2" xfId="22605"/>
    <cellStyle name="Normal 11 3 7 3 2 2" xfId="36630"/>
    <cellStyle name="Normal 11 3 7 3 3" xfId="28619"/>
    <cellStyle name="Normal 11 3 7 4" xfId="16596"/>
    <cellStyle name="Normal 11 3 7 4 2" xfId="30621"/>
    <cellStyle name="Normal 11 3 7 5" xfId="18598"/>
    <cellStyle name="Normal 11 3 7 5 2" xfId="32623"/>
    <cellStyle name="Normal 11 3 7 6" xfId="24612"/>
    <cellStyle name="Normal 11 3 8" xfId="12536"/>
    <cellStyle name="Normal 11 3 8 2" xfId="20561"/>
    <cellStyle name="Normal 11 3 8 2 2" xfId="34586"/>
    <cellStyle name="Normal 11 3 8 3" xfId="26575"/>
    <cellStyle name="Normal 11 3 9" xfId="14551"/>
    <cellStyle name="Normal 11 3 9 2" xfId="22566"/>
    <cellStyle name="Normal 11 3 9 2 2" xfId="36591"/>
    <cellStyle name="Normal 11 3 9 3" xfId="28580"/>
    <cellStyle name="Normal 11 4" xfId="1975"/>
    <cellStyle name="Normal 11 4 10" xfId="18599"/>
    <cellStyle name="Normal 11 4 10 2" xfId="32624"/>
    <cellStyle name="Normal 11 4 11" xfId="24613"/>
    <cellStyle name="Normal 11 4 2" xfId="1976"/>
    <cellStyle name="Normal 11 4 2 10" xfId="24614"/>
    <cellStyle name="Normal 11 4 2 2" xfId="1977"/>
    <cellStyle name="Normal 11 4 2 2 2" xfId="1978"/>
    <cellStyle name="Normal 11 4 2 2 2 2" xfId="1979"/>
    <cellStyle name="Normal 11 4 2 2 2 2 2" xfId="12580"/>
    <cellStyle name="Normal 11 4 2 2 2 2 2 2" xfId="20605"/>
    <cellStyle name="Normal 11 4 2 2 2 2 2 2 2" xfId="34630"/>
    <cellStyle name="Normal 11 4 2 2 2 2 2 3" xfId="26619"/>
    <cellStyle name="Normal 11 4 2 2 2 2 3" xfId="14595"/>
    <cellStyle name="Normal 11 4 2 2 2 2 3 2" xfId="22610"/>
    <cellStyle name="Normal 11 4 2 2 2 2 3 2 2" xfId="36635"/>
    <cellStyle name="Normal 11 4 2 2 2 2 3 3" xfId="28624"/>
    <cellStyle name="Normal 11 4 2 2 2 2 4" xfId="16601"/>
    <cellStyle name="Normal 11 4 2 2 2 2 4 2" xfId="30626"/>
    <cellStyle name="Normal 11 4 2 2 2 2 5" xfId="18603"/>
    <cellStyle name="Normal 11 4 2 2 2 2 5 2" xfId="32628"/>
    <cellStyle name="Normal 11 4 2 2 2 2 6" xfId="24617"/>
    <cellStyle name="Normal 11 4 2 2 2 3" xfId="12579"/>
    <cellStyle name="Normal 11 4 2 2 2 3 2" xfId="20604"/>
    <cellStyle name="Normal 11 4 2 2 2 3 2 2" xfId="34629"/>
    <cellStyle name="Normal 11 4 2 2 2 3 3" xfId="26618"/>
    <cellStyle name="Normal 11 4 2 2 2 4" xfId="14594"/>
    <cellStyle name="Normal 11 4 2 2 2 4 2" xfId="22609"/>
    <cellStyle name="Normal 11 4 2 2 2 4 2 2" xfId="36634"/>
    <cellStyle name="Normal 11 4 2 2 2 4 3" xfId="28623"/>
    <cellStyle name="Normal 11 4 2 2 2 5" xfId="16600"/>
    <cellStyle name="Normal 11 4 2 2 2 5 2" xfId="30625"/>
    <cellStyle name="Normal 11 4 2 2 2 6" xfId="18602"/>
    <cellStyle name="Normal 11 4 2 2 2 6 2" xfId="32627"/>
    <cellStyle name="Normal 11 4 2 2 2 7" xfId="24616"/>
    <cellStyle name="Normal 11 4 2 2 3" xfId="1980"/>
    <cellStyle name="Normal 11 4 2 2 3 2" xfId="12581"/>
    <cellStyle name="Normal 11 4 2 2 3 2 2" xfId="20606"/>
    <cellStyle name="Normal 11 4 2 2 3 2 2 2" xfId="34631"/>
    <cellStyle name="Normal 11 4 2 2 3 2 3" xfId="26620"/>
    <cellStyle name="Normal 11 4 2 2 3 3" xfId="14596"/>
    <cellStyle name="Normal 11 4 2 2 3 3 2" xfId="22611"/>
    <cellStyle name="Normal 11 4 2 2 3 3 2 2" xfId="36636"/>
    <cellStyle name="Normal 11 4 2 2 3 3 3" xfId="28625"/>
    <cellStyle name="Normal 11 4 2 2 3 4" xfId="16602"/>
    <cellStyle name="Normal 11 4 2 2 3 4 2" xfId="30627"/>
    <cellStyle name="Normal 11 4 2 2 3 5" xfId="18604"/>
    <cellStyle name="Normal 11 4 2 2 3 5 2" xfId="32629"/>
    <cellStyle name="Normal 11 4 2 2 3 6" xfId="24618"/>
    <cellStyle name="Normal 11 4 2 2 4" xfId="12578"/>
    <cellStyle name="Normal 11 4 2 2 4 2" xfId="20603"/>
    <cellStyle name="Normal 11 4 2 2 4 2 2" xfId="34628"/>
    <cellStyle name="Normal 11 4 2 2 4 3" xfId="26617"/>
    <cellStyle name="Normal 11 4 2 2 5" xfId="14593"/>
    <cellStyle name="Normal 11 4 2 2 5 2" xfId="22608"/>
    <cellStyle name="Normal 11 4 2 2 5 2 2" xfId="36633"/>
    <cellStyle name="Normal 11 4 2 2 5 3" xfId="28622"/>
    <cellStyle name="Normal 11 4 2 2 6" xfId="16599"/>
    <cellStyle name="Normal 11 4 2 2 6 2" xfId="30624"/>
    <cellStyle name="Normal 11 4 2 2 7" xfId="18601"/>
    <cellStyle name="Normal 11 4 2 2 7 2" xfId="32626"/>
    <cellStyle name="Normal 11 4 2 2 8" xfId="24615"/>
    <cellStyle name="Normal 11 4 2 3" xfId="1981"/>
    <cellStyle name="Normal 11 4 2 3 2" xfId="1982"/>
    <cellStyle name="Normal 11 4 2 3 2 2" xfId="12583"/>
    <cellStyle name="Normal 11 4 2 3 2 2 2" xfId="20608"/>
    <cellStyle name="Normal 11 4 2 3 2 2 2 2" xfId="34633"/>
    <cellStyle name="Normal 11 4 2 3 2 2 3" xfId="26622"/>
    <cellStyle name="Normal 11 4 2 3 2 3" xfId="14598"/>
    <cellStyle name="Normal 11 4 2 3 2 3 2" xfId="22613"/>
    <cellStyle name="Normal 11 4 2 3 2 3 2 2" xfId="36638"/>
    <cellStyle name="Normal 11 4 2 3 2 3 3" xfId="28627"/>
    <cellStyle name="Normal 11 4 2 3 2 4" xfId="16604"/>
    <cellStyle name="Normal 11 4 2 3 2 4 2" xfId="30629"/>
    <cellStyle name="Normal 11 4 2 3 2 5" xfId="18606"/>
    <cellStyle name="Normal 11 4 2 3 2 5 2" xfId="32631"/>
    <cellStyle name="Normal 11 4 2 3 2 6" xfId="24620"/>
    <cellStyle name="Normal 11 4 2 3 3" xfId="12582"/>
    <cellStyle name="Normal 11 4 2 3 3 2" xfId="20607"/>
    <cellStyle name="Normal 11 4 2 3 3 2 2" xfId="34632"/>
    <cellStyle name="Normal 11 4 2 3 3 3" xfId="26621"/>
    <cellStyle name="Normal 11 4 2 3 4" xfId="14597"/>
    <cellStyle name="Normal 11 4 2 3 4 2" xfId="22612"/>
    <cellStyle name="Normal 11 4 2 3 4 2 2" xfId="36637"/>
    <cellStyle name="Normal 11 4 2 3 4 3" xfId="28626"/>
    <cellStyle name="Normal 11 4 2 3 5" xfId="16603"/>
    <cellStyle name="Normal 11 4 2 3 5 2" xfId="30628"/>
    <cellStyle name="Normal 11 4 2 3 6" xfId="18605"/>
    <cellStyle name="Normal 11 4 2 3 6 2" xfId="32630"/>
    <cellStyle name="Normal 11 4 2 3 7" xfId="24619"/>
    <cellStyle name="Normal 11 4 2 4" xfId="1983"/>
    <cellStyle name="Normal 11 4 2 4 2" xfId="1984"/>
    <cellStyle name="Normal 11 4 2 4 2 2" xfId="12585"/>
    <cellStyle name="Normal 11 4 2 4 2 2 2" xfId="20610"/>
    <cellStyle name="Normal 11 4 2 4 2 2 2 2" xfId="34635"/>
    <cellStyle name="Normal 11 4 2 4 2 2 3" xfId="26624"/>
    <cellStyle name="Normal 11 4 2 4 2 3" xfId="14600"/>
    <cellStyle name="Normal 11 4 2 4 2 3 2" xfId="22615"/>
    <cellStyle name="Normal 11 4 2 4 2 3 2 2" xfId="36640"/>
    <cellStyle name="Normal 11 4 2 4 2 3 3" xfId="28629"/>
    <cellStyle name="Normal 11 4 2 4 2 4" xfId="16606"/>
    <cellStyle name="Normal 11 4 2 4 2 4 2" xfId="30631"/>
    <cellStyle name="Normal 11 4 2 4 2 5" xfId="18608"/>
    <cellStyle name="Normal 11 4 2 4 2 5 2" xfId="32633"/>
    <cellStyle name="Normal 11 4 2 4 2 6" xfId="24622"/>
    <cellStyle name="Normal 11 4 2 4 3" xfId="12584"/>
    <cellStyle name="Normal 11 4 2 4 3 2" xfId="20609"/>
    <cellStyle name="Normal 11 4 2 4 3 2 2" xfId="34634"/>
    <cellStyle name="Normal 11 4 2 4 3 3" xfId="26623"/>
    <cellStyle name="Normal 11 4 2 4 4" xfId="14599"/>
    <cellStyle name="Normal 11 4 2 4 4 2" xfId="22614"/>
    <cellStyle name="Normal 11 4 2 4 4 2 2" xfId="36639"/>
    <cellStyle name="Normal 11 4 2 4 4 3" xfId="28628"/>
    <cellStyle name="Normal 11 4 2 4 5" xfId="16605"/>
    <cellStyle name="Normal 11 4 2 4 5 2" xfId="30630"/>
    <cellStyle name="Normal 11 4 2 4 6" xfId="18607"/>
    <cellStyle name="Normal 11 4 2 4 6 2" xfId="32632"/>
    <cellStyle name="Normal 11 4 2 4 7" xfId="24621"/>
    <cellStyle name="Normal 11 4 2 5" xfId="1985"/>
    <cellStyle name="Normal 11 4 2 5 2" xfId="12586"/>
    <cellStyle name="Normal 11 4 2 5 2 2" xfId="20611"/>
    <cellStyle name="Normal 11 4 2 5 2 2 2" xfId="34636"/>
    <cellStyle name="Normal 11 4 2 5 2 3" xfId="26625"/>
    <cellStyle name="Normal 11 4 2 5 3" xfId="14601"/>
    <cellStyle name="Normal 11 4 2 5 3 2" xfId="22616"/>
    <cellStyle name="Normal 11 4 2 5 3 2 2" xfId="36641"/>
    <cellStyle name="Normal 11 4 2 5 3 3" xfId="28630"/>
    <cellStyle name="Normal 11 4 2 5 4" xfId="16607"/>
    <cellStyle name="Normal 11 4 2 5 4 2" xfId="30632"/>
    <cellStyle name="Normal 11 4 2 5 5" xfId="18609"/>
    <cellStyle name="Normal 11 4 2 5 5 2" xfId="32634"/>
    <cellStyle name="Normal 11 4 2 5 6" xfId="24623"/>
    <cellStyle name="Normal 11 4 2 6" xfId="12577"/>
    <cellStyle name="Normal 11 4 2 6 2" xfId="20602"/>
    <cellStyle name="Normal 11 4 2 6 2 2" xfId="34627"/>
    <cellStyle name="Normal 11 4 2 6 3" xfId="26616"/>
    <cellStyle name="Normal 11 4 2 7" xfId="14592"/>
    <cellStyle name="Normal 11 4 2 7 2" xfId="22607"/>
    <cellStyle name="Normal 11 4 2 7 2 2" xfId="36632"/>
    <cellStyle name="Normal 11 4 2 7 3" xfId="28621"/>
    <cellStyle name="Normal 11 4 2 8" xfId="16598"/>
    <cellStyle name="Normal 11 4 2 8 2" xfId="30623"/>
    <cellStyle name="Normal 11 4 2 9" xfId="18600"/>
    <cellStyle name="Normal 11 4 2 9 2" xfId="32625"/>
    <cellStyle name="Normal 11 4 3" xfId="1986"/>
    <cellStyle name="Normal 11 4 3 2" xfId="1987"/>
    <cellStyle name="Normal 11 4 3 2 2" xfId="1988"/>
    <cellStyle name="Normal 11 4 3 2 2 2" xfId="12589"/>
    <cellStyle name="Normal 11 4 3 2 2 2 2" xfId="20614"/>
    <cellStyle name="Normal 11 4 3 2 2 2 2 2" xfId="34639"/>
    <cellStyle name="Normal 11 4 3 2 2 2 3" xfId="26628"/>
    <cellStyle name="Normal 11 4 3 2 2 3" xfId="14604"/>
    <cellStyle name="Normal 11 4 3 2 2 3 2" xfId="22619"/>
    <cellStyle name="Normal 11 4 3 2 2 3 2 2" xfId="36644"/>
    <cellStyle name="Normal 11 4 3 2 2 3 3" xfId="28633"/>
    <cellStyle name="Normal 11 4 3 2 2 4" xfId="16610"/>
    <cellStyle name="Normal 11 4 3 2 2 4 2" xfId="30635"/>
    <cellStyle name="Normal 11 4 3 2 2 5" xfId="18612"/>
    <cellStyle name="Normal 11 4 3 2 2 5 2" xfId="32637"/>
    <cellStyle name="Normal 11 4 3 2 2 6" xfId="24626"/>
    <cellStyle name="Normal 11 4 3 2 3" xfId="12588"/>
    <cellStyle name="Normal 11 4 3 2 3 2" xfId="20613"/>
    <cellStyle name="Normal 11 4 3 2 3 2 2" xfId="34638"/>
    <cellStyle name="Normal 11 4 3 2 3 3" xfId="26627"/>
    <cellStyle name="Normal 11 4 3 2 4" xfId="14603"/>
    <cellStyle name="Normal 11 4 3 2 4 2" xfId="22618"/>
    <cellStyle name="Normal 11 4 3 2 4 2 2" xfId="36643"/>
    <cellStyle name="Normal 11 4 3 2 4 3" xfId="28632"/>
    <cellStyle name="Normal 11 4 3 2 5" xfId="16609"/>
    <cellStyle name="Normal 11 4 3 2 5 2" xfId="30634"/>
    <cellStyle name="Normal 11 4 3 2 6" xfId="18611"/>
    <cellStyle name="Normal 11 4 3 2 6 2" xfId="32636"/>
    <cellStyle name="Normal 11 4 3 2 7" xfId="24625"/>
    <cellStyle name="Normal 11 4 3 3" xfId="1989"/>
    <cellStyle name="Normal 11 4 3 3 2" xfId="12590"/>
    <cellStyle name="Normal 11 4 3 3 2 2" xfId="20615"/>
    <cellStyle name="Normal 11 4 3 3 2 2 2" xfId="34640"/>
    <cellStyle name="Normal 11 4 3 3 2 3" xfId="26629"/>
    <cellStyle name="Normal 11 4 3 3 3" xfId="14605"/>
    <cellStyle name="Normal 11 4 3 3 3 2" xfId="22620"/>
    <cellStyle name="Normal 11 4 3 3 3 2 2" xfId="36645"/>
    <cellStyle name="Normal 11 4 3 3 3 3" xfId="28634"/>
    <cellStyle name="Normal 11 4 3 3 4" xfId="16611"/>
    <cellStyle name="Normal 11 4 3 3 4 2" xfId="30636"/>
    <cellStyle name="Normal 11 4 3 3 5" xfId="18613"/>
    <cellStyle name="Normal 11 4 3 3 5 2" xfId="32638"/>
    <cellStyle name="Normal 11 4 3 3 6" xfId="24627"/>
    <cellStyle name="Normal 11 4 3 4" xfId="12587"/>
    <cellStyle name="Normal 11 4 3 4 2" xfId="20612"/>
    <cellStyle name="Normal 11 4 3 4 2 2" xfId="34637"/>
    <cellStyle name="Normal 11 4 3 4 3" xfId="26626"/>
    <cellStyle name="Normal 11 4 3 5" xfId="14602"/>
    <cellStyle name="Normal 11 4 3 5 2" xfId="22617"/>
    <cellStyle name="Normal 11 4 3 5 2 2" xfId="36642"/>
    <cellStyle name="Normal 11 4 3 5 3" xfId="28631"/>
    <cellStyle name="Normal 11 4 3 6" xfId="16608"/>
    <cellStyle name="Normal 11 4 3 6 2" xfId="30633"/>
    <cellStyle name="Normal 11 4 3 7" xfId="18610"/>
    <cellStyle name="Normal 11 4 3 7 2" xfId="32635"/>
    <cellStyle name="Normal 11 4 3 8" xfId="24624"/>
    <cellStyle name="Normal 11 4 4" xfId="1990"/>
    <cellStyle name="Normal 11 4 4 2" xfId="1991"/>
    <cellStyle name="Normal 11 4 4 2 2" xfId="12592"/>
    <cellStyle name="Normal 11 4 4 2 2 2" xfId="20617"/>
    <cellStyle name="Normal 11 4 4 2 2 2 2" xfId="34642"/>
    <cellStyle name="Normal 11 4 4 2 2 3" xfId="26631"/>
    <cellStyle name="Normal 11 4 4 2 3" xfId="14607"/>
    <cellStyle name="Normal 11 4 4 2 3 2" xfId="22622"/>
    <cellStyle name="Normal 11 4 4 2 3 2 2" xfId="36647"/>
    <cellStyle name="Normal 11 4 4 2 3 3" xfId="28636"/>
    <cellStyle name="Normal 11 4 4 2 4" xfId="16613"/>
    <cellStyle name="Normal 11 4 4 2 4 2" xfId="30638"/>
    <cellStyle name="Normal 11 4 4 2 5" xfId="18615"/>
    <cellStyle name="Normal 11 4 4 2 5 2" xfId="32640"/>
    <cellStyle name="Normal 11 4 4 2 6" xfId="24629"/>
    <cellStyle name="Normal 11 4 4 3" xfId="12591"/>
    <cellStyle name="Normal 11 4 4 3 2" xfId="20616"/>
    <cellStyle name="Normal 11 4 4 3 2 2" xfId="34641"/>
    <cellStyle name="Normal 11 4 4 3 3" xfId="26630"/>
    <cellStyle name="Normal 11 4 4 4" xfId="14606"/>
    <cellStyle name="Normal 11 4 4 4 2" xfId="22621"/>
    <cellStyle name="Normal 11 4 4 4 2 2" xfId="36646"/>
    <cellStyle name="Normal 11 4 4 4 3" xfId="28635"/>
    <cellStyle name="Normal 11 4 4 5" xfId="16612"/>
    <cellStyle name="Normal 11 4 4 5 2" xfId="30637"/>
    <cellStyle name="Normal 11 4 4 6" xfId="18614"/>
    <cellStyle name="Normal 11 4 4 6 2" xfId="32639"/>
    <cellStyle name="Normal 11 4 4 7" xfId="24628"/>
    <cellStyle name="Normal 11 4 5" xfId="1992"/>
    <cellStyle name="Normal 11 4 5 2" xfId="1993"/>
    <cellStyle name="Normal 11 4 5 2 2" xfId="12594"/>
    <cellStyle name="Normal 11 4 5 2 2 2" xfId="20619"/>
    <cellStyle name="Normal 11 4 5 2 2 2 2" xfId="34644"/>
    <cellStyle name="Normal 11 4 5 2 2 3" xfId="26633"/>
    <cellStyle name="Normal 11 4 5 2 3" xfId="14609"/>
    <cellStyle name="Normal 11 4 5 2 3 2" xfId="22624"/>
    <cellStyle name="Normal 11 4 5 2 3 2 2" xfId="36649"/>
    <cellStyle name="Normal 11 4 5 2 3 3" xfId="28638"/>
    <cellStyle name="Normal 11 4 5 2 4" xfId="16615"/>
    <cellStyle name="Normal 11 4 5 2 4 2" xfId="30640"/>
    <cellStyle name="Normal 11 4 5 2 5" xfId="18617"/>
    <cellStyle name="Normal 11 4 5 2 5 2" xfId="32642"/>
    <cellStyle name="Normal 11 4 5 2 6" xfId="24631"/>
    <cellStyle name="Normal 11 4 5 3" xfId="12593"/>
    <cellStyle name="Normal 11 4 5 3 2" xfId="20618"/>
    <cellStyle name="Normal 11 4 5 3 2 2" xfId="34643"/>
    <cellStyle name="Normal 11 4 5 3 3" xfId="26632"/>
    <cellStyle name="Normal 11 4 5 4" xfId="14608"/>
    <cellStyle name="Normal 11 4 5 4 2" xfId="22623"/>
    <cellStyle name="Normal 11 4 5 4 2 2" xfId="36648"/>
    <cellStyle name="Normal 11 4 5 4 3" xfId="28637"/>
    <cellStyle name="Normal 11 4 5 5" xfId="16614"/>
    <cellStyle name="Normal 11 4 5 5 2" xfId="30639"/>
    <cellStyle name="Normal 11 4 5 6" xfId="18616"/>
    <cellStyle name="Normal 11 4 5 6 2" xfId="32641"/>
    <cellStyle name="Normal 11 4 5 7" xfId="24630"/>
    <cellStyle name="Normal 11 4 6" xfId="1994"/>
    <cellStyle name="Normal 11 4 6 2" xfId="12595"/>
    <cellStyle name="Normal 11 4 6 2 2" xfId="20620"/>
    <cellStyle name="Normal 11 4 6 2 2 2" xfId="34645"/>
    <cellStyle name="Normal 11 4 6 2 3" xfId="26634"/>
    <cellStyle name="Normal 11 4 6 3" xfId="14610"/>
    <cellStyle name="Normal 11 4 6 3 2" xfId="22625"/>
    <cellStyle name="Normal 11 4 6 3 2 2" xfId="36650"/>
    <cellStyle name="Normal 11 4 6 3 3" xfId="28639"/>
    <cellStyle name="Normal 11 4 6 4" xfId="16616"/>
    <cellStyle name="Normal 11 4 6 4 2" xfId="30641"/>
    <cellStyle name="Normal 11 4 6 5" xfId="18618"/>
    <cellStyle name="Normal 11 4 6 5 2" xfId="32643"/>
    <cellStyle name="Normal 11 4 6 6" xfId="24632"/>
    <cellStyle name="Normal 11 4 7" xfId="12576"/>
    <cellStyle name="Normal 11 4 7 2" xfId="20601"/>
    <cellStyle name="Normal 11 4 7 2 2" xfId="34626"/>
    <cellStyle name="Normal 11 4 7 3" xfId="26615"/>
    <cellStyle name="Normal 11 4 8" xfId="14591"/>
    <cellStyle name="Normal 11 4 8 2" xfId="22606"/>
    <cellStyle name="Normal 11 4 8 2 2" xfId="36631"/>
    <cellStyle name="Normal 11 4 8 3" xfId="28620"/>
    <cellStyle name="Normal 11 4 9" xfId="16597"/>
    <cellStyle name="Normal 11 4 9 2" xfId="30622"/>
    <cellStyle name="Normal 11 5" xfId="1995"/>
    <cellStyle name="Normal 11 5 10" xfId="24633"/>
    <cellStyle name="Normal 11 5 2" xfId="1996"/>
    <cellStyle name="Normal 11 5 2 2" xfId="1997"/>
    <cellStyle name="Normal 11 5 2 2 2" xfId="1998"/>
    <cellStyle name="Normal 11 5 2 2 2 2" xfId="12599"/>
    <cellStyle name="Normal 11 5 2 2 2 2 2" xfId="20624"/>
    <cellStyle name="Normal 11 5 2 2 2 2 2 2" xfId="34649"/>
    <cellStyle name="Normal 11 5 2 2 2 2 3" xfId="26638"/>
    <cellStyle name="Normal 11 5 2 2 2 3" xfId="14614"/>
    <cellStyle name="Normal 11 5 2 2 2 3 2" xfId="22629"/>
    <cellStyle name="Normal 11 5 2 2 2 3 2 2" xfId="36654"/>
    <cellStyle name="Normal 11 5 2 2 2 3 3" xfId="28643"/>
    <cellStyle name="Normal 11 5 2 2 2 4" xfId="16620"/>
    <cellStyle name="Normal 11 5 2 2 2 4 2" xfId="30645"/>
    <cellStyle name="Normal 11 5 2 2 2 5" xfId="18622"/>
    <cellStyle name="Normal 11 5 2 2 2 5 2" xfId="32647"/>
    <cellStyle name="Normal 11 5 2 2 2 6" xfId="24636"/>
    <cellStyle name="Normal 11 5 2 2 3" xfId="12598"/>
    <cellStyle name="Normal 11 5 2 2 3 2" xfId="20623"/>
    <cellStyle name="Normal 11 5 2 2 3 2 2" xfId="34648"/>
    <cellStyle name="Normal 11 5 2 2 3 3" xfId="26637"/>
    <cellStyle name="Normal 11 5 2 2 4" xfId="14613"/>
    <cellStyle name="Normal 11 5 2 2 4 2" xfId="22628"/>
    <cellStyle name="Normal 11 5 2 2 4 2 2" xfId="36653"/>
    <cellStyle name="Normal 11 5 2 2 4 3" xfId="28642"/>
    <cellStyle name="Normal 11 5 2 2 5" xfId="16619"/>
    <cellStyle name="Normal 11 5 2 2 5 2" xfId="30644"/>
    <cellStyle name="Normal 11 5 2 2 6" xfId="18621"/>
    <cellStyle name="Normal 11 5 2 2 6 2" xfId="32646"/>
    <cellStyle name="Normal 11 5 2 2 7" xfId="24635"/>
    <cellStyle name="Normal 11 5 2 3" xfId="1999"/>
    <cellStyle name="Normal 11 5 2 3 2" xfId="12600"/>
    <cellStyle name="Normal 11 5 2 3 2 2" xfId="20625"/>
    <cellStyle name="Normal 11 5 2 3 2 2 2" xfId="34650"/>
    <cellStyle name="Normal 11 5 2 3 2 3" xfId="26639"/>
    <cellStyle name="Normal 11 5 2 3 3" xfId="14615"/>
    <cellStyle name="Normal 11 5 2 3 3 2" xfId="22630"/>
    <cellStyle name="Normal 11 5 2 3 3 2 2" xfId="36655"/>
    <cellStyle name="Normal 11 5 2 3 3 3" xfId="28644"/>
    <cellStyle name="Normal 11 5 2 3 4" xfId="16621"/>
    <cellStyle name="Normal 11 5 2 3 4 2" xfId="30646"/>
    <cellStyle name="Normal 11 5 2 3 5" xfId="18623"/>
    <cellStyle name="Normal 11 5 2 3 5 2" xfId="32648"/>
    <cellStyle name="Normal 11 5 2 3 6" xfId="24637"/>
    <cellStyle name="Normal 11 5 2 4" xfId="12597"/>
    <cellStyle name="Normal 11 5 2 4 2" xfId="20622"/>
    <cellStyle name="Normal 11 5 2 4 2 2" xfId="34647"/>
    <cellStyle name="Normal 11 5 2 4 3" xfId="26636"/>
    <cellStyle name="Normal 11 5 2 5" xfId="14612"/>
    <cellStyle name="Normal 11 5 2 5 2" xfId="22627"/>
    <cellStyle name="Normal 11 5 2 5 2 2" xfId="36652"/>
    <cellStyle name="Normal 11 5 2 5 3" xfId="28641"/>
    <cellStyle name="Normal 11 5 2 6" xfId="16618"/>
    <cellStyle name="Normal 11 5 2 6 2" xfId="30643"/>
    <cellStyle name="Normal 11 5 2 7" xfId="18620"/>
    <cellStyle name="Normal 11 5 2 7 2" xfId="32645"/>
    <cellStyle name="Normal 11 5 2 8" xfId="24634"/>
    <cellStyle name="Normal 11 5 3" xfId="2000"/>
    <cellStyle name="Normal 11 5 3 2" xfId="2001"/>
    <cellStyle name="Normal 11 5 3 2 2" xfId="12602"/>
    <cellStyle name="Normal 11 5 3 2 2 2" xfId="20627"/>
    <cellStyle name="Normal 11 5 3 2 2 2 2" xfId="34652"/>
    <cellStyle name="Normal 11 5 3 2 2 3" xfId="26641"/>
    <cellStyle name="Normal 11 5 3 2 3" xfId="14617"/>
    <cellStyle name="Normal 11 5 3 2 3 2" xfId="22632"/>
    <cellStyle name="Normal 11 5 3 2 3 2 2" xfId="36657"/>
    <cellStyle name="Normal 11 5 3 2 3 3" xfId="28646"/>
    <cellStyle name="Normal 11 5 3 2 4" xfId="16623"/>
    <cellStyle name="Normal 11 5 3 2 4 2" xfId="30648"/>
    <cellStyle name="Normal 11 5 3 2 5" xfId="18625"/>
    <cellStyle name="Normal 11 5 3 2 5 2" xfId="32650"/>
    <cellStyle name="Normal 11 5 3 2 6" xfId="24639"/>
    <cellStyle name="Normal 11 5 3 3" xfId="12601"/>
    <cellStyle name="Normal 11 5 3 3 2" xfId="20626"/>
    <cellStyle name="Normal 11 5 3 3 2 2" xfId="34651"/>
    <cellStyle name="Normal 11 5 3 3 3" xfId="26640"/>
    <cellStyle name="Normal 11 5 3 4" xfId="14616"/>
    <cellStyle name="Normal 11 5 3 4 2" xfId="22631"/>
    <cellStyle name="Normal 11 5 3 4 2 2" xfId="36656"/>
    <cellStyle name="Normal 11 5 3 4 3" xfId="28645"/>
    <cellStyle name="Normal 11 5 3 5" xfId="16622"/>
    <cellStyle name="Normal 11 5 3 5 2" xfId="30647"/>
    <cellStyle name="Normal 11 5 3 6" xfId="18624"/>
    <cellStyle name="Normal 11 5 3 6 2" xfId="32649"/>
    <cellStyle name="Normal 11 5 3 7" xfId="24638"/>
    <cellStyle name="Normal 11 5 4" xfId="2002"/>
    <cellStyle name="Normal 11 5 4 2" xfId="2003"/>
    <cellStyle name="Normal 11 5 4 2 2" xfId="12604"/>
    <cellStyle name="Normal 11 5 4 2 2 2" xfId="20629"/>
    <cellStyle name="Normal 11 5 4 2 2 2 2" xfId="34654"/>
    <cellStyle name="Normal 11 5 4 2 2 3" xfId="26643"/>
    <cellStyle name="Normal 11 5 4 2 3" xfId="14619"/>
    <cellStyle name="Normal 11 5 4 2 3 2" xfId="22634"/>
    <cellStyle name="Normal 11 5 4 2 3 2 2" xfId="36659"/>
    <cellStyle name="Normal 11 5 4 2 3 3" xfId="28648"/>
    <cellStyle name="Normal 11 5 4 2 4" xfId="16625"/>
    <cellStyle name="Normal 11 5 4 2 4 2" xfId="30650"/>
    <cellStyle name="Normal 11 5 4 2 5" xfId="18627"/>
    <cellStyle name="Normal 11 5 4 2 5 2" xfId="32652"/>
    <cellStyle name="Normal 11 5 4 2 6" xfId="24641"/>
    <cellStyle name="Normal 11 5 4 3" xfId="12603"/>
    <cellStyle name="Normal 11 5 4 3 2" xfId="20628"/>
    <cellStyle name="Normal 11 5 4 3 2 2" xfId="34653"/>
    <cellStyle name="Normal 11 5 4 3 3" xfId="26642"/>
    <cellStyle name="Normal 11 5 4 4" xfId="14618"/>
    <cellStyle name="Normal 11 5 4 4 2" xfId="22633"/>
    <cellStyle name="Normal 11 5 4 4 2 2" xfId="36658"/>
    <cellStyle name="Normal 11 5 4 4 3" xfId="28647"/>
    <cellStyle name="Normal 11 5 4 5" xfId="16624"/>
    <cellStyle name="Normal 11 5 4 5 2" xfId="30649"/>
    <cellStyle name="Normal 11 5 4 6" xfId="18626"/>
    <cellStyle name="Normal 11 5 4 6 2" xfId="32651"/>
    <cellStyle name="Normal 11 5 4 7" xfId="24640"/>
    <cellStyle name="Normal 11 5 5" xfId="2004"/>
    <cellStyle name="Normal 11 5 5 2" xfId="12605"/>
    <cellStyle name="Normal 11 5 5 2 2" xfId="20630"/>
    <cellStyle name="Normal 11 5 5 2 2 2" xfId="34655"/>
    <cellStyle name="Normal 11 5 5 2 3" xfId="26644"/>
    <cellStyle name="Normal 11 5 5 3" xfId="14620"/>
    <cellStyle name="Normal 11 5 5 3 2" xfId="22635"/>
    <cellStyle name="Normal 11 5 5 3 2 2" xfId="36660"/>
    <cellStyle name="Normal 11 5 5 3 3" xfId="28649"/>
    <cellStyle name="Normal 11 5 5 4" xfId="16626"/>
    <cellStyle name="Normal 11 5 5 4 2" xfId="30651"/>
    <cellStyle name="Normal 11 5 5 5" xfId="18628"/>
    <cellStyle name="Normal 11 5 5 5 2" xfId="32653"/>
    <cellStyle name="Normal 11 5 5 6" xfId="24642"/>
    <cellStyle name="Normal 11 5 6" xfId="12596"/>
    <cellStyle name="Normal 11 5 6 2" xfId="20621"/>
    <cellStyle name="Normal 11 5 6 2 2" xfId="34646"/>
    <cellStyle name="Normal 11 5 6 3" xfId="26635"/>
    <cellStyle name="Normal 11 5 7" xfId="14611"/>
    <cellStyle name="Normal 11 5 7 2" xfId="22626"/>
    <cellStyle name="Normal 11 5 7 2 2" xfId="36651"/>
    <cellStyle name="Normal 11 5 7 3" xfId="28640"/>
    <cellStyle name="Normal 11 5 8" xfId="16617"/>
    <cellStyle name="Normal 11 5 8 2" xfId="30642"/>
    <cellStyle name="Normal 11 5 9" xfId="18619"/>
    <cellStyle name="Normal 11 5 9 2" xfId="32644"/>
    <cellStyle name="Normal 11 6" xfId="2005"/>
    <cellStyle name="Normal 11 6 2" xfId="2006"/>
    <cellStyle name="Normal 11 6 2 2" xfId="2007"/>
    <cellStyle name="Normal 11 6 2 2 2" xfId="12608"/>
    <cellStyle name="Normal 11 6 2 2 2 2" xfId="20633"/>
    <cellStyle name="Normal 11 6 2 2 2 2 2" xfId="34658"/>
    <cellStyle name="Normal 11 6 2 2 2 3" xfId="26647"/>
    <cellStyle name="Normal 11 6 2 2 3" xfId="14623"/>
    <cellStyle name="Normal 11 6 2 2 3 2" xfId="22638"/>
    <cellStyle name="Normal 11 6 2 2 3 2 2" xfId="36663"/>
    <cellStyle name="Normal 11 6 2 2 3 3" xfId="28652"/>
    <cellStyle name="Normal 11 6 2 2 4" xfId="16629"/>
    <cellStyle name="Normal 11 6 2 2 4 2" xfId="30654"/>
    <cellStyle name="Normal 11 6 2 2 5" xfId="18631"/>
    <cellStyle name="Normal 11 6 2 2 5 2" xfId="32656"/>
    <cellStyle name="Normal 11 6 2 2 6" xfId="24645"/>
    <cellStyle name="Normal 11 6 2 3" xfId="12607"/>
    <cellStyle name="Normal 11 6 2 3 2" xfId="20632"/>
    <cellStyle name="Normal 11 6 2 3 2 2" xfId="34657"/>
    <cellStyle name="Normal 11 6 2 3 3" xfId="26646"/>
    <cellStyle name="Normal 11 6 2 4" xfId="14622"/>
    <cellStyle name="Normal 11 6 2 4 2" xfId="22637"/>
    <cellStyle name="Normal 11 6 2 4 2 2" xfId="36662"/>
    <cellStyle name="Normal 11 6 2 4 3" xfId="28651"/>
    <cellStyle name="Normal 11 6 2 5" xfId="16628"/>
    <cellStyle name="Normal 11 6 2 5 2" xfId="30653"/>
    <cellStyle name="Normal 11 6 2 6" xfId="18630"/>
    <cellStyle name="Normal 11 6 2 6 2" xfId="32655"/>
    <cellStyle name="Normal 11 6 2 7" xfId="24644"/>
    <cellStyle name="Normal 11 6 3" xfId="2008"/>
    <cellStyle name="Normal 11 6 3 2" xfId="12609"/>
    <cellStyle name="Normal 11 6 3 2 2" xfId="20634"/>
    <cellStyle name="Normal 11 6 3 2 2 2" xfId="34659"/>
    <cellStyle name="Normal 11 6 3 2 3" xfId="26648"/>
    <cellStyle name="Normal 11 6 3 3" xfId="14624"/>
    <cellStyle name="Normal 11 6 3 3 2" xfId="22639"/>
    <cellStyle name="Normal 11 6 3 3 2 2" xfId="36664"/>
    <cellStyle name="Normal 11 6 3 3 3" xfId="28653"/>
    <cellStyle name="Normal 11 6 3 4" xfId="16630"/>
    <cellStyle name="Normal 11 6 3 4 2" xfId="30655"/>
    <cellStyle name="Normal 11 6 3 5" xfId="18632"/>
    <cellStyle name="Normal 11 6 3 5 2" xfId="32657"/>
    <cellStyle name="Normal 11 6 3 6" xfId="24646"/>
    <cellStyle name="Normal 11 6 4" xfId="12606"/>
    <cellStyle name="Normal 11 6 4 2" xfId="20631"/>
    <cellStyle name="Normal 11 6 4 2 2" xfId="34656"/>
    <cellStyle name="Normal 11 6 4 3" xfId="26645"/>
    <cellStyle name="Normal 11 6 5" xfId="14621"/>
    <cellStyle name="Normal 11 6 5 2" xfId="22636"/>
    <cellStyle name="Normal 11 6 5 2 2" xfId="36661"/>
    <cellStyle name="Normal 11 6 5 3" xfId="28650"/>
    <cellStyle name="Normal 11 6 6" xfId="16627"/>
    <cellStyle name="Normal 11 6 6 2" xfId="30652"/>
    <cellStyle name="Normal 11 6 7" xfId="18629"/>
    <cellStyle name="Normal 11 6 7 2" xfId="32654"/>
    <cellStyle name="Normal 11 6 8" xfId="24643"/>
    <cellStyle name="Normal 11 7" xfId="2009"/>
    <cellStyle name="Normal 11 7 2" xfId="2010"/>
    <cellStyle name="Normal 11 7 2 2" xfId="12611"/>
    <cellStyle name="Normal 11 7 2 2 2" xfId="20636"/>
    <cellStyle name="Normal 11 7 2 2 2 2" xfId="34661"/>
    <cellStyle name="Normal 11 7 2 2 3" xfId="26650"/>
    <cellStyle name="Normal 11 7 2 3" xfId="14626"/>
    <cellStyle name="Normal 11 7 2 3 2" xfId="22641"/>
    <cellStyle name="Normal 11 7 2 3 2 2" xfId="36666"/>
    <cellStyle name="Normal 11 7 2 3 3" xfId="28655"/>
    <cellStyle name="Normal 11 7 2 4" xfId="16632"/>
    <cellStyle name="Normal 11 7 2 4 2" xfId="30657"/>
    <cellStyle name="Normal 11 7 2 5" xfId="18634"/>
    <cellStyle name="Normal 11 7 2 5 2" xfId="32659"/>
    <cellStyle name="Normal 11 7 2 6" xfId="24648"/>
    <cellStyle name="Normal 11 7 3" xfId="12610"/>
    <cellStyle name="Normal 11 7 3 2" xfId="20635"/>
    <cellStyle name="Normal 11 7 3 2 2" xfId="34660"/>
    <cellStyle name="Normal 11 7 3 3" xfId="26649"/>
    <cellStyle name="Normal 11 7 4" xfId="14625"/>
    <cellStyle name="Normal 11 7 4 2" xfId="22640"/>
    <cellStyle name="Normal 11 7 4 2 2" xfId="36665"/>
    <cellStyle name="Normal 11 7 4 3" xfId="28654"/>
    <cellStyle name="Normal 11 7 5" xfId="16631"/>
    <cellStyle name="Normal 11 7 5 2" xfId="30656"/>
    <cellStyle name="Normal 11 7 6" xfId="18633"/>
    <cellStyle name="Normal 11 7 6 2" xfId="32658"/>
    <cellStyle name="Normal 11 7 7" xfId="24647"/>
    <cellStyle name="Normal 11 8" xfId="2011"/>
    <cellStyle name="Normal 11 8 2" xfId="2012"/>
    <cellStyle name="Normal 11 8 2 2" xfId="12613"/>
    <cellStyle name="Normal 11 8 2 2 2" xfId="20638"/>
    <cellStyle name="Normal 11 8 2 2 2 2" xfId="34663"/>
    <cellStyle name="Normal 11 8 2 2 3" xfId="26652"/>
    <cellStyle name="Normal 11 8 2 3" xfId="14628"/>
    <cellStyle name="Normal 11 8 2 3 2" xfId="22643"/>
    <cellStyle name="Normal 11 8 2 3 2 2" xfId="36668"/>
    <cellStyle name="Normal 11 8 2 3 3" xfId="28657"/>
    <cellStyle name="Normal 11 8 2 4" xfId="16634"/>
    <cellStyle name="Normal 11 8 2 4 2" xfId="30659"/>
    <cellStyle name="Normal 11 8 2 5" xfId="18636"/>
    <cellStyle name="Normal 11 8 2 5 2" xfId="32661"/>
    <cellStyle name="Normal 11 8 2 6" xfId="24650"/>
    <cellStyle name="Normal 11 8 3" xfId="12612"/>
    <cellStyle name="Normal 11 8 3 2" xfId="20637"/>
    <cellStyle name="Normal 11 8 3 2 2" xfId="34662"/>
    <cellStyle name="Normal 11 8 3 3" xfId="26651"/>
    <cellStyle name="Normal 11 8 4" xfId="14627"/>
    <cellStyle name="Normal 11 8 4 2" xfId="22642"/>
    <cellStyle name="Normal 11 8 4 2 2" xfId="36667"/>
    <cellStyle name="Normal 11 8 4 3" xfId="28656"/>
    <cellStyle name="Normal 11 8 5" xfId="16633"/>
    <cellStyle name="Normal 11 8 5 2" xfId="30658"/>
    <cellStyle name="Normal 11 8 6" xfId="18635"/>
    <cellStyle name="Normal 11 8 6 2" xfId="32660"/>
    <cellStyle name="Normal 11 8 7" xfId="24649"/>
    <cellStyle name="Normal 11 9" xfId="2013"/>
    <cellStyle name="Normal 11 9 2" xfId="12614"/>
    <cellStyle name="Normal 11 9 2 2" xfId="20639"/>
    <cellStyle name="Normal 11 9 2 2 2" xfId="34664"/>
    <cellStyle name="Normal 11 9 2 3" xfId="26653"/>
    <cellStyle name="Normal 11 9 3" xfId="14629"/>
    <cellStyle name="Normal 11 9 3 2" xfId="22644"/>
    <cellStyle name="Normal 11 9 3 2 2" xfId="36669"/>
    <cellStyle name="Normal 11 9 3 3" xfId="28658"/>
    <cellStyle name="Normal 11 9 4" xfId="16635"/>
    <cellStyle name="Normal 11 9 4 2" xfId="30660"/>
    <cellStyle name="Normal 11 9 5" xfId="18637"/>
    <cellStyle name="Normal 11 9 5 2" xfId="32662"/>
    <cellStyle name="Normal 11 9 6" xfId="24651"/>
    <cellStyle name="Normal 11_3 - Revenue Credits" xfId="480"/>
    <cellStyle name="Normal 12" xfId="481"/>
    <cellStyle name="Normal 12 10" xfId="2014"/>
    <cellStyle name="Normal 12 10 2" xfId="12615"/>
    <cellStyle name="Normal 12 10 2 2" xfId="20640"/>
    <cellStyle name="Normal 12 10 2 2 2" xfId="34665"/>
    <cellStyle name="Normal 12 10 2 3" xfId="26654"/>
    <cellStyle name="Normal 12 10 3" xfId="14630"/>
    <cellStyle name="Normal 12 10 3 2" xfId="22645"/>
    <cellStyle name="Normal 12 10 3 2 2" xfId="36670"/>
    <cellStyle name="Normal 12 10 3 3" xfId="28659"/>
    <cellStyle name="Normal 12 10 4" xfId="16636"/>
    <cellStyle name="Normal 12 10 4 2" xfId="30661"/>
    <cellStyle name="Normal 12 10 5" xfId="18638"/>
    <cellStyle name="Normal 12 10 5 2" xfId="32663"/>
    <cellStyle name="Normal 12 10 6" xfId="24652"/>
    <cellStyle name="Normal 12 11" xfId="11626"/>
    <cellStyle name="Normal 12 2" xfId="482"/>
    <cellStyle name="Normal 12 2 2" xfId="483"/>
    <cellStyle name="Normal 12 2 2 2" xfId="11628"/>
    <cellStyle name="Normal 12 2 3" xfId="484"/>
    <cellStyle name="Normal 12 2 4" xfId="11627"/>
    <cellStyle name="Normal 12 3" xfId="485"/>
    <cellStyle name="Normal 12 4" xfId="486"/>
    <cellStyle name="Normal 12 4 2" xfId="2015"/>
    <cellStyle name="Normal 12 4 2 10" xfId="18639"/>
    <cellStyle name="Normal 12 4 2 10 2" xfId="32664"/>
    <cellStyle name="Normal 12 4 2 11" xfId="24653"/>
    <cellStyle name="Normal 12 4 2 2" xfId="2016"/>
    <cellStyle name="Normal 12 4 2 2 10" xfId="24654"/>
    <cellStyle name="Normal 12 4 2 2 2" xfId="2017"/>
    <cellStyle name="Normal 12 4 2 2 2 2" xfId="2018"/>
    <cellStyle name="Normal 12 4 2 2 2 2 2" xfId="2019"/>
    <cellStyle name="Normal 12 4 2 2 2 2 2 2" xfId="12620"/>
    <cellStyle name="Normal 12 4 2 2 2 2 2 2 2" xfId="20645"/>
    <cellStyle name="Normal 12 4 2 2 2 2 2 2 2 2" xfId="34670"/>
    <cellStyle name="Normal 12 4 2 2 2 2 2 2 3" xfId="26659"/>
    <cellStyle name="Normal 12 4 2 2 2 2 2 3" xfId="14635"/>
    <cellStyle name="Normal 12 4 2 2 2 2 2 3 2" xfId="22650"/>
    <cellStyle name="Normal 12 4 2 2 2 2 2 3 2 2" xfId="36675"/>
    <cellStyle name="Normal 12 4 2 2 2 2 2 3 3" xfId="28664"/>
    <cellStyle name="Normal 12 4 2 2 2 2 2 4" xfId="16641"/>
    <cellStyle name="Normal 12 4 2 2 2 2 2 4 2" xfId="30666"/>
    <cellStyle name="Normal 12 4 2 2 2 2 2 5" xfId="18643"/>
    <cellStyle name="Normal 12 4 2 2 2 2 2 5 2" xfId="32668"/>
    <cellStyle name="Normal 12 4 2 2 2 2 2 6" xfId="24657"/>
    <cellStyle name="Normal 12 4 2 2 2 2 3" xfId="12619"/>
    <cellStyle name="Normal 12 4 2 2 2 2 3 2" xfId="20644"/>
    <cellStyle name="Normal 12 4 2 2 2 2 3 2 2" xfId="34669"/>
    <cellStyle name="Normal 12 4 2 2 2 2 3 3" xfId="26658"/>
    <cellStyle name="Normal 12 4 2 2 2 2 4" xfId="14634"/>
    <cellStyle name="Normal 12 4 2 2 2 2 4 2" xfId="22649"/>
    <cellStyle name="Normal 12 4 2 2 2 2 4 2 2" xfId="36674"/>
    <cellStyle name="Normal 12 4 2 2 2 2 4 3" xfId="28663"/>
    <cellStyle name="Normal 12 4 2 2 2 2 5" xfId="16640"/>
    <cellStyle name="Normal 12 4 2 2 2 2 5 2" xfId="30665"/>
    <cellStyle name="Normal 12 4 2 2 2 2 6" xfId="18642"/>
    <cellStyle name="Normal 12 4 2 2 2 2 6 2" xfId="32667"/>
    <cellStyle name="Normal 12 4 2 2 2 2 7" xfId="24656"/>
    <cellStyle name="Normal 12 4 2 2 2 3" xfId="2020"/>
    <cellStyle name="Normal 12 4 2 2 2 3 2" xfId="12621"/>
    <cellStyle name="Normal 12 4 2 2 2 3 2 2" xfId="20646"/>
    <cellStyle name="Normal 12 4 2 2 2 3 2 2 2" xfId="34671"/>
    <cellStyle name="Normal 12 4 2 2 2 3 2 3" xfId="26660"/>
    <cellStyle name="Normal 12 4 2 2 2 3 3" xfId="14636"/>
    <cellStyle name="Normal 12 4 2 2 2 3 3 2" xfId="22651"/>
    <cellStyle name="Normal 12 4 2 2 2 3 3 2 2" xfId="36676"/>
    <cellStyle name="Normal 12 4 2 2 2 3 3 3" xfId="28665"/>
    <cellStyle name="Normal 12 4 2 2 2 3 4" xfId="16642"/>
    <cellStyle name="Normal 12 4 2 2 2 3 4 2" xfId="30667"/>
    <cellStyle name="Normal 12 4 2 2 2 3 5" xfId="18644"/>
    <cellStyle name="Normal 12 4 2 2 2 3 5 2" xfId="32669"/>
    <cellStyle name="Normal 12 4 2 2 2 3 6" xfId="24658"/>
    <cellStyle name="Normal 12 4 2 2 2 4" xfId="12618"/>
    <cellStyle name="Normal 12 4 2 2 2 4 2" xfId="20643"/>
    <cellStyle name="Normal 12 4 2 2 2 4 2 2" xfId="34668"/>
    <cellStyle name="Normal 12 4 2 2 2 4 3" xfId="26657"/>
    <cellStyle name="Normal 12 4 2 2 2 5" xfId="14633"/>
    <cellStyle name="Normal 12 4 2 2 2 5 2" xfId="22648"/>
    <cellStyle name="Normal 12 4 2 2 2 5 2 2" xfId="36673"/>
    <cellStyle name="Normal 12 4 2 2 2 5 3" xfId="28662"/>
    <cellStyle name="Normal 12 4 2 2 2 6" xfId="16639"/>
    <cellStyle name="Normal 12 4 2 2 2 6 2" xfId="30664"/>
    <cellStyle name="Normal 12 4 2 2 2 7" xfId="18641"/>
    <cellStyle name="Normal 12 4 2 2 2 7 2" xfId="32666"/>
    <cellStyle name="Normal 12 4 2 2 2 8" xfId="24655"/>
    <cellStyle name="Normal 12 4 2 2 3" xfId="2021"/>
    <cellStyle name="Normal 12 4 2 2 3 2" xfId="2022"/>
    <cellStyle name="Normal 12 4 2 2 3 2 2" xfId="12623"/>
    <cellStyle name="Normal 12 4 2 2 3 2 2 2" xfId="20648"/>
    <cellStyle name="Normal 12 4 2 2 3 2 2 2 2" xfId="34673"/>
    <cellStyle name="Normal 12 4 2 2 3 2 2 3" xfId="26662"/>
    <cellStyle name="Normal 12 4 2 2 3 2 3" xfId="14638"/>
    <cellStyle name="Normal 12 4 2 2 3 2 3 2" xfId="22653"/>
    <cellStyle name="Normal 12 4 2 2 3 2 3 2 2" xfId="36678"/>
    <cellStyle name="Normal 12 4 2 2 3 2 3 3" xfId="28667"/>
    <cellStyle name="Normal 12 4 2 2 3 2 4" xfId="16644"/>
    <cellStyle name="Normal 12 4 2 2 3 2 4 2" xfId="30669"/>
    <cellStyle name="Normal 12 4 2 2 3 2 5" xfId="18646"/>
    <cellStyle name="Normal 12 4 2 2 3 2 5 2" xfId="32671"/>
    <cellStyle name="Normal 12 4 2 2 3 2 6" xfId="24660"/>
    <cellStyle name="Normal 12 4 2 2 3 3" xfId="12622"/>
    <cellStyle name="Normal 12 4 2 2 3 3 2" xfId="20647"/>
    <cellStyle name="Normal 12 4 2 2 3 3 2 2" xfId="34672"/>
    <cellStyle name="Normal 12 4 2 2 3 3 3" xfId="26661"/>
    <cellStyle name="Normal 12 4 2 2 3 4" xfId="14637"/>
    <cellStyle name="Normal 12 4 2 2 3 4 2" xfId="22652"/>
    <cellStyle name="Normal 12 4 2 2 3 4 2 2" xfId="36677"/>
    <cellStyle name="Normal 12 4 2 2 3 4 3" xfId="28666"/>
    <cellStyle name="Normal 12 4 2 2 3 5" xfId="16643"/>
    <cellStyle name="Normal 12 4 2 2 3 5 2" xfId="30668"/>
    <cellStyle name="Normal 12 4 2 2 3 6" xfId="18645"/>
    <cellStyle name="Normal 12 4 2 2 3 6 2" xfId="32670"/>
    <cellStyle name="Normal 12 4 2 2 3 7" xfId="24659"/>
    <cellStyle name="Normal 12 4 2 2 4" xfId="2023"/>
    <cellStyle name="Normal 12 4 2 2 4 2" xfId="2024"/>
    <cellStyle name="Normal 12 4 2 2 4 2 2" xfId="12625"/>
    <cellStyle name="Normal 12 4 2 2 4 2 2 2" xfId="20650"/>
    <cellStyle name="Normal 12 4 2 2 4 2 2 2 2" xfId="34675"/>
    <cellStyle name="Normal 12 4 2 2 4 2 2 3" xfId="26664"/>
    <cellStyle name="Normal 12 4 2 2 4 2 3" xfId="14640"/>
    <cellStyle name="Normal 12 4 2 2 4 2 3 2" xfId="22655"/>
    <cellStyle name="Normal 12 4 2 2 4 2 3 2 2" xfId="36680"/>
    <cellStyle name="Normal 12 4 2 2 4 2 3 3" xfId="28669"/>
    <cellStyle name="Normal 12 4 2 2 4 2 4" xfId="16646"/>
    <cellStyle name="Normal 12 4 2 2 4 2 4 2" xfId="30671"/>
    <cellStyle name="Normal 12 4 2 2 4 2 5" xfId="18648"/>
    <cellStyle name="Normal 12 4 2 2 4 2 5 2" xfId="32673"/>
    <cellStyle name="Normal 12 4 2 2 4 2 6" xfId="24662"/>
    <cellStyle name="Normal 12 4 2 2 4 3" xfId="12624"/>
    <cellStyle name="Normal 12 4 2 2 4 3 2" xfId="20649"/>
    <cellStyle name="Normal 12 4 2 2 4 3 2 2" xfId="34674"/>
    <cellStyle name="Normal 12 4 2 2 4 3 3" xfId="26663"/>
    <cellStyle name="Normal 12 4 2 2 4 4" xfId="14639"/>
    <cellStyle name="Normal 12 4 2 2 4 4 2" xfId="22654"/>
    <cellStyle name="Normal 12 4 2 2 4 4 2 2" xfId="36679"/>
    <cellStyle name="Normal 12 4 2 2 4 4 3" xfId="28668"/>
    <cellStyle name="Normal 12 4 2 2 4 5" xfId="16645"/>
    <cellStyle name="Normal 12 4 2 2 4 5 2" xfId="30670"/>
    <cellStyle name="Normal 12 4 2 2 4 6" xfId="18647"/>
    <cellStyle name="Normal 12 4 2 2 4 6 2" xfId="32672"/>
    <cellStyle name="Normal 12 4 2 2 4 7" xfId="24661"/>
    <cellStyle name="Normal 12 4 2 2 5" xfId="2025"/>
    <cellStyle name="Normal 12 4 2 2 5 2" xfId="12626"/>
    <cellStyle name="Normal 12 4 2 2 5 2 2" xfId="20651"/>
    <cellStyle name="Normal 12 4 2 2 5 2 2 2" xfId="34676"/>
    <cellStyle name="Normal 12 4 2 2 5 2 3" xfId="26665"/>
    <cellStyle name="Normal 12 4 2 2 5 3" xfId="14641"/>
    <cellStyle name="Normal 12 4 2 2 5 3 2" xfId="22656"/>
    <cellStyle name="Normal 12 4 2 2 5 3 2 2" xfId="36681"/>
    <cellStyle name="Normal 12 4 2 2 5 3 3" xfId="28670"/>
    <cellStyle name="Normal 12 4 2 2 5 4" xfId="16647"/>
    <cellStyle name="Normal 12 4 2 2 5 4 2" xfId="30672"/>
    <cellStyle name="Normal 12 4 2 2 5 5" xfId="18649"/>
    <cellStyle name="Normal 12 4 2 2 5 5 2" xfId="32674"/>
    <cellStyle name="Normal 12 4 2 2 5 6" xfId="24663"/>
    <cellStyle name="Normal 12 4 2 2 6" xfId="12617"/>
    <cellStyle name="Normal 12 4 2 2 6 2" xfId="20642"/>
    <cellStyle name="Normal 12 4 2 2 6 2 2" xfId="34667"/>
    <cellStyle name="Normal 12 4 2 2 6 3" xfId="26656"/>
    <cellStyle name="Normal 12 4 2 2 7" xfId="14632"/>
    <cellStyle name="Normal 12 4 2 2 7 2" xfId="22647"/>
    <cellStyle name="Normal 12 4 2 2 7 2 2" xfId="36672"/>
    <cellStyle name="Normal 12 4 2 2 7 3" xfId="28661"/>
    <cellStyle name="Normal 12 4 2 2 8" xfId="16638"/>
    <cellStyle name="Normal 12 4 2 2 8 2" xfId="30663"/>
    <cellStyle name="Normal 12 4 2 2 9" xfId="18640"/>
    <cellStyle name="Normal 12 4 2 2 9 2" xfId="32665"/>
    <cellStyle name="Normal 12 4 2 3" xfId="2026"/>
    <cellStyle name="Normal 12 4 2 3 2" xfId="2027"/>
    <cellStyle name="Normal 12 4 2 3 2 2" xfId="2028"/>
    <cellStyle name="Normal 12 4 2 3 2 2 2" xfId="12629"/>
    <cellStyle name="Normal 12 4 2 3 2 2 2 2" xfId="20654"/>
    <cellStyle name="Normal 12 4 2 3 2 2 2 2 2" xfId="34679"/>
    <cellStyle name="Normal 12 4 2 3 2 2 2 3" xfId="26668"/>
    <cellStyle name="Normal 12 4 2 3 2 2 3" xfId="14644"/>
    <cellStyle name="Normal 12 4 2 3 2 2 3 2" xfId="22659"/>
    <cellStyle name="Normal 12 4 2 3 2 2 3 2 2" xfId="36684"/>
    <cellStyle name="Normal 12 4 2 3 2 2 3 3" xfId="28673"/>
    <cellStyle name="Normal 12 4 2 3 2 2 4" xfId="16650"/>
    <cellStyle name="Normal 12 4 2 3 2 2 4 2" xfId="30675"/>
    <cellStyle name="Normal 12 4 2 3 2 2 5" xfId="18652"/>
    <cellStyle name="Normal 12 4 2 3 2 2 5 2" xfId="32677"/>
    <cellStyle name="Normal 12 4 2 3 2 2 6" xfId="24666"/>
    <cellStyle name="Normal 12 4 2 3 2 3" xfId="12628"/>
    <cellStyle name="Normal 12 4 2 3 2 3 2" xfId="20653"/>
    <cellStyle name="Normal 12 4 2 3 2 3 2 2" xfId="34678"/>
    <cellStyle name="Normal 12 4 2 3 2 3 3" xfId="26667"/>
    <cellStyle name="Normal 12 4 2 3 2 4" xfId="14643"/>
    <cellStyle name="Normal 12 4 2 3 2 4 2" xfId="22658"/>
    <cellStyle name="Normal 12 4 2 3 2 4 2 2" xfId="36683"/>
    <cellStyle name="Normal 12 4 2 3 2 4 3" xfId="28672"/>
    <cellStyle name="Normal 12 4 2 3 2 5" xfId="16649"/>
    <cellStyle name="Normal 12 4 2 3 2 5 2" xfId="30674"/>
    <cellStyle name="Normal 12 4 2 3 2 6" xfId="18651"/>
    <cellStyle name="Normal 12 4 2 3 2 6 2" xfId="32676"/>
    <cellStyle name="Normal 12 4 2 3 2 7" xfId="24665"/>
    <cellStyle name="Normal 12 4 2 3 3" xfId="2029"/>
    <cellStyle name="Normal 12 4 2 3 3 2" xfId="12630"/>
    <cellStyle name="Normal 12 4 2 3 3 2 2" xfId="20655"/>
    <cellStyle name="Normal 12 4 2 3 3 2 2 2" xfId="34680"/>
    <cellStyle name="Normal 12 4 2 3 3 2 3" xfId="26669"/>
    <cellStyle name="Normal 12 4 2 3 3 3" xfId="14645"/>
    <cellStyle name="Normal 12 4 2 3 3 3 2" xfId="22660"/>
    <cellStyle name="Normal 12 4 2 3 3 3 2 2" xfId="36685"/>
    <cellStyle name="Normal 12 4 2 3 3 3 3" xfId="28674"/>
    <cellStyle name="Normal 12 4 2 3 3 4" xfId="16651"/>
    <cellStyle name="Normal 12 4 2 3 3 4 2" xfId="30676"/>
    <cellStyle name="Normal 12 4 2 3 3 5" xfId="18653"/>
    <cellStyle name="Normal 12 4 2 3 3 5 2" xfId="32678"/>
    <cellStyle name="Normal 12 4 2 3 3 6" xfId="24667"/>
    <cellStyle name="Normal 12 4 2 3 4" xfId="12627"/>
    <cellStyle name="Normal 12 4 2 3 4 2" xfId="20652"/>
    <cellStyle name="Normal 12 4 2 3 4 2 2" xfId="34677"/>
    <cellStyle name="Normal 12 4 2 3 4 3" xfId="26666"/>
    <cellStyle name="Normal 12 4 2 3 5" xfId="14642"/>
    <cellStyle name="Normal 12 4 2 3 5 2" xfId="22657"/>
    <cellStyle name="Normal 12 4 2 3 5 2 2" xfId="36682"/>
    <cellStyle name="Normal 12 4 2 3 5 3" xfId="28671"/>
    <cellStyle name="Normal 12 4 2 3 6" xfId="16648"/>
    <cellStyle name="Normal 12 4 2 3 6 2" xfId="30673"/>
    <cellStyle name="Normal 12 4 2 3 7" xfId="18650"/>
    <cellStyle name="Normal 12 4 2 3 7 2" xfId="32675"/>
    <cellStyle name="Normal 12 4 2 3 8" xfId="24664"/>
    <cellStyle name="Normal 12 4 2 4" xfId="2030"/>
    <cellStyle name="Normal 12 4 2 4 2" xfId="2031"/>
    <cellStyle name="Normal 12 4 2 4 2 2" xfId="12632"/>
    <cellStyle name="Normal 12 4 2 4 2 2 2" xfId="20657"/>
    <cellStyle name="Normal 12 4 2 4 2 2 2 2" xfId="34682"/>
    <cellStyle name="Normal 12 4 2 4 2 2 3" xfId="26671"/>
    <cellStyle name="Normal 12 4 2 4 2 3" xfId="14647"/>
    <cellStyle name="Normal 12 4 2 4 2 3 2" xfId="22662"/>
    <cellStyle name="Normal 12 4 2 4 2 3 2 2" xfId="36687"/>
    <cellStyle name="Normal 12 4 2 4 2 3 3" xfId="28676"/>
    <cellStyle name="Normal 12 4 2 4 2 4" xfId="16653"/>
    <cellStyle name="Normal 12 4 2 4 2 4 2" xfId="30678"/>
    <cellStyle name="Normal 12 4 2 4 2 5" xfId="18655"/>
    <cellStyle name="Normal 12 4 2 4 2 5 2" xfId="32680"/>
    <cellStyle name="Normal 12 4 2 4 2 6" xfId="24669"/>
    <cellStyle name="Normal 12 4 2 4 3" xfId="12631"/>
    <cellStyle name="Normal 12 4 2 4 3 2" xfId="20656"/>
    <cellStyle name="Normal 12 4 2 4 3 2 2" xfId="34681"/>
    <cellStyle name="Normal 12 4 2 4 3 3" xfId="26670"/>
    <cellStyle name="Normal 12 4 2 4 4" xfId="14646"/>
    <cellStyle name="Normal 12 4 2 4 4 2" xfId="22661"/>
    <cellStyle name="Normal 12 4 2 4 4 2 2" xfId="36686"/>
    <cellStyle name="Normal 12 4 2 4 4 3" xfId="28675"/>
    <cellStyle name="Normal 12 4 2 4 5" xfId="16652"/>
    <cellStyle name="Normal 12 4 2 4 5 2" xfId="30677"/>
    <cellStyle name="Normal 12 4 2 4 6" xfId="18654"/>
    <cellStyle name="Normal 12 4 2 4 6 2" xfId="32679"/>
    <cellStyle name="Normal 12 4 2 4 7" xfId="24668"/>
    <cellStyle name="Normal 12 4 2 5" xfId="2032"/>
    <cellStyle name="Normal 12 4 2 5 2" xfId="2033"/>
    <cellStyle name="Normal 12 4 2 5 2 2" xfId="12634"/>
    <cellStyle name="Normal 12 4 2 5 2 2 2" xfId="20659"/>
    <cellStyle name="Normal 12 4 2 5 2 2 2 2" xfId="34684"/>
    <cellStyle name="Normal 12 4 2 5 2 2 3" xfId="26673"/>
    <cellStyle name="Normal 12 4 2 5 2 3" xfId="14649"/>
    <cellStyle name="Normal 12 4 2 5 2 3 2" xfId="22664"/>
    <cellStyle name="Normal 12 4 2 5 2 3 2 2" xfId="36689"/>
    <cellStyle name="Normal 12 4 2 5 2 3 3" xfId="28678"/>
    <cellStyle name="Normal 12 4 2 5 2 4" xfId="16655"/>
    <cellStyle name="Normal 12 4 2 5 2 4 2" xfId="30680"/>
    <cellStyle name="Normal 12 4 2 5 2 5" xfId="18657"/>
    <cellStyle name="Normal 12 4 2 5 2 5 2" xfId="32682"/>
    <cellStyle name="Normal 12 4 2 5 2 6" xfId="24671"/>
    <cellStyle name="Normal 12 4 2 5 3" xfId="12633"/>
    <cellStyle name="Normal 12 4 2 5 3 2" xfId="20658"/>
    <cellStyle name="Normal 12 4 2 5 3 2 2" xfId="34683"/>
    <cellStyle name="Normal 12 4 2 5 3 3" xfId="26672"/>
    <cellStyle name="Normal 12 4 2 5 4" xfId="14648"/>
    <cellStyle name="Normal 12 4 2 5 4 2" xfId="22663"/>
    <cellStyle name="Normal 12 4 2 5 4 2 2" xfId="36688"/>
    <cellStyle name="Normal 12 4 2 5 4 3" xfId="28677"/>
    <cellStyle name="Normal 12 4 2 5 5" xfId="16654"/>
    <cellStyle name="Normal 12 4 2 5 5 2" xfId="30679"/>
    <cellStyle name="Normal 12 4 2 5 6" xfId="18656"/>
    <cellStyle name="Normal 12 4 2 5 6 2" xfId="32681"/>
    <cellStyle name="Normal 12 4 2 5 7" xfId="24670"/>
    <cellStyle name="Normal 12 4 2 6" xfId="2034"/>
    <cellStyle name="Normal 12 4 2 6 2" xfId="12635"/>
    <cellStyle name="Normal 12 4 2 6 2 2" xfId="20660"/>
    <cellStyle name="Normal 12 4 2 6 2 2 2" xfId="34685"/>
    <cellStyle name="Normal 12 4 2 6 2 3" xfId="26674"/>
    <cellStyle name="Normal 12 4 2 6 3" xfId="14650"/>
    <cellStyle name="Normal 12 4 2 6 3 2" xfId="22665"/>
    <cellStyle name="Normal 12 4 2 6 3 2 2" xfId="36690"/>
    <cellStyle name="Normal 12 4 2 6 3 3" xfId="28679"/>
    <cellStyle name="Normal 12 4 2 6 4" xfId="16656"/>
    <cellStyle name="Normal 12 4 2 6 4 2" xfId="30681"/>
    <cellStyle name="Normal 12 4 2 6 5" xfId="18658"/>
    <cellStyle name="Normal 12 4 2 6 5 2" xfId="32683"/>
    <cellStyle name="Normal 12 4 2 6 6" xfId="24672"/>
    <cellStyle name="Normal 12 4 2 7" xfId="12616"/>
    <cellStyle name="Normal 12 4 2 7 2" xfId="20641"/>
    <cellStyle name="Normal 12 4 2 7 2 2" xfId="34666"/>
    <cellStyle name="Normal 12 4 2 7 3" xfId="26655"/>
    <cellStyle name="Normal 12 4 2 8" xfId="14631"/>
    <cellStyle name="Normal 12 4 2 8 2" xfId="22646"/>
    <cellStyle name="Normal 12 4 2 8 2 2" xfId="36671"/>
    <cellStyle name="Normal 12 4 2 8 3" xfId="28660"/>
    <cellStyle name="Normal 12 4 2 9" xfId="16637"/>
    <cellStyle name="Normal 12 4 2 9 2" xfId="30662"/>
    <cellStyle name="Normal 12 4 3" xfId="2035"/>
    <cellStyle name="Normal 12 4 3 10" xfId="24673"/>
    <cellStyle name="Normal 12 4 3 2" xfId="2036"/>
    <cellStyle name="Normal 12 4 3 2 2" xfId="2037"/>
    <cellStyle name="Normal 12 4 3 2 2 2" xfId="2038"/>
    <cellStyle name="Normal 12 4 3 2 2 2 2" xfId="12639"/>
    <cellStyle name="Normal 12 4 3 2 2 2 2 2" xfId="20664"/>
    <cellStyle name="Normal 12 4 3 2 2 2 2 2 2" xfId="34689"/>
    <cellStyle name="Normal 12 4 3 2 2 2 2 3" xfId="26678"/>
    <cellStyle name="Normal 12 4 3 2 2 2 3" xfId="14654"/>
    <cellStyle name="Normal 12 4 3 2 2 2 3 2" xfId="22669"/>
    <cellStyle name="Normal 12 4 3 2 2 2 3 2 2" xfId="36694"/>
    <cellStyle name="Normal 12 4 3 2 2 2 3 3" xfId="28683"/>
    <cellStyle name="Normal 12 4 3 2 2 2 4" xfId="16660"/>
    <cellStyle name="Normal 12 4 3 2 2 2 4 2" xfId="30685"/>
    <cellStyle name="Normal 12 4 3 2 2 2 5" xfId="18662"/>
    <cellStyle name="Normal 12 4 3 2 2 2 5 2" xfId="32687"/>
    <cellStyle name="Normal 12 4 3 2 2 2 6" xfId="24676"/>
    <cellStyle name="Normal 12 4 3 2 2 3" xfId="12638"/>
    <cellStyle name="Normal 12 4 3 2 2 3 2" xfId="20663"/>
    <cellStyle name="Normal 12 4 3 2 2 3 2 2" xfId="34688"/>
    <cellStyle name="Normal 12 4 3 2 2 3 3" xfId="26677"/>
    <cellStyle name="Normal 12 4 3 2 2 4" xfId="14653"/>
    <cellStyle name="Normal 12 4 3 2 2 4 2" xfId="22668"/>
    <cellStyle name="Normal 12 4 3 2 2 4 2 2" xfId="36693"/>
    <cellStyle name="Normal 12 4 3 2 2 4 3" xfId="28682"/>
    <cellStyle name="Normal 12 4 3 2 2 5" xfId="16659"/>
    <cellStyle name="Normal 12 4 3 2 2 5 2" xfId="30684"/>
    <cellStyle name="Normal 12 4 3 2 2 6" xfId="18661"/>
    <cellStyle name="Normal 12 4 3 2 2 6 2" xfId="32686"/>
    <cellStyle name="Normal 12 4 3 2 2 7" xfId="24675"/>
    <cellStyle name="Normal 12 4 3 2 3" xfId="2039"/>
    <cellStyle name="Normal 12 4 3 2 3 2" xfId="12640"/>
    <cellStyle name="Normal 12 4 3 2 3 2 2" xfId="20665"/>
    <cellStyle name="Normal 12 4 3 2 3 2 2 2" xfId="34690"/>
    <cellStyle name="Normal 12 4 3 2 3 2 3" xfId="26679"/>
    <cellStyle name="Normal 12 4 3 2 3 3" xfId="14655"/>
    <cellStyle name="Normal 12 4 3 2 3 3 2" xfId="22670"/>
    <cellStyle name="Normal 12 4 3 2 3 3 2 2" xfId="36695"/>
    <cellStyle name="Normal 12 4 3 2 3 3 3" xfId="28684"/>
    <cellStyle name="Normal 12 4 3 2 3 4" xfId="16661"/>
    <cellStyle name="Normal 12 4 3 2 3 4 2" xfId="30686"/>
    <cellStyle name="Normal 12 4 3 2 3 5" xfId="18663"/>
    <cellStyle name="Normal 12 4 3 2 3 5 2" xfId="32688"/>
    <cellStyle name="Normal 12 4 3 2 3 6" xfId="24677"/>
    <cellStyle name="Normal 12 4 3 2 4" xfId="12637"/>
    <cellStyle name="Normal 12 4 3 2 4 2" xfId="20662"/>
    <cellStyle name="Normal 12 4 3 2 4 2 2" xfId="34687"/>
    <cellStyle name="Normal 12 4 3 2 4 3" xfId="26676"/>
    <cellStyle name="Normal 12 4 3 2 5" xfId="14652"/>
    <cellStyle name="Normal 12 4 3 2 5 2" xfId="22667"/>
    <cellStyle name="Normal 12 4 3 2 5 2 2" xfId="36692"/>
    <cellStyle name="Normal 12 4 3 2 5 3" xfId="28681"/>
    <cellStyle name="Normal 12 4 3 2 6" xfId="16658"/>
    <cellStyle name="Normal 12 4 3 2 6 2" xfId="30683"/>
    <cellStyle name="Normal 12 4 3 2 7" xfId="18660"/>
    <cellStyle name="Normal 12 4 3 2 7 2" xfId="32685"/>
    <cellStyle name="Normal 12 4 3 2 8" xfId="24674"/>
    <cellStyle name="Normal 12 4 3 3" xfId="2040"/>
    <cellStyle name="Normal 12 4 3 3 2" xfId="2041"/>
    <cellStyle name="Normal 12 4 3 3 2 2" xfId="12642"/>
    <cellStyle name="Normal 12 4 3 3 2 2 2" xfId="20667"/>
    <cellStyle name="Normal 12 4 3 3 2 2 2 2" xfId="34692"/>
    <cellStyle name="Normal 12 4 3 3 2 2 3" xfId="26681"/>
    <cellStyle name="Normal 12 4 3 3 2 3" xfId="14657"/>
    <cellStyle name="Normal 12 4 3 3 2 3 2" xfId="22672"/>
    <cellStyle name="Normal 12 4 3 3 2 3 2 2" xfId="36697"/>
    <cellStyle name="Normal 12 4 3 3 2 3 3" xfId="28686"/>
    <cellStyle name="Normal 12 4 3 3 2 4" xfId="16663"/>
    <cellStyle name="Normal 12 4 3 3 2 4 2" xfId="30688"/>
    <cellStyle name="Normal 12 4 3 3 2 5" xfId="18665"/>
    <cellStyle name="Normal 12 4 3 3 2 5 2" xfId="32690"/>
    <cellStyle name="Normal 12 4 3 3 2 6" xfId="24679"/>
    <cellStyle name="Normal 12 4 3 3 3" xfId="12641"/>
    <cellStyle name="Normal 12 4 3 3 3 2" xfId="20666"/>
    <cellStyle name="Normal 12 4 3 3 3 2 2" xfId="34691"/>
    <cellStyle name="Normal 12 4 3 3 3 3" xfId="26680"/>
    <cellStyle name="Normal 12 4 3 3 4" xfId="14656"/>
    <cellStyle name="Normal 12 4 3 3 4 2" xfId="22671"/>
    <cellStyle name="Normal 12 4 3 3 4 2 2" xfId="36696"/>
    <cellStyle name="Normal 12 4 3 3 4 3" xfId="28685"/>
    <cellStyle name="Normal 12 4 3 3 5" xfId="16662"/>
    <cellStyle name="Normal 12 4 3 3 5 2" xfId="30687"/>
    <cellStyle name="Normal 12 4 3 3 6" xfId="18664"/>
    <cellStyle name="Normal 12 4 3 3 6 2" xfId="32689"/>
    <cellStyle name="Normal 12 4 3 3 7" xfId="24678"/>
    <cellStyle name="Normal 12 4 3 4" xfId="2042"/>
    <cellStyle name="Normal 12 4 3 4 2" xfId="2043"/>
    <cellStyle name="Normal 12 4 3 4 2 2" xfId="12644"/>
    <cellStyle name="Normal 12 4 3 4 2 2 2" xfId="20669"/>
    <cellStyle name="Normal 12 4 3 4 2 2 2 2" xfId="34694"/>
    <cellStyle name="Normal 12 4 3 4 2 2 3" xfId="26683"/>
    <cellStyle name="Normal 12 4 3 4 2 3" xfId="14659"/>
    <cellStyle name="Normal 12 4 3 4 2 3 2" xfId="22674"/>
    <cellStyle name="Normal 12 4 3 4 2 3 2 2" xfId="36699"/>
    <cellStyle name="Normal 12 4 3 4 2 3 3" xfId="28688"/>
    <cellStyle name="Normal 12 4 3 4 2 4" xfId="16665"/>
    <cellStyle name="Normal 12 4 3 4 2 4 2" xfId="30690"/>
    <cellStyle name="Normal 12 4 3 4 2 5" xfId="18667"/>
    <cellStyle name="Normal 12 4 3 4 2 5 2" xfId="32692"/>
    <cellStyle name="Normal 12 4 3 4 2 6" xfId="24681"/>
    <cellStyle name="Normal 12 4 3 4 3" xfId="12643"/>
    <cellStyle name="Normal 12 4 3 4 3 2" xfId="20668"/>
    <cellStyle name="Normal 12 4 3 4 3 2 2" xfId="34693"/>
    <cellStyle name="Normal 12 4 3 4 3 3" xfId="26682"/>
    <cellStyle name="Normal 12 4 3 4 4" xfId="14658"/>
    <cellStyle name="Normal 12 4 3 4 4 2" xfId="22673"/>
    <cellStyle name="Normal 12 4 3 4 4 2 2" xfId="36698"/>
    <cellStyle name="Normal 12 4 3 4 4 3" xfId="28687"/>
    <cellStyle name="Normal 12 4 3 4 5" xfId="16664"/>
    <cellStyle name="Normal 12 4 3 4 5 2" xfId="30689"/>
    <cellStyle name="Normal 12 4 3 4 6" xfId="18666"/>
    <cellStyle name="Normal 12 4 3 4 6 2" xfId="32691"/>
    <cellStyle name="Normal 12 4 3 4 7" xfId="24680"/>
    <cellStyle name="Normal 12 4 3 5" xfId="2044"/>
    <cellStyle name="Normal 12 4 3 5 2" xfId="12645"/>
    <cellStyle name="Normal 12 4 3 5 2 2" xfId="20670"/>
    <cellStyle name="Normal 12 4 3 5 2 2 2" xfId="34695"/>
    <cellStyle name="Normal 12 4 3 5 2 3" xfId="26684"/>
    <cellStyle name="Normal 12 4 3 5 3" xfId="14660"/>
    <cellStyle name="Normal 12 4 3 5 3 2" xfId="22675"/>
    <cellStyle name="Normal 12 4 3 5 3 2 2" xfId="36700"/>
    <cellStyle name="Normal 12 4 3 5 3 3" xfId="28689"/>
    <cellStyle name="Normal 12 4 3 5 4" xfId="16666"/>
    <cellStyle name="Normal 12 4 3 5 4 2" xfId="30691"/>
    <cellStyle name="Normal 12 4 3 5 5" xfId="18668"/>
    <cellStyle name="Normal 12 4 3 5 5 2" xfId="32693"/>
    <cellStyle name="Normal 12 4 3 5 6" xfId="24682"/>
    <cellStyle name="Normal 12 4 3 6" xfId="12636"/>
    <cellStyle name="Normal 12 4 3 6 2" xfId="20661"/>
    <cellStyle name="Normal 12 4 3 6 2 2" xfId="34686"/>
    <cellStyle name="Normal 12 4 3 6 3" xfId="26675"/>
    <cellStyle name="Normal 12 4 3 7" xfId="14651"/>
    <cellStyle name="Normal 12 4 3 7 2" xfId="22666"/>
    <cellStyle name="Normal 12 4 3 7 2 2" xfId="36691"/>
    <cellStyle name="Normal 12 4 3 7 3" xfId="28680"/>
    <cellStyle name="Normal 12 4 3 8" xfId="16657"/>
    <cellStyle name="Normal 12 4 3 8 2" xfId="30682"/>
    <cellStyle name="Normal 12 4 3 9" xfId="18659"/>
    <cellStyle name="Normal 12 4 3 9 2" xfId="32684"/>
    <cellStyle name="Normal 12 4 4" xfId="2045"/>
    <cellStyle name="Normal 12 4 4 2" xfId="2046"/>
    <cellStyle name="Normal 12 4 4 2 2" xfId="2047"/>
    <cellStyle name="Normal 12 4 4 2 2 2" xfId="12648"/>
    <cellStyle name="Normal 12 4 4 2 2 2 2" xfId="20673"/>
    <cellStyle name="Normal 12 4 4 2 2 2 2 2" xfId="34698"/>
    <cellStyle name="Normal 12 4 4 2 2 2 3" xfId="26687"/>
    <cellStyle name="Normal 12 4 4 2 2 3" xfId="14663"/>
    <cellStyle name="Normal 12 4 4 2 2 3 2" xfId="22678"/>
    <cellStyle name="Normal 12 4 4 2 2 3 2 2" xfId="36703"/>
    <cellStyle name="Normal 12 4 4 2 2 3 3" xfId="28692"/>
    <cellStyle name="Normal 12 4 4 2 2 4" xfId="16669"/>
    <cellStyle name="Normal 12 4 4 2 2 4 2" xfId="30694"/>
    <cellStyle name="Normal 12 4 4 2 2 5" xfId="18671"/>
    <cellStyle name="Normal 12 4 4 2 2 5 2" xfId="32696"/>
    <cellStyle name="Normal 12 4 4 2 2 6" xfId="24685"/>
    <cellStyle name="Normal 12 4 4 2 3" xfId="12647"/>
    <cellStyle name="Normal 12 4 4 2 3 2" xfId="20672"/>
    <cellStyle name="Normal 12 4 4 2 3 2 2" xfId="34697"/>
    <cellStyle name="Normal 12 4 4 2 3 3" xfId="26686"/>
    <cellStyle name="Normal 12 4 4 2 4" xfId="14662"/>
    <cellStyle name="Normal 12 4 4 2 4 2" xfId="22677"/>
    <cellStyle name="Normal 12 4 4 2 4 2 2" xfId="36702"/>
    <cellStyle name="Normal 12 4 4 2 4 3" xfId="28691"/>
    <cellStyle name="Normal 12 4 4 2 5" xfId="16668"/>
    <cellStyle name="Normal 12 4 4 2 5 2" xfId="30693"/>
    <cellStyle name="Normal 12 4 4 2 6" xfId="18670"/>
    <cellStyle name="Normal 12 4 4 2 6 2" xfId="32695"/>
    <cellStyle name="Normal 12 4 4 2 7" xfId="24684"/>
    <cellStyle name="Normal 12 4 4 3" xfId="2048"/>
    <cellStyle name="Normal 12 4 4 3 2" xfId="12649"/>
    <cellStyle name="Normal 12 4 4 3 2 2" xfId="20674"/>
    <cellStyle name="Normal 12 4 4 3 2 2 2" xfId="34699"/>
    <cellStyle name="Normal 12 4 4 3 2 3" xfId="26688"/>
    <cellStyle name="Normal 12 4 4 3 3" xfId="14664"/>
    <cellStyle name="Normal 12 4 4 3 3 2" xfId="22679"/>
    <cellStyle name="Normal 12 4 4 3 3 2 2" xfId="36704"/>
    <cellStyle name="Normal 12 4 4 3 3 3" xfId="28693"/>
    <cellStyle name="Normal 12 4 4 3 4" xfId="16670"/>
    <cellStyle name="Normal 12 4 4 3 4 2" xfId="30695"/>
    <cellStyle name="Normal 12 4 4 3 5" xfId="18672"/>
    <cellStyle name="Normal 12 4 4 3 5 2" xfId="32697"/>
    <cellStyle name="Normal 12 4 4 3 6" xfId="24686"/>
    <cellStyle name="Normal 12 4 4 4" xfId="12646"/>
    <cellStyle name="Normal 12 4 4 4 2" xfId="20671"/>
    <cellStyle name="Normal 12 4 4 4 2 2" xfId="34696"/>
    <cellStyle name="Normal 12 4 4 4 3" xfId="26685"/>
    <cellStyle name="Normal 12 4 4 5" xfId="14661"/>
    <cellStyle name="Normal 12 4 4 5 2" xfId="22676"/>
    <cellStyle name="Normal 12 4 4 5 2 2" xfId="36701"/>
    <cellStyle name="Normal 12 4 4 5 3" xfId="28690"/>
    <cellStyle name="Normal 12 4 4 6" xfId="16667"/>
    <cellStyle name="Normal 12 4 4 6 2" xfId="30692"/>
    <cellStyle name="Normal 12 4 4 7" xfId="18669"/>
    <cellStyle name="Normal 12 4 4 7 2" xfId="32694"/>
    <cellStyle name="Normal 12 4 4 8" xfId="24683"/>
    <cellStyle name="Normal 12 4 5" xfId="2049"/>
    <cellStyle name="Normal 12 4 5 2" xfId="2050"/>
    <cellStyle name="Normal 12 4 5 2 2" xfId="12651"/>
    <cellStyle name="Normal 12 4 5 2 2 2" xfId="20676"/>
    <cellStyle name="Normal 12 4 5 2 2 2 2" xfId="34701"/>
    <cellStyle name="Normal 12 4 5 2 2 3" xfId="26690"/>
    <cellStyle name="Normal 12 4 5 2 3" xfId="14666"/>
    <cellStyle name="Normal 12 4 5 2 3 2" xfId="22681"/>
    <cellStyle name="Normal 12 4 5 2 3 2 2" xfId="36706"/>
    <cellStyle name="Normal 12 4 5 2 3 3" xfId="28695"/>
    <cellStyle name="Normal 12 4 5 2 4" xfId="16672"/>
    <cellStyle name="Normal 12 4 5 2 4 2" xfId="30697"/>
    <cellStyle name="Normal 12 4 5 2 5" xfId="18674"/>
    <cellStyle name="Normal 12 4 5 2 5 2" xfId="32699"/>
    <cellStyle name="Normal 12 4 5 2 6" xfId="24688"/>
    <cellStyle name="Normal 12 4 5 3" xfId="12650"/>
    <cellStyle name="Normal 12 4 5 3 2" xfId="20675"/>
    <cellStyle name="Normal 12 4 5 3 2 2" xfId="34700"/>
    <cellStyle name="Normal 12 4 5 3 3" xfId="26689"/>
    <cellStyle name="Normal 12 4 5 4" xfId="14665"/>
    <cellStyle name="Normal 12 4 5 4 2" xfId="22680"/>
    <cellStyle name="Normal 12 4 5 4 2 2" xfId="36705"/>
    <cellStyle name="Normal 12 4 5 4 3" xfId="28694"/>
    <cellStyle name="Normal 12 4 5 5" xfId="16671"/>
    <cellStyle name="Normal 12 4 5 5 2" xfId="30696"/>
    <cellStyle name="Normal 12 4 5 6" xfId="18673"/>
    <cellStyle name="Normal 12 4 5 6 2" xfId="32698"/>
    <cellStyle name="Normal 12 4 5 7" xfId="24687"/>
    <cellStyle name="Normal 12 4 6" xfId="2051"/>
    <cellStyle name="Normal 12 4 6 2" xfId="2052"/>
    <cellStyle name="Normal 12 4 6 2 2" xfId="12653"/>
    <cellStyle name="Normal 12 4 6 2 2 2" xfId="20678"/>
    <cellStyle name="Normal 12 4 6 2 2 2 2" xfId="34703"/>
    <cellStyle name="Normal 12 4 6 2 2 3" xfId="26692"/>
    <cellStyle name="Normal 12 4 6 2 3" xfId="14668"/>
    <cellStyle name="Normal 12 4 6 2 3 2" xfId="22683"/>
    <cellStyle name="Normal 12 4 6 2 3 2 2" xfId="36708"/>
    <cellStyle name="Normal 12 4 6 2 3 3" xfId="28697"/>
    <cellStyle name="Normal 12 4 6 2 4" xfId="16674"/>
    <cellStyle name="Normal 12 4 6 2 4 2" xfId="30699"/>
    <cellStyle name="Normal 12 4 6 2 5" xfId="18676"/>
    <cellStyle name="Normal 12 4 6 2 5 2" xfId="32701"/>
    <cellStyle name="Normal 12 4 6 2 6" xfId="24690"/>
    <cellStyle name="Normal 12 4 6 3" xfId="12652"/>
    <cellStyle name="Normal 12 4 6 3 2" xfId="20677"/>
    <cellStyle name="Normal 12 4 6 3 2 2" xfId="34702"/>
    <cellStyle name="Normal 12 4 6 3 3" xfId="26691"/>
    <cellStyle name="Normal 12 4 6 4" xfId="14667"/>
    <cellStyle name="Normal 12 4 6 4 2" xfId="22682"/>
    <cellStyle name="Normal 12 4 6 4 2 2" xfId="36707"/>
    <cellStyle name="Normal 12 4 6 4 3" xfId="28696"/>
    <cellStyle name="Normal 12 4 6 5" xfId="16673"/>
    <cellStyle name="Normal 12 4 6 5 2" xfId="30698"/>
    <cellStyle name="Normal 12 4 6 6" xfId="18675"/>
    <cellStyle name="Normal 12 4 6 6 2" xfId="32700"/>
    <cellStyle name="Normal 12 4 6 7" xfId="24689"/>
    <cellStyle name="Normal 12 4 7" xfId="2053"/>
    <cellStyle name="Normal 12 4 7 2" xfId="12654"/>
    <cellStyle name="Normal 12 4 7 2 2" xfId="20679"/>
    <cellStyle name="Normal 12 4 7 2 2 2" xfId="34704"/>
    <cellStyle name="Normal 12 4 7 2 3" xfId="26693"/>
    <cellStyle name="Normal 12 4 7 3" xfId="14669"/>
    <cellStyle name="Normal 12 4 7 3 2" xfId="22684"/>
    <cellStyle name="Normal 12 4 7 3 2 2" xfId="36709"/>
    <cellStyle name="Normal 12 4 7 3 3" xfId="28698"/>
    <cellStyle name="Normal 12 4 7 4" xfId="16675"/>
    <cellStyle name="Normal 12 4 7 4 2" xfId="30700"/>
    <cellStyle name="Normal 12 4 7 5" xfId="18677"/>
    <cellStyle name="Normal 12 4 7 5 2" xfId="32702"/>
    <cellStyle name="Normal 12 4 7 6" xfId="24691"/>
    <cellStyle name="Normal 12 5" xfId="2054"/>
    <cellStyle name="Normal 12 5 10" xfId="18678"/>
    <cellStyle name="Normal 12 5 10 2" xfId="32703"/>
    <cellStyle name="Normal 12 5 11" xfId="24692"/>
    <cellStyle name="Normal 12 5 2" xfId="2055"/>
    <cellStyle name="Normal 12 5 2 10" xfId="24693"/>
    <cellStyle name="Normal 12 5 2 2" xfId="2056"/>
    <cellStyle name="Normal 12 5 2 2 2" xfId="2057"/>
    <cellStyle name="Normal 12 5 2 2 2 2" xfId="2058"/>
    <cellStyle name="Normal 12 5 2 2 2 2 2" xfId="12659"/>
    <cellStyle name="Normal 12 5 2 2 2 2 2 2" xfId="20684"/>
    <cellStyle name="Normal 12 5 2 2 2 2 2 2 2" xfId="34709"/>
    <cellStyle name="Normal 12 5 2 2 2 2 2 3" xfId="26698"/>
    <cellStyle name="Normal 12 5 2 2 2 2 3" xfId="14674"/>
    <cellStyle name="Normal 12 5 2 2 2 2 3 2" xfId="22689"/>
    <cellStyle name="Normal 12 5 2 2 2 2 3 2 2" xfId="36714"/>
    <cellStyle name="Normal 12 5 2 2 2 2 3 3" xfId="28703"/>
    <cellStyle name="Normal 12 5 2 2 2 2 4" xfId="16680"/>
    <cellStyle name="Normal 12 5 2 2 2 2 4 2" xfId="30705"/>
    <cellStyle name="Normal 12 5 2 2 2 2 5" xfId="18682"/>
    <cellStyle name="Normal 12 5 2 2 2 2 5 2" xfId="32707"/>
    <cellStyle name="Normal 12 5 2 2 2 2 6" xfId="24696"/>
    <cellStyle name="Normal 12 5 2 2 2 3" xfId="12658"/>
    <cellStyle name="Normal 12 5 2 2 2 3 2" xfId="20683"/>
    <cellStyle name="Normal 12 5 2 2 2 3 2 2" xfId="34708"/>
    <cellStyle name="Normal 12 5 2 2 2 3 3" xfId="26697"/>
    <cellStyle name="Normal 12 5 2 2 2 4" xfId="14673"/>
    <cellStyle name="Normal 12 5 2 2 2 4 2" xfId="22688"/>
    <cellStyle name="Normal 12 5 2 2 2 4 2 2" xfId="36713"/>
    <cellStyle name="Normal 12 5 2 2 2 4 3" xfId="28702"/>
    <cellStyle name="Normal 12 5 2 2 2 5" xfId="16679"/>
    <cellStyle name="Normal 12 5 2 2 2 5 2" xfId="30704"/>
    <cellStyle name="Normal 12 5 2 2 2 6" xfId="18681"/>
    <cellStyle name="Normal 12 5 2 2 2 6 2" xfId="32706"/>
    <cellStyle name="Normal 12 5 2 2 2 7" xfId="24695"/>
    <cellStyle name="Normal 12 5 2 2 3" xfId="2059"/>
    <cellStyle name="Normal 12 5 2 2 3 2" xfId="12660"/>
    <cellStyle name="Normal 12 5 2 2 3 2 2" xfId="20685"/>
    <cellStyle name="Normal 12 5 2 2 3 2 2 2" xfId="34710"/>
    <cellStyle name="Normal 12 5 2 2 3 2 3" xfId="26699"/>
    <cellStyle name="Normal 12 5 2 2 3 3" xfId="14675"/>
    <cellStyle name="Normal 12 5 2 2 3 3 2" xfId="22690"/>
    <cellStyle name="Normal 12 5 2 2 3 3 2 2" xfId="36715"/>
    <cellStyle name="Normal 12 5 2 2 3 3 3" xfId="28704"/>
    <cellStyle name="Normal 12 5 2 2 3 4" xfId="16681"/>
    <cellStyle name="Normal 12 5 2 2 3 4 2" xfId="30706"/>
    <cellStyle name="Normal 12 5 2 2 3 5" xfId="18683"/>
    <cellStyle name="Normal 12 5 2 2 3 5 2" xfId="32708"/>
    <cellStyle name="Normal 12 5 2 2 3 6" xfId="24697"/>
    <cellStyle name="Normal 12 5 2 2 4" xfId="12657"/>
    <cellStyle name="Normal 12 5 2 2 4 2" xfId="20682"/>
    <cellStyle name="Normal 12 5 2 2 4 2 2" xfId="34707"/>
    <cellStyle name="Normal 12 5 2 2 4 3" xfId="26696"/>
    <cellStyle name="Normal 12 5 2 2 5" xfId="14672"/>
    <cellStyle name="Normal 12 5 2 2 5 2" xfId="22687"/>
    <cellStyle name="Normal 12 5 2 2 5 2 2" xfId="36712"/>
    <cellStyle name="Normal 12 5 2 2 5 3" xfId="28701"/>
    <cellStyle name="Normal 12 5 2 2 6" xfId="16678"/>
    <cellStyle name="Normal 12 5 2 2 6 2" xfId="30703"/>
    <cellStyle name="Normal 12 5 2 2 7" xfId="18680"/>
    <cellStyle name="Normal 12 5 2 2 7 2" xfId="32705"/>
    <cellStyle name="Normal 12 5 2 2 8" xfId="24694"/>
    <cellStyle name="Normal 12 5 2 3" xfId="2060"/>
    <cellStyle name="Normal 12 5 2 3 2" xfId="2061"/>
    <cellStyle name="Normal 12 5 2 3 2 2" xfId="12662"/>
    <cellStyle name="Normal 12 5 2 3 2 2 2" xfId="20687"/>
    <cellStyle name="Normal 12 5 2 3 2 2 2 2" xfId="34712"/>
    <cellStyle name="Normal 12 5 2 3 2 2 3" xfId="26701"/>
    <cellStyle name="Normal 12 5 2 3 2 3" xfId="14677"/>
    <cellStyle name="Normal 12 5 2 3 2 3 2" xfId="22692"/>
    <cellStyle name="Normal 12 5 2 3 2 3 2 2" xfId="36717"/>
    <cellStyle name="Normal 12 5 2 3 2 3 3" xfId="28706"/>
    <cellStyle name="Normal 12 5 2 3 2 4" xfId="16683"/>
    <cellStyle name="Normal 12 5 2 3 2 4 2" xfId="30708"/>
    <cellStyle name="Normal 12 5 2 3 2 5" xfId="18685"/>
    <cellStyle name="Normal 12 5 2 3 2 5 2" xfId="32710"/>
    <cellStyle name="Normal 12 5 2 3 2 6" xfId="24699"/>
    <cellStyle name="Normal 12 5 2 3 3" xfId="12661"/>
    <cellStyle name="Normal 12 5 2 3 3 2" xfId="20686"/>
    <cellStyle name="Normal 12 5 2 3 3 2 2" xfId="34711"/>
    <cellStyle name="Normal 12 5 2 3 3 3" xfId="26700"/>
    <cellStyle name="Normal 12 5 2 3 4" xfId="14676"/>
    <cellStyle name="Normal 12 5 2 3 4 2" xfId="22691"/>
    <cellStyle name="Normal 12 5 2 3 4 2 2" xfId="36716"/>
    <cellStyle name="Normal 12 5 2 3 4 3" xfId="28705"/>
    <cellStyle name="Normal 12 5 2 3 5" xfId="16682"/>
    <cellStyle name="Normal 12 5 2 3 5 2" xfId="30707"/>
    <cellStyle name="Normal 12 5 2 3 6" xfId="18684"/>
    <cellStyle name="Normal 12 5 2 3 6 2" xfId="32709"/>
    <cellStyle name="Normal 12 5 2 3 7" xfId="24698"/>
    <cellStyle name="Normal 12 5 2 4" xfId="2062"/>
    <cellStyle name="Normal 12 5 2 4 2" xfId="2063"/>
    <cellStyle name="Normal 12 5 2 4 2 2" xfId="12664"/>
    <cellStyle name="Normal 12 5 2 4 2 2 2" xfId="20689"/>
    <cellStyle name="Normal 12 5 2 4 2 2 2 2" xfId="34714"/>
    <cellStyle name="Normal 12 5 2 4 2 2 3" xfId="26703"/>
    <cellStyle name="Normal 12 5 2 4 2 3" xfId="14679"/>
    <cellStyle name="Normal 12 5 2 4 2 3 2" xfId="22694"/>
    <cellStyle name="Normal 12 5 2 4 2 3 2 2" xfId="36719"/>
    <cellStyle name="Normal 12 5 2 4 2 3 3" xfId="28708"/>
    <cellStyle name="Normal 12 5 2 4 2 4" xfId="16685"/>
    <cellStyle name="Normal 12 5 2 4 2 4 2" xfId="30710"/>
    <cellStyle name="Normal 12 5 2 4 2 5" xfId="18687"/>
    <cellStyle name="Normal 12 5 2 4 2 5 2" xfId="32712"/>
    <cellStyle name="Normal 12 5 2 4 2 6" xfId="24701"/>
    <cellStyle name="Normal 12 5 2 4 3" xfId="12663"/>
    <cellStyle name="Normal 12 5 2 4 3 2" xfId="20688"/>
    <cellStyle name="Normal 12 5 2 4 3 2 2" xfId="34713"/>
    <cellStyle name="Normal 12 5 2 4 3 3" xfId="26702"/>
    <cellStyle name="Normal 12 5 2 4 4" xfId="14678"/>
    <cellStyle name="Normal 12 5 2 4 4 2" xfId="22693"/>
    <cellStyle name="Normal 12 5 2 4 4 2 2" xfId="36718"/>
    <cellStyle name="Normal 12 5 2 4 4 3" xfId="28707"/>
    <cellStyle name="Normal 12 5 2 4 5" xfId="16684"/>
    <cellStyle name="Normal 12 5 2 4 5 2" xfId="30709"/>
    <cellStyle name="Normal 12 5 2 4 6" xfId="18686"/>
    <cellStyle name="Normal 12 5 2 4 6 2" xfId="32711"/>
    <cellStyle name="Normal 12 5 2 4 7" xfId="24700"/>
    <cellStyle name="Normal 12 5 2 5" xfId="2064"/>
    <cellStyle name="Normal 12 5 2 5 2" xfId="12665"/>
    <cellStyle name="Normal 12 5 2 5 2 2" xfId="20690"/>
    <cellStyle name="Normal 12 5 2 5 2 2 2" xfId="34715"/>
    <cellStyle name="Normal 12 5 2 5 2 3" xfId="26704"/>
    <cellStyle name="Normal 12 5 2 5 3" xfId="14680"/>
    <cellStyle name="Normal 12 5 2 5 3 2" xfId="22695"/>
    <cellStyle name="Normal 12 5 2 5 3 2 2" xfId="36720"/>
    <cellStyle name="Normal 12 5 2 5 3 3" xfId="28709"/>
    <cellStyle name="Normal 12 5 2 5 4" xfId="16686"/>
    <cellStyle name="Normal 12 5 2 5 4 2" xfId="30711"/>
    <cellStyle name="Normal 12 5 2 5 5" xfId="18688"/>
    <cellStyle name="Normal 12 5 2 5 5 2" xfId="32713"/>
    <cellStyle name="Normal 12 5 2 5 6" xfId="24702"/>
    <cellStyle name="Normal 12 5 2 6" xfId="12656"/>
    <cellStyle name="Normal 12 5 2 6 2" xfId="20681"/>
    <cellStyle name="Normal 12 5 2 6 2 2" xfId="34706"/>
    <cellStyle name="Normal 12 5 2 6 3" xfId="26695"/>
    <cellStyle name="Normal 12 5 2 7" xfId="14671"/>
    <cellStyle name="Normal 12 5 2 7 2" xfId="22686"/>
    <cellStyle name="Normal 12 5 2 7 2 2" xfId="36711"/>
    <cellStyle name="Normal 12 5 2 7 3" xfId="28700"/>
    <cellStyle name="Normal 12 5 2 8" xfId="16677"/>
    <cellStyle name="Normal 12 5 2 8 2" xfId="30702"/>
    <cellStyle name="Normal 12 5 2 9" xfId="18679"/>
    <cellStyle name="Normal 12 5 2 9 2" xfId="32704"/>
    <cellStyle name="Normal 12 5 3" xfId="2065"/>
    <cellStyle name="Normal 12 5 3 2" xfId="2066"/>
    <cellStyle name="Normal 12 5 3 2 2" xfId="2067"/>
    <cellStyle name="Normal 12 5 3 2 2 2" xfId="12668"/>
    <cellStyle name="Normal 12 5 3 2 2 2 2" xfId="20693"/>
    <cellStyle name="Normal 12 5 3 2 2 2 2 2" xfId="34718"/>
    <cellStyle name="Normal 12 5 3 2 2 2 3" xfId="26707"/>
    <cellStyle name="Normal 12 5 3 2 2 3" xfId="14683"/>
    <cellStyle name="Normal 12 5 3 2 2 3 2" xfId="22698"/>
    <cellStyle name="Normal 12 5 3 2 2 3 2 2" xfId="36723"/>
    <cellStyle name="Normal 12 5 3 2 2 3 3" xfId="28712"/>
    <cellStyle name="Normal 12 5 3 2 2 4" xfId="16689"/>
    <cellStyle name="Normal 12 5 3 2 2 4 2" xfId="30714"/>
    <cellStyle name="Normal 12 5 3 2 2 5" xfId="18691"/>
    <cellStyle name="Normal 12 5 3 2 2 5 2" xfId="32716"/>
    <cellStyle name="Normal 12 5 3 2 2 6" xfId="24705"/>
    <cellStyle name="Normal 12 5 3 2 3" xfId="12667"/>
    <cellStyle name="Normal 12 5 3 2 3 2" xfId="20692"/>
    <cellStyle name="Normal 12 5 3 2 3 2 2" xfId="34717"/>
    <cellStyle name="Normal 12 5 3 2 3 3" xfId="26706"/>
    <cellStyle name="Normal 12 5 3 2 4" xfId="14682"/>
    <cellStyle name="Normal 12 5 3 2 4 2" xfId="22697"/>
    <cellStyle name="Normal 12 5 3 2 4 2 2" xfId="36722"/>
    <cellStyle name="Normal 12 5 3 2 4 3" xfId="28711"/>
    <cellStyle name="Normal 12 5 3 2 5" xfId="16688"/>
    <cellStyle name="Normal 12 5 3 2 5 2" xfId="30713"/>
    <cellStyle name="Normal 12 5 3 2 6" xfId="18690"/>
    <cellStyle name="Normal 12 5 3 2 6 2" xfId="32715"/>
    <cellStyle name="Normal 12 5 3 2 7" xfId="24704"/>
    <cellStyle name="Normal 12 5 3 3" xfId="2068"/>
    <cellStyle name="Normal 12 5 3 3 2" xfId="12669"/>
    <cellStyle name="Normal 12 5 3 3 2 2" xfId="20694"/>
    <cellStyle name="Normal 12 5 3 3 2 2 2" xfId="34719"/>
    <cellStyle name="Normal 12 5 3 3 2 3" xfId="26708"/>
    <cellStyle name="Normal 12 5 3 3 3" xfId="14684"/>
    <cellStyle name="Normal 12 5 3 3 3 2" xfId="22699"/>
    <cellStyle name="Normal 12 5 3 3 3 2 2" xfId="36724"/>
    <cellStyle name="Normal 12 5 3 3 3 3" xfId="28713"/>
    <cellStyle name="Normal 12 5 3 3 4" xfId="16690"/>
    <cellStyle name="Normal 12 5 3 3 4 2" xfId="30715"/>
    <cellStyle name="Normal 12 5 3 3 5" xfId="18692"/>
    <cellStyle name="Normal 12 5 3 3 5 2" xfId="32717"/>
    <cellStyle name="Normal 12 5 3 3 6" xfId="24706"/>
    <cellStyle name="Normal 12 5 3 4" xfId="12666"/>
    <cellStyle name="Normal 12 5 3 4 2" xfId="20691"/>
    <cellStyle name="Normal 12 5 3 4 2 2" xfId="34716"/>
    <cellStyle name="Normal 12 5 3 4 3" xfId="26705"/>
    <cellStyle name="Normal 12 5 3 5" xfId="14681"/>
    <cellStyle name="Normal 12 5 3 5 2" xfId="22696"/>
    <cellStyle name="Normal 12 5 3 5 2 2" xfId="36721"/>
    <cellStyle name="Normal 12 5 3 5 3" xfId="28710"/>
    <cellStyle name="Normal 12 5 3 6" xfId="16687"/>
    <cellStyle name="Normal 12 5 3 6 2" xfId="30712"/>
    <cellStyle name="Normal 12 5 3 7" xfId="18689"/>
    <cellStyle name="Normal 12 5 3 7 2" xfId="32714"/>
    <cellStyle name="Normal 12 5 3 8" xfId="24703"/>
    <cellStyle name="Normal 12 5 4" xfId="2069"/>
    <cellStyle name="Normal 12 5 4 2" xfId="2070"/>
    <cellStyle name="Normal 12 5 4 2 2" xfId="12671"/>
    <cellStyle name="Normal 12 5 4 2 2 2" xfId="20696"/>
    <cellStyle name="Normal 12 5 4 2 2 2 2" xfId="34721"/>
    <cellStyle name="Normal 12 5 4 2 2 3" xfId="26710"/>
    <cellStyle name="Normal 12 5 4 2 3" xfId="14686"/>
    <cellStyle name="Normal 12 5 4 2 3 2" xfId="22701"/>
    <cellStyle name="Normal 12 5 4 2 3 2 2" xfId="36726"/>
    <cellStyle name="Normal 12 5 4 2 3 3" xfId="28715"/>
    <cellStyle name="Normal 12 5 4 2 4" xfId="16692"/>
    <cellStyle name="Normal 12 5 4 2 4 2" xfId="30717"/>
    <cellStyle name="Normal 12 5 4 2 5" xfId="18694"/>
    <cellStyle name="Normal 12 5 4 2 5 2" xfId="32719"/>
    <cellStyle name="Normal 12 5 4 2 6" xfId="24708"/>
    <cellStyle name="Normal 12 5 4 3" xfId="12670"/>
    <cellStyle name="Normal 12 5 4 3 2" xfId="20695"/>
    <cellStyle name="Normal 12 5 4 3 2 2" xfId="34720"/>
    <cellStyle name="Normal 12 5 4 3 3" xfId="26709"/>
    <cellStyle name="Normal 12 5 4 4" xfId="14685"/>
    <cellStyle name="Normal 12 5 4 4 2" xfId="22700"/>
    <cellStyle name="Normal 12 5 4 4 2 2" xfId="36725"/>
    <cellStyle name="Normal 12 5 4 4 3" xfId="28714"/>
    <cellStyle name="Normal 12 5 4 5" xfId="16691"/>
    <cellStyle name="Normal 12 5 4 5 2" xfId="30716"/>
    <cellStyle name="Normal 12 5 4 6" xfId="18693"/>
    <cellStyle name="Normal 12 5 4 6 2" xfId="32718"/>
    <cellStyle name="Normal 12 5 4 7" xfId="24707"/>
    <cellStyle name="Normal 12 5 5" xfId="2071"/>
    <cellStyle name="Normal 12 5 5 2" xfId="2072"/>
    <cellStyle name="Normal 12 5 5 2 2" xfId="12673"/>
    <cellStyle name="Normal 12 5 5 2 2 2" xfId="20698"/>
    <cellStyle name="Normal 12 5 5 2 2 2 2" xfId="34723"/>
    <cellStyle name="Normal 12 5 5 2 2 3" xfId="26712"/>
    <cellStyle name="Normal 12 5 5 2 3" xfId="14688"/>
    <cellStyle name="Normal 12 5 5 2 3 2" xfId="22703"/>
    <cellStyle name="Normal 12 5 5 2 3 2 2" xfId="36728"/>
    <cellStyle name="Normal 12 5 5 2 3 3" xfId="28717"/>
    <cellStyle name="Normal 12 5 5 2 4" xfId="16694"/>
    <cellStyle name="Normal 12 5 5 2 4 2" xfId="30719"/>
    <cellStyle name="Normal 12 5 5 2 5" xfId="18696"/>
    <cellStyle name="Normal 12 5 5 2 5 2" xfId="32721"/>
    <cellStyle name="Normal 12 5 5 2 6" xfId="24710"/>
    <cellStyle name="Normal 12 5 5 3" xfId="12672"/>
    <cellStyle name="Normal 12 5 5 3 2" xfId="20697"/>
    <cellStyle name="Normal 12 5 5 3 2 2" xfId="34722"/>
    <cellStyle name="Normal 12 5 5 3 3" xfId="26711"/>
    <cellStyle name="Normal 12 5 5 4" xfId="14687"/>
    <cellStyle name="Normal 12 5 5 4 2" xfId="22702"/>
    <cellStyle name="Normal 12 5 5 4 2 2" xfId="36727"/>
    <cellStyle name="Normal 12 5 5 4 3" xfId="28716"/>
    <cellStyle name="Normal 12 5 5 5" xfId="16693"/>
    <cellStyle name="Normal 12 5 5 5 2" xfId="30718"/>
    <cellStyle name="Normal 12 5 5 6" xfId="18695"/>
    <cellStyle name="Normal 12 5 5 6 2" xfId="32720"/>
    <cellStyle name="Normal 12 5 5 7" xfId="24709"/>
    <cellStyle name="Normal 12 5 6" xfId="2073"/>
    <cellStyle name="Normal 12 5 6 2" xfId="12674"/>
    <cellStyle name="Normal 12 5 6 2 2" xfId="20699"/>
    <cellStyle name="Normal 12 5 6 2 2 2" xfId="34724"/>
    <cellStyle name="Normal 12 5 6 2 3" xfId="26713"/>
    <cellStyle name="Normal 12 5 6 3" xfId="14689"/>
    <cellStyle name="Normal 12 5 6 3 2" xfId="22704"/>
    <cellStyle name="Normal 12 5 6 3 2 2" xfId="36729"/>
    <cellStyle name="Normal 12 5 6 3 3" xfId="28718"/>
    <cellStyle name="Normal 12 5 6 4" xfId="16695"/>
    <cellStyle name="Normal 12 5 6 4 2" xfId="30720"/>
    <cellStyle name="Normal 12 5 6 5" xfId="18697"/>
    <cellStyle name="Normal 12 5 6 5 2" xfId="32722"/>
    <cellStyle name="Normal 12 5 6 6" xfId="24711"/>
    <cellStyle name="Normal 12 5 7" xfId="12655"/>
    <cellStyle name="Normal 12 5 7 2" xfId="20680"/>
    <cellStyle name="Normal 12 5 7 2 2" xfId="34705"/>
    <cellStyle name="Normal 12 5 7 3" xfId="26694"/>
    <cellStyle name="Normal 12 5 8" xfId="14670"/>
    <cellStyle name="Normal 12 5 8 2" xfId="22685"/>
    <cellStyle name="Normal 12 5 8 2 2" xfId="36710"/>
    <cellStyle name="Normal 12 5 8 3" xfId="28699"/>
    <cellStyle name="Normal 12 5 9" xfId="16676"/>
    <cellStyle name="Normal 12 5 9 2" xfId="30701"/>
    <cellStyle name="Normal 12 6" xfId="2074"/>
    <cellStyle name="Normal 12 6 10" xfId="24712"/>
    <cellStyle name="Normal 12 6 2" xfId="2075"/>
    <cellStyle name="Normal 12 6 2 2" xfId="2076"/>
    <cellStyle name="Normal 12 6 2 2 2" xfId="2077"/>
    <cellStyle name="Normal 12 6 2 2 2 2" xfId="12678"/>
    <cellStyle name="Normal 12 6 2 2 2 2 2" xfId="20703"/>
    <cellStyle name="Normal 12 6 2 2 2 2 2 2" xfId="34728"/>
    <cellStyle name="Normal 12 6 2 2 2 2 3" xfId="26717"/>
    <cellStyle name="Normal 12 6 2 2 2 3" xfId="14693"/>
    <cellStyle name="Normal 12 6 2 2 2 3 2" xfId="22708"/>
    <cellStyle name="Normal 12 6 2 2 2 3 2 2" xfId="36733"/>
    <cellStyle name="Normal 12 6 2 2 2 3 3" xfId="28722"/>
    <cellStyle name="Normal 12 6 2 2 2 4" xfId="16699"/>
    <cellStyle name="Normal 12 6 2 2 2 4 2" xfId="30724"/>
    <cellStyle name="Normal 12 6 2 2 2 5" xfId="18701"/>
    <cellStyle name="Normal 12 6 2 2 2 5 2" xfId="32726"/>
    <cellStyle name="Normal 12 6 2 2 2 6" xfId="24715"/>
    <cellStyle name="Normal 12 6 2 2 3" xfId="12677"/>
    <cellStyle name="Normal 12 6 2 2 3 2" xfId="20702"/>
    <cellStyle name="Normal 12 6 2 2 3 2 2" xfId="34727"/>
    <cellStyle name="Normal 12 6 2 2 3 3" xfId="26716"/>
    <cellStyle name="Normal 12 6 2 2 4" xfId="14692"/>
    <cellStyle name="Normal 12 6 2 2 4 2" xfId="22707"/>
    <cellStyle name="Normal 12 6 2 2 4 2 2" xfId="36732"/>
    <cellStyle name="Normal 12 6 2 2 4 3" xfId="28721"/>
    <cellStyle name="Normal 12 6 2 2 5" xfId="16698"/>
    <cellStyle name="Normal 12 6 2 2 5 2" xfId="30723"/>
    <cellStyle name="Normal 12 6 2 2 6" xfId="18700"/>
    <cellStyle name="Normal 12 6 2 2 6 2" xfId="32725"/>
    <cellStyle name="Normal 12 6 2 2 7" xfId="24714"/>
    <cellStyle name="Normal 12 6 2 3" xfId="2078"/>
    <cellStyle name="Normal 12 6 2 3 2" xfId="12679"/>
    <cellStyle name="Normal 12 6 2 3 2 2" xfId="20704"/>
    <cellStyle name="Normal 12 6 2 3 2 2 2" xfId="34729"/>
    <cellStyle name="Normal 12 6 2 3 2 3" xfId="26718"/>
    <cellStyle name="Normal 12 6 2 3 3" xfId="14694"/>
    <cellStyle name="Normal 12 6 2 3 3 2" xfId="22709"/>
    <cellStyle name="Normal 12 6 2 3 3 2 2" xfId="36734"/>
    <cellStyle name="Normal 12 6 2 3 3 3" xfId="28723"/>
    <cellStyle name="Normal 12 6 2 3 4" xfId="16700"/>
    <cellStyle name="Normal 12 6 2 3 4 2" xfId="30725"/>
    <cellStyle name="Normal 12 6 2 3 5" xfId="18702"/>
    <cellStyle name="Normal 12 6 2 3 5 2" xfId="32727"/>
    <cellStyle name="Normal 12 6 2 3 6" xfId="24716"/>
    <cellStyle name="Normal 12 6 2 4" xfId="12676"/>
    <cellStyle name="Normal 12 6 2 4 2" xfId="20701"/>
    <cellStyle name="Normal 12 6 2 4 2 2" xfId="34726"/>
    <cellStyle name="Normal 12 6 2 4 3" xfId="26715"/>
    <cellStyle name="Normal 12 6 2 5" xfId="14691"/>
    <cellStyle name="Normal 12 6 2 5 2" xfId="22706"/>
    <cellStyle name="Normal 12 6 2 5 2 2" xfId="36731"/>
    <cellStyle name="Normal 12 6 2 5 3" xfId="28720"/>
    <cellStyle name="Normal 12 6 2 6" xfId="16697"/>
    <cellStyle name="Normal 12 6 2 6 2" xfId="30722"/>
    <cellStyle name="Normal 12 6 2 7" xfId="18699"/>
    <cellStyle name="Normal 12 6 2 7 2" xfId="32724"/>
    <cellStyle name="Normal 12 6 2 8" xfId="24713"/>
    <cellStyle name="Normal 12 6 3" xfId="2079"/>
    <cellStyle name="Normal 12 6 3 2" xfId="2080"/>
    <cellStyle name="Normal 12 6 3 2 2" xfId="12681"/>
    <cellStyle name="Normal 12 6 3 2 2 2" xfId="20706"/>
    <cellStyle name="Normal 12 6 3 2 2 2 2" xfId="34731"/>
    <cellStyle name="Normal 12 6 3 2 2 3" xfId="26720"/>
    <cellStyle name="Normal 12 6 3 2 3" xfId="14696"/>
    <cellStyle name="Normal 12 6 3 2 3 2" xfId="22711"/>
    <cellStyle name="Normal 12 6 3 2 3 2 2" xfId="36736"/>
    <cellStyle name="Normal 12 6 3 2 3 3" xfId="28725"/>
    <cellStyle name="Normal 12 6 3 2 4" xfId="16702"/>
    <cellStyle name="Normal 12 6 3 2 4 2" xfId="30727"/>
    <cellStyle name="Normal 12 6 3 2 5" xfId="18704"/>
    <cellStyle name="Normal 12 6 3 2 5 2" xfId="32729"/>
    <cellStyle name="Normal 12 6 3 2 6" xfId="24718"/>
    <cellStyle name="Normal 12 6 3 3" xfId="12680"/>
    <cellStyle name="Normal 12 6 3 3 2" xfId="20705"/>
    <cellStyle name="Normal 12 6 3 3 2 2" xfId="34730"/>
    <cellStyle name="Normal 12 6 3 3 3" xfId="26719"/>
    <cellStyle name="Normal 12 6 3 4" xfId="14695"/>
    <cellStyle name="Normal 12 6 3 4 2" xfId="22710"/>
    <cellStyle name="Normal 12 6 3 4 2 2" xfId="36735"/>
    <cellStyle name="Normal 12 6 3 4 3" xfId="28724"/>
    <cellStyle name="Normal 12 6 3 5" xfId="16701"/>
    <cellStyle name="Normal 12 6 3 5 2" xfId="30726"/>
    <cellStyle name="Normal 12 6 3 6" xfId="18703"/>
    <cellStyle name="Normal 12 6 3 6 2" xfId="32728"/>
    <cellStyle name="Normal 12 6 3 7" xfId="24717"/>
    <cellStyle name="Normal 12 6 4" xfId="2081"/>
    <cellStyle name="Normal 12 6 4 2" xfId="2082"/>
    <cellStyle name="Normal 12 6 4 2 2" xfId="12683"/>
    <cellStyle name="Normal 12 6 4 2 2 2" xfId="20708"/>
    <cellStyle name="Normal 12 6 4 2 2 2 2" xfId="34733"/>
    <cellStyle name="Normal 12 6 4 2 2 3" xfId="26722"/>
    <cellStyle name="Normal 12 6 4 2 3" xfId="14698"/>
    <cellStyle name="Normal 12 6 4 2 3 2" xfId="22713"/>
    <cellStyle name="Normal 12 6 4 2 3 2 2" xfId="36738"/>
    <cellStyle name="Normal 12 6 4 2 3 3" xfId="28727"/>
    <cellStyle name="Normal 12 6 4 2 4" xfId="16704"/>
    <cellStyle name="Normal 12 6 4 2 4 2" xfId="30729"/>
    <cellStyle name="Normal 12 6 4 2 5" xfId="18706"/>
    <cellStyle name="Normal 12 6 4 2 5 2" xfId="32731"/>
    <cellStyle name="Normal 12 6 4 2 6" xfId="24720"/>
    <cellStyle name="Normal 12 6 4 3" xfId="12682"/>
    <cellStyle name="Normal 12 6 4 3 2" xfId="20707"/>
    <cellStyle name="Normal 12 6 4 3 2 2" xfId="34732"/>
    <cellStyle name="Normal 12 6 4 3 3" xfId="26721"/>
    <cellStyle name="Normal 12 6 4 4" xfId="14697"/>
    <cellStyle name="Normal 12 6 4 4 2" xfId="22712"/>
    <cellStyle name="Normal 12 6 4 4 2 2" xfId="36737"/>
    <cellStyle name="Normal 12 6 4 4 3" xfId="28726"/>
    <cellStyle name="Normal 12 6 4 5" xfId="16703"/>
    <cellStyle name="Normal 12 6 4 5 2" xfId="30728"/>
    <cellStyle name="Normal 12 6 4 6" xfId="18705"/>
    <cellStyle name="Normal 12 6 4 6 2" xfId="32730"/>
    <cellStyle name="Normal 12 6 4 7" xfId="24719"/>
    <cellStyle name="Normal 12 6 5" xfId="2083"/>
    <cellStyle name="Normal 12 6 5 2" xfId="12684"/>
    <cellStyle name="Normal 12 6 5 2 2" xfId="20709"/>
    <cellStyle name="Normal 12 6 5 2 2 2" xfId="34734"/>
    <cellStyle name="Normal 12 6 5 2 3" xfId="26723"/>
    <cellStyle name="Normal 12 6 5 3" xfId="14699"/>
    <cellStyle name="Normal 12 6 5 3 2" xfId="22714"/>
    <cellStyle name="Normal 12 6 5 3 2 2" xfId="36739"/>
    <cellStyle name="Normal 12 6 5 3 3" xfId="28728"/>
    <cellStyle name="Normal 12 6 5 4" xfId="16705"/>
    <cellStyle name="Normal 12 6 5 4 2" xfId="30730"/>
    <cellStyle name="Normal 12 6 5 5" xfId="18707"/>
    <cellStyle name="Normal 12 6 5 5 2" xfId="32732"/>
    <cellStyle name="Normal 12 6 5 6" xfId="24721"/>
    <cellStyle name="Normal 12 6 6" xfId="12675"/>
    <cellStyle name="Normal 12 6 6 2" xfId="20700"/>
    <cellStyle name="Normal 12 6 6 2 2" xfId="34725"/>
    <cellStyle name="Normal 12 6 6 3" xfId="26714"/>
    <cellStyle name="Normal 12 6 7" xfId="14690"/>
    <cellStyle name="Normal 12 6 7 2" xfId="22705"/>
    <cellStyle name="Normal 12 6 7 2 2" xfId="36730"/>
    <cellStyle name="Normal 12 6 7 3" xfId="28719"/>
    <cellStyle name="Normal 12 6 8" xfId="16696"/>
    <cellStyle name="Normal 12 6 8 2" xfId="30721"/>
    <cellStyle name="Normal 12 6 9" xfId="18698"/>
    <cellStyle name="Normal 12 6 9 2" xfId="32723"/>
    <cellStyle name="Normal 12 7" xfId="2084"/>
    <cellStyle name="Normal 12 7 2" xfId="2085"/>
    <cellStyle name="Normal 12 7 2 2" xfId="2086"/>
    <cellStyle name="Normal 12 7 2 2 2" xfId="12687"/>
    <cellStyle name="Normal 12 7 2 2 2 2" xfId="20712"/>
    <cellStyle name="Normal 12 7 2 2 2 2 2" xfId="34737"/>
    <cellStyle name="Normal 12 7 2 2 2 3" xfId="26726"/>
    <cellStyle name="Normal 12 7 2 2 3" xfId="14702"/>
    <cellStyle name="Normal 12 7 2 2 3 2" xfId="22717"/>
    <cellStyle name="Normal 12 7 2 2 3 2 2" xfId="36742"/>
    <cellStyle name="Normal 12 7 2 2 3 3" xfId="28731"/>
    <cellStyle name="Normal 12 7 2 2 4" xfId="16708"/>
    <cellStyle name="Normal 12 7 2 2 4 2" xfId="30733"/>
    <cellStyle name="Normal 12 7 2 2 5" xfId="18710"/>
    <cellStyle name="Normal 12 7 2 2 5 2" xfId="32735"/>
    <cellStyle name="Normal 12 7 2 2 6" xfId="24724"/>
    <cellStyle name="Normal 12 7 2 3" xfId="12686"/>
    <cellStyle name="Normal 12 7 2 3 2" xfId="20711"/>
    <cellStyle name="Normal 12 7 2 3 2 2" xfId="34736"/>
    <cellStyle name="Normal 12 7 2 3 3" xfId="26725"/>
    <cellStyle name="Normal 12 7 2 4" xfId="14701"/>
    <cellStyle name="Normal 12 7 2 4 2" xfId="22716"/>
    <cellStyle name="Normal 12 7 2 4 2 2" xfId="36741"/>
    <cellStyle name="Normal 12 7 2 4 3" xfId="28730"/>
    <cellStyle name="Normal 12 7 2 5" xfId="16707"/>
    <cellStyle name="Normal 12 7 2 5 2" xfId="30732"/>
    <cellStyle name="Normal 12 7 2 6" xfId="18709"/>
    <cellStyle name="Normal 12 7 2 6 2" xfId="32734"/>
    <cellStyle name="Normal 12 7 2 7" xfId="24723"/>
    <cellStyle name="Normal 12 7 3" xfId="2087"/>
    <cellStyle name="Normal 12 7 3 2" xfId="12688"/>
    <cellStyle name="Normal 12 7 3 2 2" xfId="20713"/>
    <cellStyle name="Normal 12 7 3 2 2 2" xfId="34738"/>
    <cellStyle name="Normal 12 7 3 2 3" xfId="26727"/>
    <cellStyle name="Normal 12 7 3 3" xfId="14703"/>
    <cellStyle name="Normal 12 7 3 3 2" xfId="22718"/>
    <cellStyle name="Normal 12 7 3 3 2 2" xfId="36743"/>
    <cellStyle name="Normal 12 7 3 3 3" xfId="28732"/>
    <cellStyle name="Normal 12 7 3 4" xfId="16709"/>
    <cellStyle name="Normal 12 7 3 4 2" xfId="30734"/>
    <cellStyle name="Normal 12 7 3 5" xfId="18711"/>
    <cellStyle name="Normal 12 7 3 5 2" xfId="32736"/>
    <cellStyle name="Normal 12 7 3 6" xfId="24725"/>
    <cellStyle name="Normal 12 7 4" xfId="12685"/>
    <cellStyle name="Normal 12 7 4 2" xfId="20710"/>
    <cellStyle name="Normal 12 7 4 2 2" xfId="34735"/>
    <cellStyle name="Normal 12 7 4 3" xfId="26724"/>
    <cellStyle name="Normal 12 7 5" xfId="14700"/>
    <cellStyle name="Normal 12 7 5 2" xfId="22715"/>
    <cellStyle name="Normal 12 7 5 2 2" xfId="36740"/>
    <cellStyle name="Normal 12 7 5 3" xfId="28729"/>
    <cellStyle name="Normal 12 7 6" xfId="16706"/>
    <cellStyle name="Normal 12 7 6 2" xfId="30731"/>
    <cellStyle name="Normal 12 7 7" xfId="18708"/>
    <cellStyle name="Normal 12 7 7 2" xfId="32733"/>
    <cellStyle name="Normal 12 7 8" xfId="24722"/>
    <cellStyle name="Normal 12 8" xfId="2088"/>
    <cellStyle name="Normal 12 8 2" xfId="2089"/>
    <cellStyle name="Normal 12 8 2 2" xfId="12690"/>
    <cellStyle name="Normal 12 8 2 2 2" xfId="20715"/>
    <cellStyle name="Normal 12 8 2 2 2 2" xfId="34740"/>
    <cellStyle name="Normal 12 8 2 2 3" xfId="26729"/>
    <cellStyle name="Normal 12 8 2 3" xfId="14705"/>
    <cellStyle name="Normal 12 8 2 3 2" xfId="22720"/>
    <cellStyle name="Normal 12 8 2 3 2 2" xfId="36745"/>
    <cellStyle name="Normal 12 8 2 3 3" xfId="28734"/>
    <cellStyle name="Normal 12 8 2 4" xfId="16711"/>
    <cellStyle name="Normal 12 8 2 4 2" xfId="30736"/>
    <cellStyle name="Normal 12 8 2 5" xfId="18713"/>
    <cellStyle name="Normal 12 8 2 5 2" xfId="32738"/>
    <cellStyle name="Normal 12 8 2 6" xfId="24727"/>
    <cellStyle name="Normal 12 8 3" xfId="12689"/>
    <cellStyle name="Normal 12 8 3 2" xfId="20714"/>
    <cellStyle name="Normal 12 8 3 2 2" xfId="34739"/>
    <cellStyle name="Normal 12 8 3 3" xfId="26728"/>
    <cellStyle name="Normal 12 8 4" xfId="14704"/>
    <cellStyle name="Normal 12 8 4 2" xfId="22719"/>
    <cellStyle name="Normal 12 8 4 2 2" xfId="36744"/>
    <cellStyle name="Normal 12 8 4 3" xfId="28733"/>
    <cellStyle name="Normal 12 8 5" xfId="16710"/>
    <cellStyle name="Normal 12 8 5 2" xfId="30735"/>
    <cellStyle name="Normal 12 8 6" xfId="18712"/>
    <cellStyle name="Normal 12 8 6 2" xfId="32737"/>
    <cellStyle name="Normal 12 8 7" xfId="24726"/>
    <cellStyle name="Normal 12 9" xfId="2090"/>
    <cellStyle name="Normal 12 9 2" xfId="2091"/>
    <cellStyle name="Normal 12 9 2 2" xfId="12692"/>
    <cellStyle name="Normal 12 9 2 2 2" xfId="20717"/>
    <cellStyle name="Normal 12 9 2 2 2 2" xfId="34742"/>
    <cellStyle name="Normal 12 9 2 2 3" xfId="26731"/>
    <cellStyle name="Normal 12 9 2 3" xfId="14707"/>
    <cellStyle name="Normal 12 9 2 3 2" xfId="22722"/>
    <cellStyle name="Normal 12 9 2 3 2 2" xfId="36747"/>
    <cellStyle name="Normal 12 9 2 3 3" xfId="28736"/>
    <cellStyle name="Normal 12 9 2 4" xfId="16713"/>
    <cellStyle name="Normal 12 9 2 4 2" xfId="30738"/>
    <cellStyle name="Normal 12 9 2 5" xfId="18715"/>
    <cellStyle name="Normal 12 9 2 5 2" xfId="32740"/>
    <cellStyle name="Normal 12 9 2 6" xfId="24729"/>
    <cellStyle name="Normal 12 9 3" xfId="12691"/>
    <cellStyle name="Normal 12 9 3 2" xfId="20716"/>
    <cellStyle name="Normal 12 9 3 2 2" xfId="34741"/>
    <cellStyle name="Normal 12 9 3 3" xfId="26730"/>
    <cellStyle name="Normal 12 9 4" xfId="14706"/>
    <cellStyle name="Normal 12 9 4 2" xfId="22721"/>
    <cellStyle name="Normal 12 9 4 2 2" xfId="36746"/>
    <cellStyle name="Normal 12 9 4 3" xfId="28735"/>
    <cellStyle name="Normal 12 9 5" xfId="16712"/>
    <cellStyle name="Normal 12 9 5 2" xfId="30737"/>
    <cellStyle name="Normal 12 9 6" xfId="18714"/>
    <cellStyle name="Normal 12 9 6 2" xfId="32739"/>
    <cellStyle name="Normal 12 9 7" xfId="24728"/>
    <cellStyle name="Normal 12_3 - Revenue Credits" xfId="487"/>
    <cellStyle name="Normal 13" xfId="488"/>
    <cellStyle name="Normal 13 10" xfId="11629"/>
    <cellStyle name="Normal 13 2" xfId="489"/>
    <cellStyle name="Normal 13 2 10" xfId="11630"/>
    <cellStyle name="Normal 13 2 2" xfId="490"/>
    <cellStyle name="Normal 13 2 2 2" xfId="2092"/>
    <cellStyle name="Normal 13 2 2 2 10" xfId="18716"/>
    <cellStyle name="Normal 13 2 2 2 10 2" xfId="32741"/>
    <cellStyle name="Normal 13 2 2 2 11" xfId="24730"/>
    <cellStyle name="Normal 13 2 2 2 2" xfId="2093"/>
    <cellStyle name="Normal 13 2 2 2 2 10" xfId="24731"/>
    <cellStyle name="Normal 13 2 2 2 2 2" xfId="2094"/>
    <cellStyle name="Normal 13 2 2 2 2 2 2" xfId="2095"/>
    <cellStyle name="Normal 13 2 2 2 2 2 2 2" xfId="2096"/>
    <cellStyle name="Normal 13 2 2 2 2 2 2 2 2" xfId="12697"/>
    <cellStyle name="Normal 13 2 2 2 2 2 2 2 2 2" xfId="20722"/>
    <cellStyle name="Normal 13 2 2 2 2 2 2 2 2 2 2" xfId="34747"/>
    <cellStyle name="Normal 13 2 2 2 2 2 2 2 2 3" xfId="26736"/>
    <cellStyle name="Normal 13 2 2 2 2 2 2 2 3" xfId="14712"/>
    <cellStyle name="Normal 13 2 2 2 2 2 2 2 3 2" xfId="22727"/>
    <cellStyle name="Normal 13 2 2 2 2 2 2 2 3 2 2" xfId="36752"/>
    <cellStyle name="Normal 13 2 2 2 2 2 2 2 3 3" xfId="28741"/>
    <cellStyle name="Normal 13 2 2 2 2 2 2 2 4" xfId="16718"/>
    <cellStyle name="Normal 13 2 2 2 2 2 2 2 4 2" xfId="30743"/>
    <cellStyle name="Normal 13 2 2 2 2 2 2 2 5" xfId="18720"/>
    <cellStyle name="Normal 13 2 2 2 2 2 2 2 5 2" xfId="32745"/>
    <cellStyle name="Normal 13 2 2 2 2 2 2 2 6" xfId="24734"/>
    <cellStyle name="Normal 13 2 2 2 2 2 2 3" xfId="12696"/>
    <cellStyle name="Normal 13 2 2 2 2 2 2 3 2" xfId="20721"/>
    <cellStyle name="Normal 13 2 2 2 2 2 2 3 2 2" xfId="34746"/>
    <cellStyle name="Normal 13 2 2 2 2 2 2 3 3" xfId="26735"/>
    <cellStyle name="Normal 13 2 2 2 2 2 2 4" xfId="14711"/>
    <cellStyle name="Normal 13 2 2 2 2 2 2 4 2" xfId="22726"/>
    <cellStyle name="Normal 13 2 2 2 2 2 2 4 2 2" xfId="36751"/>
    <cellStyle name="Normal 13 2 2 2 2 2 2 4 3" xfId="28740"/>
    <cellStyle name="Normal 13 2 2 2 2 2 2 5" xfId="16717"/>
    <cellStyle name="Normal 13 2 2 2 2 2 2 5 2" xfId="30742"/>
    <cellStyle name="Normal 13 2 2 2 2 2 2 6" xfId="18719"/>
    <cellStyle name="Normal 13 2 2 2 2 2 2 6 2" xfId="32744"/>
    <cellStyle name="Normal 13 2 2 2 2 2 2 7" xfId="24733"/>
    <cellStyle name="Normal 13 2 2 2 2 2 3" xfId="2097"/>
    <cellStyle name="Normal 13 2 2 2 2 2 3 2" xfId="12698"/>
    <cellStyle name="Normal 13 2 2 2 2 2 3 2 2" xfId="20723"/>
    <cellStyle name="Normal 13 2 2 2 2 2 3 2 2 2" xfId="34748"/>
    <cellStyle name="Normal 13 2 2 2 2 2 3 2 3" xfId="26737"/>
    <cellStyle name="Normal 13 2 2 2 2 2 3 3" xfId="14713"/>
    <cellStyle name="Normal 13 2 2 2 2 2 3 3 2" xfId="22728"/>
    <cellStyle name="Normal 13 2 2 2 2 2 3 3 2 2" xfId="36753"/>
    <cellStyle name="Normal 13 2 2 2 2 2 3 3 3" xfId="28742"/>
    <cellStyle name="Normal 13 2 2 2 2 2 3 4" xfId="16719"/>
    <cellStyle name="Normal 13 2 2 2 2 2 3 4 2" xfId="30744"/>
    <cellStyle name="Normal 13 2 2 2 2 2 3 5" xfId="18721"/>
    <cellStyle name="Normal 13 2 2 2 2 2 3 5 2" xfId="32746"/>
    <cellStyle name="Normal 13 2 2 2 2 2 3 6" xfId="24735"/>
    <cellStyle name="Normal 13 2 2 2 2 2 4" xfId="12695"/>
    <cellStyle name="Normal 13 2 2 2 2 2 4 2" xfId="20720"/>
    <cellStyle name="Normal 13 2 2 2 2 2 4 2 2" xfId="34745"/>
    <cellStyle name="Normal 13 2 2 2 2 2 4 3" xfId="26734"/>
    <cellStyle name="Normal 13 2 2 2 2 2 5" xfId="14710"/>
    <cellStyle name="Normal 13 2 2 2 2 2 5 2" xfId="22725"/>
    <cellStyle name="Normal 13 2 2 2 2 2 5 2 2" xfId="36750"/>
    <cellStyle name="Normal 13 2 2 2 2 2 5 3" xfId="28739"/>
    <cellStyle name="Normal 13 2 2 2 2 2 6" xfId="16716"/>
    <cellStyle name="Normal 13 2 2 2 2 2 6 2" xfId="30741"/>
    <cellStyle name="Normal 13 2 2 2 2 2 7" xfId="18718"/>
    <cellStyle name="Normal 13 2 2 2 2 2 7 2" xfId="32743"/>
    <cellStyle name="Normal 13 2 2 2 2 2 8" xfId="24732"/>
    <cellStyle name="Normal 13 2 2 2 2 3" xfId="2098"/>
    <cellStyle name="Normal 13 2 2 2 2 3 2" xfId="2099"/>
    <cellStyle name="Normal 13 2 2 2 2 3 2 2" xfId="12700"/>
    <cellStyle name="Normal 13 2 2 2 2 3 2 2 2" xfId="20725"/>
    <cellStyle name="Normal 13 2 2 2 2 3 2 2 2 2" xfId="34750"/>
    <cellStyle name="Normal 13 2 2 2 2 3 2 2 3" xfId="26739"/>
    <cellStyle name="Normal 13 2 2 2 2 3 2 3" xfId="14715"/>
    <cellStyle name="Normal 13 2 2 2 2 3 2 3 2" xfId="22730"/>
    <cellStyle name="Normal 13 2 2 2 2 3 2 3 2 2" xfId="36755"/>
    <cellStyle name="Normal 13 2 2 2 2 3 2 3 3" xfId="28744"/>
    <cellStyle name="Normal 13 2 2 2 2 3 2 4" xfId="16721"/>
    <cellStyle name="Normal 13 2 2 2 2 3 2 4 2" xfId="30746"/>
    <cellStyle name="Normal 13 2 2 2 2 3 2 5" xfId="18723"/>
    <cellStyle name="Normal 13 2 2 2 2 3 2 5 2" xfId="32748"/>
    <cellStyle name="Normal 13 2 2 2 2 3 2 6" xfId="24737"/>
    <cellStyle name="Normal 13 2 2 2 2 3 3" xfId="12699"/>
    <cellStyle name="Normal 13 2 2 2 2 3 3 2" xfId="20724"/>
    <cellStyle name="Normal 13 2 2 2 2 3 3 2 2" xfId="34749"/>
    <cellStyle name="Normal 13 2 2 2 2 3 3 3" xfId="26738"/>
    <cellStyle name="Normal 13 2 2 2 2 3 4" xfId="14714"/>
    <cellStyle name="Normal 13 2 2 2 2 3 4 2" xfId="22729"/>
    <cellStyle name="Normal 13 2 2 2 2 3 4 2 2" xfId="36754"/>
    <cellStyle name="Normal 13 2 2 2 2 3 4 3" xfId="28743"/>
    <cellStyle name="Normal 13 2 2 2 2 3 5" xfId="16720"/>
    <cellStyle name="Normal 13 2 2 2 2 3 5 2" xfId="30745"/>
    <cellStyle name="Normal 13 2 2 2 2 3 6" xfId="18722"/>
    <cellStyle name="Normal 13 2 2 2 2 3 6 2" xfId="32747"/>
    <cellStyle name="Normal 13 2 2 2 2 3 7" xfId="24736"/>
    <cellStyle name="Normal 13 2 2 2 2 4" xfId="2100"/>
    <cellStyle name="Normal 13 2 2 2 2 4 2" xfId="2101"/>
    <cellStyle name="Normal 13 2 2 2 2 4 2 2" xfId="12702"/>
    <cellStyle name="Normal 13 2 2 2 2 4 2 2 2" xfId="20727"/>
    <cellStyle name="Normal 13 2 2 2 2 4 2 2 2 2" xfId="34752"/>
    <cellStyle name="Normal 13 2 2 2 2 4 2 2 3" xfId="26741"/>
    <cellStyle name="Normal 13 2 2 2 2 4 2 3" xfId="14717"/>
    <cellStyle name="Normal 13 2 2 2 2 4 2 3 2" xfId="22732"/>
    <cellStyle name="Normal 13 2 2 2 2 4 2 3 2 2" xfId="36757"/>
    <cellStyle name="Normal 13 2 2 2 2 4 2 3 3" xfId="28746"/>
    <cellStyle name="Normal 13 2 2 2 2 4 2 4" xfId="16723"/>
    <cellStyle name="Normal 13 2 2 2 2 4 2 4 2" xfId="30748"/>
    <cellStyle name="Normal 13 2 2 2 2 4 2 5" xfId="18725"/>
    <cellStyle name="Normal 13 2 2 2 2 4 2 5 2" xfId="32750"/>
    <cellStyle name="Normal 13 2 2 2 2 4 2 6" xfId="24739"/>
    <cellStyle name="Normal 13 2 2 2 2 4 3" xfId="12701"/>
    <cellStyle name="Normal 13 2 2 2 2 4 3 2" xfId="20726"/>
    <cellStyle name="Normal 13 2 2 2 2 4 3 2 2" xfId="34751"/>
    <cellStyle name="Normal 13 2 2 2 2 4 3 3" xfId="26740"/>
    <cellStyle name="Normal 13 2 2 2 2 4 4" xfId="14716"/>
    <cellStyle name="Normal 13 2 2 2 2 4 4 2" xfId="22731"/>
    <cellStyle name="Normal 13 2 2 2 2 4 4 2 2" xfId="36756"/>
    <cellStyle name="Normal 13 2 2 2 2 4 4 3" xfId="28745"/>
    <cellStyle name="Normal 13 2 2 2 2 4 5" xfId="16722"/>
    <cellStyle name="Normal 13 2 2 2 2 4 5 2" xfId="30747"/>
    <cellStyle name="Normal 13 2 2 2 2 4 6" xfId="18724"/>
    <cellStyle name="Normal 13 2 2 2 2 4 6 2" xfId="32749"/>
    <cellStyle name="Normal 13 2 2 2 2 4 7" xfId="24738"/>
    <cellStyle name="Normal 13 2 2 2 2 5" xfId="2102"/>
    <cellStyle name="Normal 13 2 2 2 2 5 2" xfId="12703"/>
    <cellStyle name="Normal 13 2 2 2 2 5 2 2" xfId="20728"/>
    <cellStyle name="Normal 13 2 2 2 2 5 2 2 2" xfId="34753"/>
    <cellStyle name="Normal 13 2 2 2 2 5 2 3" xfId="26742"/>
    <cellStyle name="Normal 13 2 2 2 2 5 3" xfId="14718"/>
    <cellStyle name="Normal 13 2 2 2 2 5 3 2" xfId="22733"/>
    <cellStyle name="Normal 13 2 2 2 2 5 3 2 2" xfId="36758"/>
    <cellStyle name="Normal 13 2 2 2 2 5 3 3" xfId="28747"/>
    <cellStyle name="Normal 13 2 2 2 2 5 4" xfId="16724"/>
    <cellStyle name="Normal 13 2 2 2 2 5 4 2" xfId="30749"/>
    <cellStyle name="Normal 13 2 2 2 2 5 5" xfId="18726"/>
    <cellStyle name="Normal 13 2 2 2 2 5 5 2" xfId="32751"/>
    <cellStyle name="Normal 13 2 2 2 2 5 6" xfId="24740"/>
    <cellStyle name="Normal 13 2 2 2 2 6" xfId="12694"/>
    <cellStyle name="Normal 13 2 2 2 2 6 2" xfId="20719"/>
    <cellStyle name="Normal 13 2 2 2 2 6 2 2" xfId="34744"/>
    <cellStyle name="Normal 13 2 2 2 2 6 3" xfId="26733"/>
    <cellStyle name="Normal 13 2 2 2 2 7" xfId="14709"/>
    <cellStyle name="Normal 13 2 2 2 2 7 2" xfId="22724"/>
    <cellStyle name="Normal 13 2 2 2 2 7 2 2" xfId="36749"/>
    <cellStyle name="Normal 13 2 2 2 2 7 3" xfId="28738"/>
    <cellStyle name="Normal 13 2 2 2 2 8" xfId="16715"/>
    <cellStyle name="Normal 13 2 2 2 2 8 2" xfId="30740"/>
    <cellStyle name="Normal 13 2 2 2 2 9" xfId="18717"/>
    <cellStyle name="Normal 13 2 2 2 2 9 2" xfId="32742"/>
    <cellStyle name="Normal 13 2 2 2 3" xfId="2103"/>
    <cellStyle name="Normal 13 2 2 2 3 2" xfId="2104"/>
    <cellStyle name="Normal 13 2 2 2 3 2 2" xfId="2105"/>
    <cellStyle name="Normal 13 2 2 2 3 2 2 2" xfId="12706"/>
    <cellStyle name="Normal 13 2 2 2 3 2 2 2 2" xfId="20731"/>
    <cellStyle name="Normal 13 2 2 2 3 2 2 2 2 2" xfId="34756"/>
    <cellStyle name="Normal 13 2 2 2 3 2 2 2 3" xfId="26745"/>
    <cellStyle name="Normal 13 2 2 2 3 2 2 3" xfId="14721"/>
    <cellStyle name="Normal 13 2 2 2 3 2 2 3 2" xfId="22736"/>
    <cellStyle name="Normal 13 2 2 2 3 2 2 3 2 2" xfId="36761"/>
    <cellStyle name="Normal 13 2 2 2 3 2 2 3 3" xfId="28750"/>
    <cellStyle name="Normal 13 2 2 2 3 2 2 4" xfId="16727"/>
    <cellStyle name="Normal 13 2 2 2 3 2 2 4 2" xfId="30752"/>
    <cellStyle name="Normal 13 2 2 2 3 2 2 5" xfId="18729"/>
    <cellStyle name="Normal 13 2 2 2 3 2 2 5 2" xfId="32754"/>
    <cellStyle name="Normal 13 2 2 2 3 2 2 6" xfId="24743"/>
    <cellStyle name="Normal 13 2 2 2 3 2 3" xfId="12705"/>
    <cellStyle name="Normal 13 2 2 2 3 2 3 2" xfId="20730"/>
    <cellStyle name="Normal 13 2 2 2 3 2 3 2 2" xfId="34755"/>
    <cellStyle name="Normal 13 2 2 2 3 2 3 3" xfId="26744"/>
    <cellStyle name="Normal 13 2 2 2 3 2 4" xfId="14720"/>
    <cellStyle name="Normal 13 2 2 2 3 2 4 2" xfId="22735"/>
    <cellStyle name="Normal 13 2 2 2 3 2 4 2 2" xfId="36760"/>
    <cellStyle name="Normal 13 2 2 2 3 2 4 3" xfId="28749"/>
    <cellStyle name="Normal 13 2 2 2 3 2 5" xfId="16726"/>
    <cellStyle name="Normal 13 2 2 2 3 2 5 2" xfId="30751"/>
    <cellStyle name="Normal 13 2 2 2 3 2 6" xfId="18728"/>
    <cellStyle name="Normal 13 2 2 2 3 2 6 2" xfId="32753"/>
    <cellStyle name="Normal 13 2 2 2 3 2 7" xfId="24742"/>
    <cellStyle name="Normal 13 2 2 2 3 3" xfId="2106"/>
    <cellStyle name="Normal 13 2 2 2 3 3 2" xfId="12707"/>
    <cellStyle name="Normal 13 2 2 2 3 3 2 2" xfId="20732"/>
    <cellStyle name="Normal 13 2 2 2 3 3 2 2 2" xfId="34757"/>
    <cellStyle name="Normal 13 2 2 2 3 3 2 3" xfId="26746"/>
    <cellStyle name="Normal 13 2 2 2 3 3 3" xfId="14722"/>
    <cellStyle name="Normal 13 2 2 2 3 3 3 2" xfId="22737"/>
    <cellStyle name="Normal 13 2 2 2 3 3 3 2 2" xfId="36762"/>
    <cellStyle name="Normal 13 2 2 2 3 3 3 3" xfId="28751"/>
    <cellStyle name="Normal 13 2 2 2 3 3 4" xfId="16728"/>
    <cellStyle name="Normal 13 2 2 2 3 3 4 2" xfId="30753"/>
    <cellStyle name="Normal 13 2 2 2 3 3 5" xfId="18730"/>
    <cellStyle name="Normal 13 2 2 2 3 3 5 2" xfId="32755"/>
    <cellStyle name="Normal 13 2 2 2 3 3 6" xfId="24744"/>
    <cellStyle name="Normal 13 2 2 2 3 4" xfId="12704"/>
    <cellStyle name="Normal 13 2 2 2 3 4 2" xfId="20729"/>
    <cellStyle name="Normal 13 2 2 2 3 4 2 2" xfId="34754"/>
    <cellStyle name="Normal 13 2 2 2 3 4 3" xfId="26743"/>
    <cellStyle name="Normal 13 2 2 2 3 5" xfId="14719"/>
    <cellStyle name="Normal 13 2 2 2 3 5 2" xfId="22734"/>
    <cellStyle name="Normal 13 2 2 2 3 5 2 2" xfId="36759"/>
    <cellStyle name="Normal 13 2 2 2 3 5 3" xfId="28748"/>
    <cellStyle name="Normal 13 2 2 2 3 6" xfId="16725"/>
    <cellStyle name="Normal 13 2 2 2 3 6 2" xfId="30750"/>
    <cellStyle name="Normal 13 2 2 2 3 7" xfId="18727"/>
    <cellStyle name="Normal 13 2 2 2 3 7 2" xfId="32752"/>
    <cellStyle name="Normal 13 2 2 2 3 8" xfId="24741"/>
    <cellStyle name="Normal 13 2 2 2 4" xfId="2107"/>
    <cellStyle name="Normal 13 2 2 2 4 2" xfId="2108"/>
    <cellStyle name="Normal 13 2 2 2 4 2 2" xfId="12709"/>
    <cellStyle name="Normal 13 2 2 2 4 2 2 2" xfId="20734"/>
    <cellStyle name="Normal 13 2 2 2 4 2 2 2 2" xfId="34759"/>
    <cellStyle name="Normal 13 2 2 2 4 2 2 3" xfId="26748"/>
    <cellStyle name="Normal 13 2 2 2 4 2 3" xfId="14724"/>
    <cellStyle name="Normal 13 2 2 2 4 2 3 2" xfId="22739"/>
    <cellStyle name="Normal 13 2 2 2 4 2 3 2 2" xfId="36764"/>
    <cellStyle name="Normal 13 2 2 2 4 2 3 3" xfId="28753"/>
    <cellStyle name="Normal 13 2 2 2 4 2 4" xfId="16730"/>
    <cellStyle name="Normal 13 2 2 2 4 2 4 2" xfId="30755"/>
    <cellStyle name="Normal 13 2 2 2 4 2 5" xfId="18732"/>
    <cellStyle name="Normal 13 2 2 2 4 2 5 2" xfId="32757"/>
    <cellStyle name="Normal 13 2 2 2 4 2 6" xfId="24746"/>
    <cellStyle name="Normal 13 2 2 2 4 3" xfId="12708"/>
    <cellStyle name="Normal 13 2 2 2 4 3 2" xfId="20733"/>
    <cellStyle name="Normal 13 2 2 2 4 3 2 2" xfId="34758"/>
    <cellStyle name="Normal 13 2 2 2 4 3 3" xfId="26747"/>
    <cellStyle name="Normal 13 2 2 2 4 4" xfId="14723"/>
    <cellStyle name="Normal 13 2 2 2 4 4 2" xfId="22738"/>
    <cellStyle name="Normal 13 2 2 2 4 4 2 2" xfId="36763"/>
    <cellStyle name="Normal 13 2 2 2 4 4 3" xfId="28752"/>
    <cellStyle name="Normal 13 2 2 2 4 5" xfId="16729"/>
    <cellStyle name="Normal 13 2 2 2 4 5 2" xfId="30754"/>
    <cellStyle name="Normal 13 2 2 2 4 6" xfId="18731"/>
    <cellStyle name="Normal 13 2 2 2 4 6 2" xfId="32756"/>
    <cellStyle name="Normal 13 2 2 2 4 7" xfId="24745"/>
    <cellStyle name="Normal 13 2 2 2 5" xfId="2109"/>
    <cellStyle name="Normal 13 2 2 2 5 2" xfId="2110"/>
    <cellStyle name="Normal 13 2 2 2 5 2 2" xfId="12711"/>
    <cellStyle name="Normal 13 2 2 2 5 2 2 2" xfId="20736"/>
    <cellStyle name="Normal 13 2 2 2 5 2 2 2 2" xfId="34761"/>
    <cellStyle name="Normal 13 2 2 2 5 2 2 3" xfId="26750"/>
    <cellStyle name="Normal 13 2 2 2 5 2 3" xfId="14726"/>
    <cellStyle name="Normal 13 2 2 2 5 2 3 2" xfId="22741"/>
    <cellStyle name="Normal 13 2 2 2 5 2 3 2 2" xfId="36766"/>
    <cellStyle name="Normal 13 2 2 2 5 2 3 3" xfId="28755"/>
    <cellStyle name="Normal 13 2 2 2 5 2 4" xfId="16732"/>
    <cellStyle name="Normal 13 2 2 2 5 2 4 2" xfId="30757"/>
    <cellStyle name="Normal 13 2 2 2 5 2 5" xfId="18734"/>
    <cellStyle name="Normal 13 2 2 2 5 2 5 2" xfId="32759"/>
    <cellStyle name="Normal 13 2 2 2 5 2 6" xfId="24748"/>
    <cellStyle name="Normal 13 2 2 2 5 3" xfId="12710"/>
    <cellStyle name="Normal 13 2 2 2 5 3 2" xfId="20735"/>
    <cellStyle name="Normal 13 2 2 2 5 3 2 2" xfId="34760"/>
    <cellStyle name="Normal 13 2 2 2 5 3 3" xfId="26749"/>
    <cellStyle name="Normal 13 2 2 2 5 4" xfId="14725"/>
    <cellStyle name="Normal 13 2 2 2 5 4 2" xfId="22740"/>
    <cellStyle name="Normal 13 2 2 2 5 4 2 2" xfId="36765"/>
    <cellStyle name="Normal 13 2 2 2 5 4 3" xfId="28754"/>
    <cellStyle name="Normal 13 2 2 2 5 5" xfId="16731"/>
    <cellStyle name="Normal 13 2 2 2 5 5 2" xfId="30756"/>
    <cellStyle name="Normal 13 2 2 2 5 6" xfId="18733"/>
    <cellStyle name="Normal 13 2 2 2 5 6 2" xfId="32758"/>
    <cellStyle name="Normal 13 2 2 2 5 7" xfId="24747"/>
    <cellStyle name="Normal 13 2 2 2 6" xfId="2111"/>
    <cellStyle name="Normal 13 2 2 2 6 2" xfId="12712"/>
    <cellStyle name="Normal 13 2 2 2 6 2 2" xfId="20737"/>
    <cellStyle name="Normal 13 2 2 2 6 2 2 2" xfId="34762"/>
    <cellStyle name="Normal 13 2 2 2 6 2 3" xfId="26751"/>
    <cellStyle name="Normal 13 2 2 2 6 3" xfId="14727"/>
    <cellStyle name="Normal 13 2 2 2 6 3 2" xfId="22742"/>
    <cellStyle name="Normal 13 2 2 2 6 3 2 2" xfId="36767"/>
    <cellStyle name="Normal 13 2 2 2 6 3 3" xfId="28756"/>
    <cellStyle name="Normal 13 2 2 2 6 4" xfId="16733"/>
    <cellStyle name="Normal 13 2 2 2 6 4 2" xfId="30758"/>
    <cellStyle name="Normal 13 2 2 2 6 5" xfId="18735"/>
    <cellStyle name="Normal 13 2 2 2 6 5 2" xfId="32760"/>
    <cellStyle name="Normal 13 2 2 2 6 6" xfId="24749"/>
    <cellStyle name="Normal 13 2 2 2 7" xfId="12693"/>
    <cellStyle name="Normal 13 2 2 2 7 2" xfId="20718"/>
    <cellStyle name="Normal 13 2 2 2 7 2 2" xfId="34743"/>
    <cellStyle name="Normal 13 2 2 2 7 3" xfId="26732"/>
    <cellStyle name="Normal 13 2 2 2 8" xfId="14708"/>
    <cellStyle name="Normal 13 2 2 2 8 2" xfId="22723"/>
    <cellStyle name="Normal 13 2 2 2 8 2 2" xfId="36748"/>
    <cellStyle name="Normal 13 2 2 2 8 3" xfId="28737"/>
    <cellStyle name="Normal 13 2 2 2 9" xfId="16714"/>
    <cellStyle name="Normal 13 2 2 2 9 2" xfId="30739"/>
    <cellStyle name="Normal 13 2 2 3" xfId="2112"/>
    <cellStyle name="Normal 13 2 2 3 10" xfId="24750"/>
    <cellStyle name="Normal 13 2 2 3 2" xfId="2113"/>
    <cellStyle name="Normal 13 2 2 3 2 2" xfId="2114"/>
    <cellStyle name="Normal 13 2 2 3 2 2 2" xfId="2115"/>
    <cellStyle name="Normal 13 2 2 3 2 2 2 2" xfId="12716"/>
    <cellStyle name="Normal 13 2 2 3 2 2 2 2 2" xfId="20741"/>
    <cellStyle name="Normal 13 2 2 3 2 2 2 2 2 2" xfId="34766"/>
    <cellStyle name="Normal 13 2 2 3 2 2 2 2 3" xfId="26755"/>
    <cellStyle name="Normal 13 2 2 3 2 2 2 3" xfId="14731"/>
    <cellStyle name="Normal 13 2 2 3 2 2 2 3 2" xfId="22746"/>
    <cellStyle name="Normal 13 2 2 3 2 2 2 3 2 2" xfId="36771"/>
    <cellStyle name="Normal 13 2 2 3 2 2 2 3 3" xfId="28760"/>
    <cellStyle name="Normal 13 2 2 3 2 2 2 4" xfId="16737"/>
    <cellStyle name="Normal 13 2 2 3 2 2 2 4 2" xfId="30762"/>
    <cellStyle name="Normal 13 2 2 3 2 2 2 5" xfId="18739"/>
    <cellStyle name="Normal 13 2 2 3 2 2 2 5 2" xfId="32764"/>
    <cellStyle name="Normal 13 2 2 3 2 2 2 6" xfId="24753"/>
    <cellStyle name="Normal 13 2 2 3 2 2 3" xfId="12715"/>
    <cellStyle name="Normal 13 2 2 3 2 2 3 2" xfId="20740"/>
    <cellStyle name="Normal 13 2 2 3 2 2 3 2 2" xfId="34765"/>
    <cellStyle name="Normal 13 2 2 3 2 2 3 3" xfId="26754"/>
    <cellStyle name="Normal 13 2 2 3 2 2 4" xfId="14730"/>
    <cellStyle name="Normal 13 2 2 3 2 2 4 2" xfId="22745"/>
    <cellStyle name="Normal 13 2 2 3 2 2 4 2 2" xfId="36770"/>
    <cellStyle name="Normal 13 2 2 3 2 2 4 3" xfId="28759"/>
    <cellStyle name="Normal 13 2 2 3 2 2 5" xfId="16736"/>
    <cellStyle name="Normal 13 2 2 3 2 2 5 2" xfId="30761"/>
    <cellStyle name="Normal 13 2 2 3 2 2 6" xfId="18738"/>
    <cellStyle name="Normal 13 2 2 3 2 2 6 2" xfId="32763"/>
    <cellStyle name="Normal 13 2 2 3 2 2 7" xfId="24752"/>
    <cellStyle name="Normal 13 2 2 3 2 3" xfId="2116"/>
    <cellStyle name="Normal 13 2 2 3 2 3 2" xfId="12717"/>
    <cellStyle name="Normal 13 2 2 3 2 3 2 2" xfId="20742"/>
    <cellStyle name="Normal 13 2 2 3 2 3 2 2 2" xfId="34767"/>
    <cellStyle name="Normal 13 2 2 3 2 3 2 3" xfId="26756"/>
    <cellStyle name="Normal 13 2 2 3 2 3 3" xfId="14732"/>
    <cellStyle name="Normal 13 2 2 3 2 3 3 2" xfId="22747"/>
    <cellStyle name="Normal 13 2 2 3 2 3 3 2 2" xfId="36772"/>
    <cellStyle name="Normal 13 2 2 3 2 3 3 3" xfId="28761"/>
    <cellStyle name="Normal 13 2 2 3 2 3 4" xfId="16738"/>
    <cellStyle name="Normal 13 2 2 3 2 3 4 2" xfId="30763"/>
    <cellStyle name="Normal 13 2 2 3 2 3 5" xfId="18740"/>
    <cellStyle name="Normal 13 2 2 3 2 3 5 2" xfId="32765"/>
    <cellStyle name="Normal 13 2 2 3 2 3 6" xfId="24754"/>
    <cellStyle name="Normal 13 2 2 3 2 4" xfId="12714"/>
    <cellStyle name="Normal 13 2 2 3 2 4 2" xfId="20739"/>
    <cellStyle name="Normal 13 2 2 3 2 4 2 2" xfId="34764"/>
    <cellStyle name="Normal 13 2 2 3 2 4 3" xfId="26753"/>
    <cellStyle name="Normal 13 2 2 3 2 5" xfId="14729"/>
    <cellStyle name="Normal 13 2 2 3 2 5 2" xfId="22744"/>
    <cellStyle name="Normal 13 2 2 3 2 5 2 2" xfId="36769"/>
    <cellStyle name="Normal 13 2 2 3 2 5 3" xfId="28758"/>
    <cellStyle name="Normal 13 2 2 3 2 6" xfId="16735"/>
    <cellStyle name="Normal 13 2 2 3 2 6 2" xfId="30760"/>
    <cellStyle name="Normal 13 2 2 3 2 7" xfId="18737"/>
    <cellStyle name="Normal 13 2 2 3 2 7 2" xfId="32762"/>
    <cellStyle name="Normal 13 2 2 3 2 8" xfId="24751"/>
    <cellStyle name="Normal 13 2 2 3 3" xfId="2117"/>
    <cellStyle name="Normal 13 2 2 3 3 2" xfId="2118"/>
    <cellStyle name="Normal 13 2 2 3 3 2 2" xfId="12719"/>
    <cellStyle name="Normal 13 2 2 3 3 2 2 2" xfId="20744"/>
    <cellStyle name="Normal 13 2 2 3 3 2 2 2 2" xfId="34769"/>
    <cellStyle name="Normal 13 2 2 3 3 2 2 3" xfId="26758"/>
    <cellStyle name="Normal 13 2 2 3 3 2 3" xfId="14734"/>
    <cellStyle name="Normal 13 2 2 3 3 2 3 2" xfId="22749"/>
    <cellStyle name="Normal 13 2 2 3 3 2 3 2 2" xfId="36774"/>
    <cellStyle name="Normal 13 2 2 3 3 2 3 3" xfId="28763"/>
    <cellStyle name="Normal 13 2 2 3 3 2 4" xfId="16740"/>
    <cellStyle name="Normal 13 2 2 3 3 2 4 2" xfId="30765"/>
    <cellStyle name="Normal 13 2 2 3 3 2 5" xfId="18742"/>
    <cellStyle name="Normal 13 2 2 3 3 2 5 2" xfId="32767"/>
    <cellStyle name="Normal 13 2 2 3 3 2 6" xfId="24756"/>
    <cellStyle name="Normal 13 2 2 3 3 3" xfId="12718"/>
    <cellStyle name="Normal 13 2 2 3 3 3 2" xfId="20743"/>
    <cellStyle name="Normal 13 2 2 3 3 3 2 2" xfId="34768"/>
    <cellStyle name="Normal 13 2 2 3 3 3 3" xfId="26757"/>
    <cellStyle name="Normal 13 2 2 3 3 4" xfId="14733"/>
    <cellStyle name="Normal 13 2 2 3 3 4 2" xfId="22748"/>
    <cellStyle name="Normal 13 2 2 3 3 4 2 2" xfId="36773"/>
    <cellStyle name="Normal 13 2 2 3 3 4 3" xfId="28762"/>
    <cellStyle name="Normal 13 2 2 3 3 5" xfId="16739"/>
    <cellStyle name="Normal 13 2 2 3 3 5 2" xfId="30764"/>
    <cellStyle name="Normal 13 2 2 3 3 6" xfId="18741"/>
    <cellStyle name="Normal 13 2 2 3 3 6 2" xfId="32766"/>
    <cellStyle name="Normal 13 2 2 3 3 7" xfId="24755"/>
    <cellStyle name="Normal 13 2 2 3 4" xfId="2119"/>
    <cellStyle name="Normal 13 2 2 3 4 2" xfId="2120"/>
    <cellStyle name="Normal 13 2 2 3 4 2 2" xfId="12721"/>
    <cellStyle name="Normal 13 2 2 3 4 2 2 2" xfId="20746"/>
    <cellStyle name="Normal 13 2 2 3 4 2 2 2 2" xfId="34771"/>
    <cellStyle name="Normal 13 2 2 3 4 2 2 3" xfId="26760"/>
    <cellStyle name="Normal 13 2 2 3 4 2 3" xfId="14736"/>
    <cellStyle name="Normal 13 2 2 3 4 2 3 2" xfId="22751"/>
    <cellStyle name="Normal 13 2 2 3 4 2 3 2 2" xfId="36776"/>
    <cellStyle name="Normal 13 2 2 3 4 2 3 3" xfId="28765"/>
    <cellStyle name="Normal 13 2 2 3 4 2 4" xfId="16742"/>
    <cellStyle name="Normal 13 2 2 3 4 2 4 2" xfId="30767"/>
    <cellStyle name="Normal 13 2 2 3 4 2 5" xfId="18744"/>
    <cellStyle name="Normal 13 2 2 3 4 2 5 2" xfId="32769"/>
    <cellStyle name="Normal 13 2 2 3 4 2 6" xfId="24758"/>
    <cellStyle name="Normal 13 2 2 3 4 3" xfId="12720"/>
    <cellStyle name="Normal 13 2 2 3 4 3 2" xfId="20745"/>
    <cellStyle name="Normal 13 2 2 3 4 3 2 2" xfId="34770"/>
    <cellStyle name="Normal 13 2 2 3 4 3 3" xfId="26759"/>
    <cellStyle name="Normal 13 2 2 3 4 4" xfId="14735"/>
    <cellStyle name="Normal 13 2 2 3 4 4 2" xfId="22750"/>
    <cellStyle name="Normal 13 2 2 3 4 4 2 2" xfId="36775"/>
    <cellStyle name="Normal 13 2 2 3 4 4 3" xfId="28764"/>
    <cellStyle name="Normal 13 2 2 3 4 5" xfId="16741"/>
    <cellStyle name="Normal 13 2 2 3 4 5 2" xfId="30766"/>
    <cellStyle name="Normal 13 2 2 3 4 6" xfId="18743"/>
    <cellStyle name="Normal 13 2 2 3 4 6 2" xfId="32768"/>
    <cellStyle name="Normal 13 2 2 3 4 7" xfId="24757"/>
    <cellStyle name="Normal 13 2 2 3 5" xfId="2121"/>
    <cellStyle name="Normal 13 2 2 3 5 2" xfId="12722"/>
    <cellStyle name="Normal 13 2 2 3 5 2 2" xfId="20747"/>
    <cellStyle name="Normal 13 2 2 3 5 2 2 2" xfId="34772"/>
    <cellStyle name="Normal 13 2 2 3 5 2 3" xfId="26761"/>
    <cellStyle name="Normal 13 2 2 3 5 3" xfId="14737"/>
    <cellStyle name="Normal 13 2 2 3 5 3 2" xfId="22752"/>
    <cellStyle name="Normal 13 2 2 3 5 3 2 2" xfId="36777"/>
    <cellStyle name="Normal 13 2 2 3 5 3 3" xfId="28766"/>
    <cellStyle name="Normal 13 2 2 3 5 4" xfId="16743"/>
    <cellStyle name="Normal 13 2 2 3 5 4 2" xfId="30768"/>
    <cellStyle name="Normal 13 2 2 3 5 5" xfId="18745"/>
    <cellStyle name="Normal 13 2 2 3 5 5 2" xfId="32770"/>
    <cellStyle name="Normal 13 2 2 3 5 6" xfId="24759"/>
    <cellStyle name="Normal 13 2 2 3 6" xfId="12713"/>
    <cellStyle name="Normal 13 2 2 3 6 2" xfId="20738"/>
    <cellStyle name="Normal 13 2 2 3 6 2 2" xfId="34763"/>
    <cellStyle name="Normal 13 2 2 3 6 3" xfId="26752"/>
    <cellStyle name="Normal 13 2 2 3 7" xfId="14728"/>
    <cellStyle name="Normal 13 2 2 3 7 2" xfId="22743"/>
    <cellStyle name="Normal 13 2 2 3 7 2 2" xfId="36768"/>
    <cellStyle name="Normal 13 2 2 3 7 3" xfId="28757"/>
    <cellStyle name="Normal 13 2 2 3 8" xfId="16734"/>
    <cellStyle name="Normal 13 2 2 3 8 2" xfId="30759"/>
    <cellStyle name="Normal 13 2 2 3 9" xfId="18736"/>
    <cellStyle name="Normal 13 2 2 3 9 2" xfId="32761"/>
    <cellStyle name="Normal 13 2 2 4" xfId="2122"/>
    <cellStyle name="Normal 13 2 2 4 2" xfId="2123"/>
    <cellStyle name="Normal 13 2 2 4 2 2" xfId="2124"/>
    <cellStyle name="Normal 13 2 2 4 2 2 2" xfId="12725"/>
    <cellStyle name="Normal 13 2 2 4 2 2 2 2" xfId="20750"/>
    <cellStyle name="Normal 13 2 2 4 2 2 2 2 2" xfId="34775"/>
    <cellStyle name="Normal 13 2 2 4 2 2 2 3" xfId="26764"/>
    <cellStyle name="Normal 13 2 2 4 2 2 3" xfId="14740"/>
    <cellStyle name="Normal 13 2 2 4 2 2 3 2" xfId="22755"/>
    <cellStyle name="Normal 13 2 2 4 2 2 3 2 2" xfId="36780"/>
    <cellStyle name="Normal 13 2 2 4 2 2 3 3" xfId="28769"/>
    <cellStyle name="Normal 13 2 2 4 2 2 4" xfId="16746"/>
    <cellStyle name="Normal 13 2 2 4 2 2 4 2" xfId="30771"/>
    <cellStyle name="Normal 13 2 2 4 2 2 5" xfId="18748"/>
    <cellStyle name="Normal 13 2 2 4 2 2 5 2" xfId="32773"/>
    <cellStyle name="Normal 13 2 2 4 2 2 6" xfId="24762"/>
    <cellStyle name="Normal 13 2 2 4 2 3" xfId="12724"/>
    <cellStyle name="Normal 13 2 2 4 2 3 2" xfId="20749"/>
    <cellStyle name="Normal 13 2 2 4 2 3 2 2" xfId="34774"/>
    <cellStyle name="Normal 13 2 2 4 2 3 3" xfId="26763"/>
    <cellStyle name="Normal 13 2 2 4 2 4" xfId="14739"/>
    <cellStyle name="Normal 13 2 2 4 2 4 2" xfId="22754"/>
    <cellStyle name="Normal 13 2 2 4 2 4 2 2" xfId="36779"/>
    <cellStyle name="Normal 13 2 2 4 2 4 3" xfId="28768"/>
    <cellStyle name="Normal 13 2 2 4 2 5" xfId="16745"/>
    <cellStyle name="Normal 13 2 2 4 2 5 2" xfId="30770"/>
    <cellStyle name="Normal 13 2 2 4 2 6" xfId="18747"/>
    <cellStyle name="Normal 13 2 2 4 2 6 2" xfId="32772"/>
    <cellStyle name="Normal 13 2 2 4 2 7" xfId="24761"/>
    <cellStyle name="Normal 13 2 2 4 3" xfId="2125"/>
    <cellStyle name="Normal 13 2 2 4 3 2" xfId="12726"/>
    <cellStyle name="Normal 13 2 2 4 3 2 2" xfId="20751"/>
    <cellStyle name="Normal 13 2 2 4 3 2 2 2" xfId="34776"/>
    <cellStyle name="Normal 13 2 2 4 3 2 3" xfId="26765"/>
    <cellStyle name="Normal 13 2 2 4 3 3" xfId="14741"/>
    <cellStyle name="Normal 13 2 2 4 3 3 2" xfId="22756"/>
    <cellStyle name="Normal 13 2 2 4 3 3 2 2" xfId="36781"/>
    <cellStyle name="Normal 13 2 2 4 3 3 3" xfId="28770"/>
    <cellStyle name="Normal 13 2 2 4 3 4" xfId="16747"/>
    <cellStyle name="Normal 13 2 2 4 3 4 2" xfId="30772"/>
    <cellStyle name="Normal 13 2 2 4 3 5" xfId="18749"/>
    <cellStyle name="Normal 13 2 2 4 3 5 2" xfId="32774"/>
    <cellStyle name="Normal 13 2 2 4 3 6" xfId="24763"/>
    <cellStyle name="Normal 13 2 2 4 4" xfId="12723"/>
    <cellStyle name="Normal 13 2 2 4 4 2" xfId="20748"/>
    <cellStyle name="Normal 13 2 2 4 4 2 2" xfId="34773"/>
    <cellStyle name="Normal 13 2 2 4 4 3" xfId="26762"/>
    <cellStyle name="Normal 13 2 2 4 5" xfId="14738"/>
    <cellStyle name="Normal 13 2 2 4 5 2" xfId="22753"/>
    <cellStyle name="Normal 13 2 2 4 5 2 2" xfId="36778"/>
    <cellStyle name="Normal 13 2 2 4 5 3" xfId="28767"/>
    <cellStyle name="Normal 13 2 2 4 6" xfId="16744"/>
    <cellStyle name="Normal 13 2 2 4 6 2" xfId="30769"/>
    <cellStyle name="Normal 13 2 2 4 7" xfId="18746"/>
    <cellStyle name="Normal 13 2 2 4 7 2" xfId="32771"/>
    <cellStyle name="Normal 13 2 2 4 8" xfId="24760"/>
    <cellStyle name="Normal 13 2 2 5" xfId="2126"/>
    <cellStyle name="Normal 13 2 2 5 2" xfId="2127"/>
    <cellStyle name="Normal 13 2 2 5 2 2" xfId="12728"/>
    <cellStyle name="Normal 13 2 2 5 2 2 2" xfId="20753"/>
    <cellStyle name="Normal 13 2 2 5 2 2 2 2" xfId="34778"/>
    <cellStyle name="Normal 13 2 2 5 2 2 3" xfId="26767"/>
    <cellStyle name="Normal 13 2 2 5 2 3" xfId="14743"/>
    <cellStyle name="Normal 13 2 2 5 2 3 2" xfId="22758"/>
    <cellStyle name="Normal 13 2 2 5 2 3 2 2" xfId="36783"/>
    <cellStyle name="Normal 13 2 2 5 2 3 3" xfId="28772"/>
    <cellStyle name="Normal 13 2 2 5 2 4" xfId="16749"/>
    <cellStyle name="Normal 13 2 2 5 2 4 2" xfId="30774"/>
    <cellStyle name="Normal 13 2 2 5 2 5" xfId="18751"/>
    <cellStyle name="Normal 13 2 2 5 2 5 2" xfId="32776"/>
    <cellStyle name="Normal 13 2 2 5 2 6" xfId="24765"/>
    <cellStyle name="Normal 13 2 2 5 3" xfId="12727"/>
    <cellStyle name="Normal 13 2 2 5 3 2" xfId="20752"/>
    <cellStyle name="Normal 13 2 2 5 3 2 2" xfId="34777"/>
    <cellStyle name="Normal 13 2 2 5 3 3" xfId="26766"/>
    <cellStyle name="Normal 13 2 2 5 4" xfId="14742"/>
    <cellStyle name="Normal 13 2 2 5 4 2" xfId="22757"/>
    <cellStyle name="Normal 13 2 2 5 4 2 2" xfId="36782"/>
    <cellStyle name="Normal 13 2 2 5 4 3" xfId="28771"/>
    <cellStyle name="Normal 13 2 2 5 5" xfId="16748"/>
    <cellStyle name="Normal 13 2 2 5 5 2" xfId="30773"/>
    <cellStyle name="Normal 13 2 2 5 6" xfId="18750"/>
    <cellStyle name="Normal 13 2 2 5 6 2" xfId="32775"/>
    <cellStyle name="Normal 13 2 2 5 7" xfId="24764"/>
    <cellStyle name="Normal 13 2 2 6" xfId="2128"/>
    <cellStyle name="Normal 13 2 2 6 2" xfId="2129"/>
    <cellStyle name="Normal 13 2 2 6 2 2" xfId="12730"/>
    <cellStyle name="Normal 13 2 2 6 2 2 2" xfId="20755"/>
    <cellStyle name="Normal 13 2 2 6 2 2 2 2" xfId="34780"/>
    <cellStyle name="Normal 13 2 2 6 2 2 3" xfId="26769"/>
    <cellStyle name="Normal 13 2 2 6 2 3" xfId="14745"/>
    <cellStyle name="Normal 13 2 2 6 2 3 2" xfId="22760"/>
    <cellStyle name="Normal 13 2 2 6 2 3 2 2" xfId="36785"/>
    <cellStyle name="Normal 13 2 2 6 2 3 3" xfId="28774"/>
    <cellStyle name="Normal 13 2 2 6 2 4" xfId="16751"/>
    <cellStyle name="Normal 13 2 2 6 2 4 2" xfId="30776"/>
    <cellStyle name="Normal 13 2 2 6 2 5" xfId="18753"/>
    <cellStyle name="Normal 13 2 2 6 2 5 2" xfId="32778"/>
    <cellStyle name="Normal 13 2 2 6 2 6" xfId="24767"/>
    <cellStyle name="Normal 13 2 2 6 3" xfId="12729"/>
    <cellStyle name="Normal 13 2 2 6 3 2" xfId="20754"/>
    <cellStyle name="Normal 13 2 2 6 3 2 2" xfId="34779"/>
    <cellStyle name="Normal 13 2 2 6 3 3" xfId="26768"/>
    <cellStyle name="Normal 13 2 2 6 4" xfId="14744"/>
    <cellStyle name="Normal 13 2 2 6 4 2" xfId="22759"/>
    <cellStyle name="Normal 13 2 2 6 4 2 2" xfId="36784"/>
    <cellStyle name="Normal 13 2 2 6 4 3" xfId="28773"/>
    <cellStyle name="Normal 13 2 2 6 5" xfId="16750"/>
    <cellStyle name="Normal 13 2 2 6 5 2" xfId="30775"/>
    <cellStyle name="Normal 13 2 2 6 6" xfId="18752"/>
    <cellStyle name="Normal 13 2 2 6 6 2" xfId="32777"/>
    <cellStyle name="Normal 13 2 2 6 7" xfId="24766"/>
    <cellStyle name="Normal 13 2 2 7" xfId="2130"/>
    <cellStyle name="Normal 13 2 2 7 2" xfId="12731"/>
    <cellStyle name="Normal 13 2 2 7 2 2" xfId="20756"/>
    <cellStyle name="Normal 13 2 2 7 2 2 2" xfId="34781"/>
    <cellStyle name="Normal 13 2 2 7 2 3" xfId="26770"/>
    <cellStyle name="Normal 13 2 2 7 3" xfId="14746"/>
    <cellStyle name="Normal 13 2 2 7 3 2" xfId="22761"/>
    <cellStyle name="Normal 13 2 2 7 3 2 2" xfId="36786"/>
    <cellStyle name="Normal 13 2 2 7 3 3" xfId="28775"/>
    <cellStyle name="Normal 13 2 2 7 4" xfId="16752"/>
    <cellStyle name="Normal 13 2 2 7 4 2" xfId="30777"/>
    <cellStyle name="Normal 13 2 2 7 5" xfId="18754"/>
    <cellStyle name="Normal 13 2 2 7 5 2" xfId="32779"/>
    <cellStyle name="Normal 13 2 2 7 6" xfId="24768"/>
    <cellStyle name="Normal 13 2 3" xfId="2131"/>
    <cellStyle name="Normal 13 2 3 10" xfId="18755"/>
    <cellStyle name="Normal 13 2 3 10 2" xfId="32780"/>
    <cellStyle name="Normal 13 2 3 11" xfId="24769"/>
    <cellStyle name="Normal 13 2 3 2" xfId="2132"/>
    <cellStyle name="Normal 13 2 3 2 10" xfId="24770"/>
    <cellStyle name="Normal 13 2 3 2 2" xfId="2133"/>
    <cellStyle name="Normal 13 2 3 2 2 2" xfId="2134"/>
    <cellStyle name="Normal 13 2 3 2 2 2 2" xfId="2135"/>
    <cellStyle name="Normal 13 2 3 2 2 2 2 2" xfId="12736"/>
    <cellStyle name="Normal 13 2 3 2 2 2 2 2 2" xfId="20761"/>
    <cellStyle name="Normal 13 2 3 2 2 2 2 2 2 2" xfId="34786"/>
    <cellStyle name="Normal 13 2 3 2 2 2 2 2 3" xfId="26775"/>
    <cellStyle name="Normal 13 2 3 2 2 2 2 3" xfId="14751"/>
    <cellStyle name="Normal 13 2 3 2 2 2 2 3 2" xfId="22766"/>
    <cellStyle name="Normal 13 2 3 2 2 2 2 3 2 2" xfId="36791"/>
    <cellStyle name="Normal 13 2 3 2 2 2 2 3 3" xfId="28780"/>
    <cellStyle name="Normal 13 2 3 2 2 2 2 4" xfId="16757"/>
    <cellStyle name="Normal 13 2 3 2 2 2 2 4 2" xfId="30782"/>
    <cellStyle name="Normal 13 2 3 2 2 2 2 5" xfId="18759"/>
    <cellStyle name="Normal 13 2 3 2 2 2 2 5 2" xfId="32784"/>
    <cellStyle name="Normal 13 2 3 2 2 2 2 6" xfId="24773"/>
    <cellStyle name="Normal 13 2 3 2 2 2 3" xfId="12735"/>
    <cellStyle name="Normal 13 2 3 2 2 2 3 2" xfId="20760"/>
    <cellStyle name="Normal 13 2 3 2 2 2 3 2 2" xfId="34785"/>
    <cellStyle name="Normal 13 2 3 2 2 2 3 3" xfId="26774"/>
    <cellStyle name="Normal 13 2 3 2 2 2 4" xfId="14750"/>
    <cellStyle name="Normal 13 2 3 2 2 2 4 2" xfId="22765"/>
    <cellStyle name="Normal 13 2 3 2 2 2 4 2 2" xfId="36790"/>
    <cellStyle name="Normal 13 2 3 2 2 2 4 3" xfId="28779"/>
    <cellStyle name="Normal 13 2 3 2 2 2 5" xfId="16756"/>
    <cellStyle name="Normal 13 2 3 2 2 2 5 2" xfId="30781"/>
    <cellStyle name="Normal 13 2 3 2 2 2 6" xfId="18758"/>
    <cellStyle name="Normal 13 2 3 2 2 2 6 2" xfId="32783"/>
    <cellStyle name="Normal 13 2 3 2 2 2 7" xfId="24772"/>
    <cellStyle name="Normal 13 2 3 2 2 3" xfId="2136"/>
    <cellStyle name="Normal 13 2 3 2 2 3 2" xfId="12737"/>
    <cellStyle name="Normal 13 2 3 2 2 3 2 2" xfId="20762"/>
    <cellStyle name="Normal 13 2 3 2 2 3 2 2 2" xfId="34787"/>
    <cellStyle name="Normal 13 2 3 2 2 3 2 3" xfId="26776"/>
    <cellStyle name="Normal 13 2 3 2 2 3 3" xfId="14752"/>
    <cellStyle name="Normal 13 2 3 2 2 3 3 2" xfId="22767"/>
    <cellStyle name="Normal 13 2 3 2 2 3 3 2 2" xfId="36792"/>
    <cellStyle name="Normal 13 2 3 2 2 3 3 3" xfId="28781"/>
    <cellStyle name="Normal 13 2 3 2 2 3 4" xfId="16758"/>
    <cellStyle name="Normal 13 2 3 2 2 3 4 2" xfId="30783"/>
    <cellStyle name="Normal 13 2 3 2 2 3 5" xfId="18760"/>
    <cellStyle name="Normal 13 2 3 2 2 3 5 2" xfId="32785"/>
    <cellStyle name="Normal 13 2 3 2 2 3 6" xfId="24774"/>
    <cellStyle name="Normal 13 2 3 2 2 4" xfId="12734"/>
    <cellStyle name="Normal 13 2 3 2 2 4 2" xfId="20759"/>
    <cellStyle name="Normal 13 2 3 2 2 4 2 2" xfId="34784"/>
    <cellStyle name="Normal 13 2 3 2 2 4 3" xfId="26773"/>
    <cellStyle name="Normal 13 2 3 2 2 5" xfId="14749"/>
    <cellStyle name="Normal 13 2 3 2 2 5 2" xfId="22764"/>
    <cellStyle name="Normal 13 2 3 2 2 5 2 2" xfId="36789"/>
    <cellStyle name="Normal 13 2 3 2 2 5 3" xfId="28778"/>
    <cellStyle name="Normal 13 2 3 2 2 6" xfId="16755"/>
    <cellStyle name="Normal 13 2 3 2 2 6 2" xfId="30780"/>
    <cellStyle name="Normal 13 2 3 2 2 7" xfId="18757"/>
    <cellStyle name="Normal 13 2 3 2 2 7 2" xfId="32782"/>
    <cellStyle name="Normal 13 2 3 2 2 8" xfId="24771"/>
    <cellStyle name="Normal 13 2 3 2 3" xfId="2137"/>
    <cellStyle name="Normal 13 2 3 2 3 2" xfId="2138"/>
    <cellStyle name="Normal 13 2 3 2 3 2 2" xfId="12739"/>
    <cellStyle name="Normal 13 2 3 2 3 2 2 2" xfId="20764"/>
    <cellStyle name="Normal 13 2 3 2 3 2 2 2 2" xfId="34789"/>
    <cellStyle name="Normal 13 2 3 2 3 2 2 3" xfId="26778"/>
    <cellStyle name="Normal 13 2 3 2 3 2 3" xfId="14754"/>
    <cellStyle name="Normal 13 2 3 2 3 2 3 2" xfId="22769"/>
    <cellStyle name="Normal 13 2 3 2 3 2 3 2 2" xfId="36794"/>
    <cellStyle name="Normal 13 2 3 2 3 2 3 3" xfId="28783"/>
    <cellStyle name="Normal 13 2 3 2 3 2 4" xfId="16760"/>
    <cellStyle name="Normal 13 2 3 2 3 2 4 2" xfId="30785"/>
    <cellStyle name="Normal 13 2 3 2 3 2 5" xfId="18762"/>
    <cellStyle name="Normal 13 2 3 2 3 2 5 2" xfId="32787"/>
    <cellStyle name="Normal 13 2 3 2 3 2 6" xfId="24776"/>
    <cellStyle name="Normal 13 2 3 2 3 3" xfId="12738"/>
    <cellStyle name="Normal 13 2 3 2 3 3 2" xfId="20763"/>
    <cellStyle name="Normal 13 2 3 2 3 3 2 2" xfId="34788"/>
    <cellStyle name="Normal 13 2 3 2 3 3 3" xfId="26777"/>
    <cellStyle name="Normal 13 2 3 2 3 4" xfId="14753"/>
    <cellStyle name="Normal 13 2 3 2 3 4 2" xfId="22768"/>
    <cellStyle name="Normal 13 2 3 2 3 4 2 2" xfId="36793"/>
    <cellStyle name="Normal 13 2 3 2 3 4 3" xfId="28782"/>
    <cellStyle name="Normal 13 2 3 2 3 5" xfId="16759"/>
    <cellStyle name="Normal 13 2 3 2 3 5 2" xfId="30784"/>
    <cellStyle name="Normal 13 2 3 2 3 6" xfId="18761"/>
    <cellStyle name="Normal 13 2 3 2 3 6 2" xfId="32786"/>
    <cellStyle name="Normal 13 2 3 2 3 7" xfId="24775"/>
    <cellStyle name="Normal 13 2 3 2 4" xfId="2139"/>
    <cellStyle name="Normal 13 2 3 2 4 2" xfId="2140"/>
    <cellStyle name="Normal 13 2 3 2 4 2 2" xfId="12741"/>
    <cellStyle name="Normal 13 2 3 2 4 2 2 2" xfId="20766"/>
    <cellStyle name="Normal 13 2 3 2 4 2 2 2 2" xfId="34791"/>
    <cellStyle name="Normal 13 2 3 2 4 2 2 3" xfId="26780"/>
    <cellStyle name="Normal 13 2 3 2 4 2 3" xfId="14756"/>
    <cellStyle name="Normal 13 2 3 2 4 2 3 2" xfId="22771"/>
    <cellStyle name="Normal 13 2 3 2 4 2 3 2 2" xfId="36796"/>
    <cellStyle name="Normal 13 2 3 2 4 2 3 3" xfId="28785"/>
    <cellStyle name="Normal 13 2 3 2 4 2 4" xfId="16762"/>
    <cellStyle name="Normal 13 2 3 2 4 2 4 2" xfId="30787"/>
    <cellStyle name="Normal 13 2 3 2 4 2 5" xfId="18764"/>
    <cellStyle name="Normal 13 2 3 2 4 2 5 2" xfId="32789"/>
    <cellStyle name="Normal 13 2 3 2 4 2 6" xfId="24778"/>
    <cellStyle name="Normal 13 2 3 2 4 3" xfId="12740"/>
    <cellStyle name="Normal 13 2 3 2 4 3 2" xfId="20765"/>
    <cellStyle name="Normal 13 2 3 2 4 3 2 2" xfId="34790"/>
    <cellStyle name="Normal 13 2 3 2 4 3 3" xfId="26779"/>
    <cellStyle name="Normal 13 2 3 2 4 4" xfId="14755"/>
    <cellStyle name="Normal 13 2 3 2 4 4 2" xfId="22770"/>
    <cellStyle name="Normal 13 2 3 2 4 4 2 2" xfId="36795"/>
    <cellStyle name="Normal 13 2 3 2 4 4 3" xfId="28784"/>
    <cellStyle name="Normal 13 2 3 2 4 5" xfId="16761"/>
    <cellStyle name="Normal 13 2 3 2 4 5 2" xfId="30786"/>
    <cellStyle name="Normal 13 2 3 2 4 6" xfId="18763"/>
    <cellStyle name="Normal 13 2 3 2 4 6 2" xfId="32788"/>
    <cellStyle name="Normal 13 2 3 2 4 7" xfId="24777"/>
    <cellStyle name="Normal 13 2 3 2 5" xfId="2141"/>
    <cellStyle name="Normal 13 2 3 2 5 2" xfId="12742"/>
    <cellStyle name="Normal 13 2 3 2 5 2 2" xfId="20767"/>
    <cellStyle name="Normal 13 2 3 2 5 2 2 2" xfId="34792"/>
    <cellStyle name="Normal 13 2 3 2 5 2 3" xfId="26781"/>
    <cellStyle name="Normal 13 2 3 2 5 3" xfId="14757"/>
    <cellStyle name="Normal 13 2 3 2 5 3 2" xfId="22772"/>
    <cellStyle name="Normal 13 2 3 2 5 3 2 2" xfId="36797"/>
    <cellStyle name="Normal 13 2 3 2 5 3 3" xfId="28786"/>
    <cellStyle name="Normal 13 2 3 2 5 4" xfId="16763"/>
    <cellStyle name="Normal 13 2 3 2 5 4 2" xfId="30788"/>
    <cellStyle name="Normal 13 2 3 2 5 5" xfId="18765"/>
    <cellStyle name="Normal 13 2 3 2 5 5 2" xfId="32790"/>
    <cellStyle name="Normal 13 2 3 2 5 6" xfId="24779"/>
    <cellStyle name="Normal 13 2 3 2 6" xfId="12733"/>
    <cellStyle name="Normal 13 2 3 2 6 2" xfId="20758"/>
    <cellStyle name="Normal 13 2 3 2 6 2 2" xfId="34783"/>
    <cellStyle name="Normal 13 2 3 2 6 3" xfId="26772"/>
    <cellStyle name="Normal 13 2 3 2 7" xfId="14748"/>
    <cellStyle name="Normal 13 2 3 2 7 2" xfId="22763"/>
    <cellStyle name="Normal 13 2 3 2 7 2 2" xfId="36788"/>
    <cellStyle name="Normal 13 2 3 2 7 3" xfId="28777"/>
    <cellStyle name="Normal 13 2 3 2 8" xfId="16754"/>
    <cellStyle name="Normal 13 2 3 2 8 2" xfId="30779"/>
    <cellStyle name="Normal 13 2 3 2 9" xfId="18756"/>
    <cellStyle name="Normal 13 2 3 2 9 2" xfId="32781"/>
    <cellStyle name="Normal 13 2 3 3" xfId="2142"/>
    <cellStyle name="Normal 13 2 3 3 2" xfId="2143"/>
    <cellStyle name="Normal 13 2 3 3 2 2" xfId="2144"/>
    <cellStyle name="Normal 13 2 3 3 2 2 2" xfId="12745"/>
    <cellStyle name="Normal 13 2 3 3 2 2 2 2" xfId="20770"/>
    <cellStyle name="Normal 13 2 3 3 2 2 2 2 2" xfId="34795"/>
    <cellStyle name="Normal 13 2 3 3 2 2 2 3" xfId="26784"/>
    <cellStyle name="Normal 13 2 3 3 2 2 3" xfId="14760"/>
    <cellStyle name="Normal 13 2 3 3 2 2 3 2" xfId="22775"/>
    <cellStyle name="Normal 13 2 3 3 2 2 3 2 2" xfId="36800"/>
    <cellStyle name="Normal 13 2 3 3 2 2 3 3" xfId="28789"/>
    <cellStyle name="Normal 13 2 3 3 2 2 4" xfId="16766"/>
    <cellStyle name="Normal 13 2 3 3 2 2 4 2" xfId="30791"/>
    <cellStyle name="Normal 13 2 3 3 2 2 5" xfId="18768"/>
    <cellStyle name="Normal 13 2 3 3 2 2 5 2" xfId="32793"/>
    <cellStyle name="Normal 13 2 3 3 2 2 6" xfId="24782"/>
    <cellStyle name="Normal 13 2 3 3 2 3" xfId="12744"/>
    <cellStyle name="Normal 13 2 3 3 2 3 2" xfId="20769"/>
    <cellStyle name="Normal 13 2 3 3 2 3 2 2" xfId="34794"/>
    <cellStyle name="Normal 13 2 3 3 2 3 3" xfId="26783"/>
    <cellStyle name="Normal 13 2 3 3 2 4" xfId="14759"/>
    <cellStyle name="Normal 13 2 3 3 2 4 2" xfId="22774"/>
    <cellStyle name="Normal 13 2 3 3 2 4 2 2" xfId="36799"/>
    <cellStyle name="Normal 13 2 3 3 2 4 3" xfId="28788"/>
    <cellStyle name="Normal 13 2 3 3 2 5" xfId="16765"/>
    <cellStyle name="Normal 13 2 3 3 2 5 2" xfId="30790"/>
    <cellStyle name="Normal 13 2 3 3 2 6" xfId="18767"/>
    <cellStyle name="Normal 13 2 3 3 2 6 2" xfId="32792"/>
    <cellStyle name="Normal 13 2 3 3 2 7" xfId="24781"/>
    <cellStyle name="Normal 13 2 3 3 3" xfId="2145"/>
    <cellStyle name="Normal 13 2 3 3 3 2" xfId="12746"/>
    <cellStyle name="Normal 13 2 3 3 3 2 2" xfId="20771"/>
    <cellStyle name="Normal 13 2 3 3 3 2 2 2" xfId="34796"/>
    <cellStyle name="Normal 13 2 3 3 3 2 3" xfId="26785"/>
    <cellStyle name="Normal 13 2 3 3 3 3" xfId="14761"/>
    <cellStyle name="Normal 13 2 3 3 3 3 2" xfId="22776"/>
    <cellStyle name="Normal 13 2 3 3 3 3 2 2" xfId="36801"/>
    <cellStyle name="Normal 13 2 3 3 3 3 3" xfId="28790"/>
    <cellStyle name="Normal 13 2 3 3 3 4" xfId="16767"/>
    <cellStyle name="Normal 13 2 3 3 3 4 2" xfId="30792"/>
    <cellStyle name="Normal 13 2 3 3 3 5" xfId="18769"/>
    <cellStyle name="Normal 13 2 3 3 3 5 2" xfId="32794"/>
    <cellStyle name="Normal 13 2 3 3 3 6" xfId="24783"/>
    <cellStyle name="Normal 13 2 3 3 4" xfId="12743"/>
    <cellStyle name="Normal 13 2 3 3 4 2" xfId="20768"/>
    <cellStyle name="Normal 13 2 3 3 4 2 2" xfId="34793"/>
    <cellStyle name="Normal 13 2 3 3 4 3" xfId="26782"/>
    <cellStyle name="Normal 13 2 3 3 5" xfId="14758"/>
    <cellStyle name="Normal 13 2 3 3 5 2" xfId="22773"/>
    <cellStyle name="Normal 13 2 3 3 5 2 2" xfId="36798"/>
    <cellStyle name="Normal 13 2 3 3 5 3" xfId="28787"/>
    <cellStyle name="Normal 13 2 3 3 6" xfId="16764"/>
    <cellStyle name="Normal 13 2 3 3 6 2" xfId="30789"/>
    <cellStyle name="Normal 13 2 3 3 7" xfId="18766"/>
    <cellStyle name="Normal 13 2 3 3 7 2" xfId="32791"/>
    <cellStyle name="Normal 13 2 3 3 8" xfId="24780"/>
    <cellStyle name="Normal 13 2 3 4" xfId="2146"/>
    <cellStyle name="Normal 13 2 3 4 2" xfId="2147"/>
    <cellStyle name="Normal 13 2 3 4 2 2" xfId="12748"/>
    <cellStyle name="Normal 13 2 3 4 2 2 2" xfId="20773"/>
    <cellStyle name="Normal 13 2 3 4 2 2 2 2" xfId="34798"/>
    <cellStyle name="Normal 13 2 3 4 2 2 3" xfId="26787"/>
    <cellStyle name="Normal 13 2 3 4 2 3" xfId="14763"/>
    <cellStyle name="Normal 13 2 3 4 2 3 2" xfId="22778"/>
    <cellStyle name="Normal 13 2 3 4 2 3 2 2" xfId="36803"/>
    <cellStyle name="Normal 13 2 3 4 2 3 3" xfId="28792"/>
    <cellStyle name="Normal 13 2 3 4 2 4" xfId="16769"/>
    <cellStyle name="Normal 13 2 3 4 2 4 2" xfId="30794"/>
    <cellStyle name="Normal 13 2 3 4 2 5" xfId="18771"/>
    <cellStyle name="Normal 13 2 3 4 2 5 2" xfId="32796"/>
    <cellStyle name="Normal 13 2 3 4 2 6" xfId="24785"/>
    <cellStyle name="Normal 13 2 3 4 3" xfId="12747"/>
    <cellStyle name="Normal 13 2 3 4 3 2" xfId="20772"/>
    <cellStyle name="Normal 13 2 3 4 3 2 2" xfId="34797"/>
    <cellStyle name="Normal 13 2 3 4 3 3" xfId="26786"/>
    <cellStyle name="Normal 13 2 3 4 4" xfId="14762"/>
    <cellStyle name="Normal 13 2 3 4 4 2" xfId="22777"/>
    <cellStyle name="Normal 13 2 3 4 4 2 2" xfId="36802"/>
    <cellStyle name="Normal 13 2 3 4 4 3" xfId="28791"/>
    <cellStyle name="Normal 13 2 3 4 5" xfId="16768"/>
    <cellStyle name="Normal 13 2 3 4 5 2" xfId="30793"/>
    <cellStyle name="Normal 13 2 3 4 6" xfId="18770"/>
    <cellStyle name="Normal 13 2 3 4 6 2" xfId="32795"/>
    <cellStyle name="Normal 13 2 3 4 7" xfId="24784"/>
    <cellStyle name="Normal 13 2 3 5" xfId="2148"/>
    <cellStyle name="Normal 13 2 3 5 2" xfId="2149"/>
    <cellStyle name="Normal 13 2 3 5 2 2" xfId="12750"/>
    <cellStyle name="Normal 13 2 3 5 2 2 2" xfId="20775"/>
    <cellStyle name="Normal 13 2 3 5 2 2 2 2" xfId="34800"/>
    <cellStyle name="Normal 13 2 3 5 2 2 3" xfId="26789"/>
    <cellStyle name="Normal 13 2 3 5 2 3" xfId="14765"/>
    <cellStyle name="Normal 13 2 3 5 2 3 2" xfId="22780"/>
    <cellStyle name="Normal 13 2 3 5 2 3 2 2" xfId="36805"/>
    <cellStyle name="Normal 13 2 3 5 2 3 3" xfId="28794"/>
    <cellStyle name="Normal 13 2 3 5 2 4" xfId="16771"/>
    <cellStyle name="Normal 13 2 3 5 2 4 2" xfId="30796"/>
    <cellStyle name="Normal 13 2 3 5 2 5" xfId="18773"/>
    <cellStyle name="Normal 13 2 3 5 2 5 2" xfId="32798"/>
    <cellStyle name="Normal 13 2 3 5 2 6" xfId="24787"/>
    <cellStyle name="Normal 13 2 3 5 3" xfId="12749"/>
    <cellStyle name="Normal 13 2 3 5 3 2" xfId="20774"/>
    <cellStyle name="Normal 13 2 3 5 3 2 2" xfId="34799"/>
    <cellStyle name="Normal 13 2 3 5 3 3" xfId="26788"/>
    <cellStyle name="Normal 13 2 3 5 4" xfId="14764"/>
    <cellStyle name="Normal 13 2 3 5 4 2" xfId="22779"/>
    <cellStyle name="Normal 13 2 3 5 4 2 2" xfId="36804"/>
    <cellStyle name="Normal 13 2 3 5 4 3" xfId="28793"/>
    <cellStyle name="Normal 13 2 3 5 5" xfId="16770"/>
    <cellStyle name="Normal 13 2 3 5 5 2" xfId="30795"/>
    <cellStyle name="Normal 13 2 3 5 6" xfId="18772"/>
    <cellStyle name="Normal 13 2 3 5 6 2" xfId="32797"/>
    <cellStyle name="Normal 13 2 3 5 7" xfId="24786"/>
    <cellStyle name="Normal 13 2 3 6" xfId="2150"/>
    <cellStyle name="Normal 13 2 3 6 2" xfId="12751"/>
    <cellStyle name="Normal 13 2 3 6 2 2" xfId="20776"/>
    <cellStyle name="Normal 13 2 3 6 2 2 2" xfId="34801"/>
    <cellStyle name="Normal 13 2 3 6 2 3" xfId="26790"/>
    <cellStyle name="Normal 13 2 3 6 3" xfId="14766"/>
    <cellStyle name="Normal 13 2 3 6 3 2" xfId="22781"/>
    <cellStyle name="Normal 13 2 3 6 3 2 2" xfId="36806"/>
    <cellStyle name="Normal 13 2 3 6 3 3" xfId="28795"/>
    <cellStyle name="Normal 13 2 3 6 4" xfId="16772"/>
    <cellStyle name="Normal 13 2 3 6 4 2" xfId="30797"/>
    <cellStyle name="Normal 13 2 3 6 5" xfId="18774"/>
    <cellStyle name="Normal 13 2 3 6 5 2" xfId="32799"/>
    <cellStyle name="Normal 13 2 3 6 6" xfId="24788"/>
    <cellStyle name="Normal 13 2 3 7" xfId="12732"/>
    <cellStyle name="Normal 13 2 3 7 2" xfId="20757"/>
    <cellStyle name="Normal 13 2 3 7 2 2" xfId="34782"/>
    <cellStyle name="Normal 13 2 3 7 3" xfId="26771"/>
    <cellStyle name="Normal 13 2 3 8" xfId="14747"/>
    <cellStyle name="Normal 13 2 3 8 2" xfId="22762"/>
    <cellStyle name="Normal 13 2 3 8 2 2" xfId="36787"/>
    <cellStyle name="Normal 13 2 3 8 3" xfId="28776"/>
    <cellStyle name="Normal 13 2 3 9" xfId="16753"/>
    <cellStyle name="Normal 13 2 3 9 2" xfId="30778"/>
    <cellStyle name="Normal 13 2 4" xfId="2151"/>
    <cellStyle name="Normal 13 2 4 10" xfId="24789"/>
    <cellStyle name="Normal 13 2 4 2" xfId="2152"/>
    <cellStyle name="Normal 13 2 4 2 2" xfId="2153"/>
    <cellStyle name="Normal 13 2 4 2 2 2" xfId="2154"/>
    <cellStyle name="Normal 13 2 4 2 2 2 2" xfId="12755"/>
    <cellStyle name="Normal 13 2 4 2 2 2 2 2" xfId="20780"/>
    <cellStyle name="Normal 13 2 4 2 2 2 2 2 2" xfId="34805"/>
    <cellStyle name="Normal 13 2 4 2 2 2 2 3" xfId="26794"/>
    <cellStyle name="Normal 13 2 4 2 2 2 3" xfId="14770"/>
    <cellStyle name="Normal 13 2 4 2 2 2 3 2" xfId="22785"/>
    <cellStyle name="Normal 13 2 4 2 2 2 3 2 2" xfId="36810"/>
    <cellStyle name="Normal 13 2 4 2 2 2 3 3" xfId="28799"/>
    <cellStyle name="Normal 13 2 4 2 2 2 4" xfId="16776"/>
    <cellStyle name="Normal 13 2 4 2 2 2 4 2" xfId="30801"/>
    <cellStyle name="Normal 13 2 4 2 2 2 5" xfId="18778"/>
    <cellStyle name="Normal 13 2 4 2 2 2 5 2" xfId="32803"/>
    <cellStyle name="Normal 13 2 4 2 2 2 6" xfId="24792"/>
    <cellStyle name="Normal 13 2 4 2 2 3" xfId="12754"/>
    <cellStyle name="Normal 13 2 4 2 2 3 2" xfId="20779"/>
    <cellStyle name="Normal 13 2 4 2 2 3 2 2" xfId="34804"/>
    <cellStyle name="Normal 13 2 4 2 2 3 3" xfId="26793"/>
    <cellStyle name="Normal 13 2 4 2 2 4" xfId="14769"/>
    <cellStyle name="Normal 13 2 4 2 2 4 2" xfId="22784"/>
    <cellStyle name="Normal 13 2 4 2 2 4 2 2" xfId="36809"/>
    <cellStyle name="Normal 13 2 4 2 2 4 3" xfId="28798"/>
    <cellStyle name="Normal 13 2 4 2 2 5" xfId="16775"/>
    <cellStyle name="Normal 13 2 4 2 2 5 2" xfId="30800"/>
    <cellStyle name="Normal 13 2 4 2 2 6" xfId="18777"/>
    <cellStyle name="Normal 13 2 4 2 2 6 2" xfId="32802"/>
    <cellStyle name="Normal 13 2 4 2 2 7" xfId="24791"/>
    <cellStyle name="Normal 13 2 4 2 3" xfId="2155"/>
    <cellStyle name="Normal 13 2 4 2 3 2" xfId="12756"/>
    <cellStyle name="Normal 13 2 4 2 3 2 2" xfId="20781"/>
    <cellStyle name="Normal 13 2 4 2 3 2 2 2" xfId="34806"/>
    <cellStyle name="Normal 13 2 4 2 3 2 3" xfId="26795"/>
    <cellStyle name="Normal 13 2 4 2 3 3" xfId="14771"/>
    <cellStyle name="Normal 13 2 4 2 3 3 2" xfId="22786"/>
    <cellStyle name="Normal 13 2 4 2 3 3 2 2" xfId="36811"/>
    <cellStyle name="Normal 13 2 4 2 3 3 3" xfId="28800"/>
    <cellStyle name="Normal 13 2 4 2 3 4" xfId="16777"/>
    <cellStyle name="Normal 13 2 4 2 3 4 2" xfId="30802"/>
    <cellStyle name="Normal 13 2 4 2 3 5" xfId="18779"/>
    <cellStyle name="Normal 13 2 4 2 3 5 2" xfId="32804"/>
    <cellStyle name="Normal 13 2 4 2 3 6" xfId="24793"/>
    <cellStyle name="Normal 13 2 4 2 4" xfId="12753"/>
    <cellStyle name="Normal 13 2 4 2 4 2" xfId="20778"/>
    <cellStyle name="Normal 13 2 4 2 4 2 2" xfId="34803"/>
    <cellStyle name="Normal 13 2 4 2 4 3" xfId="26792"/>
    <cellStyle name="Normal 13 2 4 2 5" xfId="14768"/>
    <cellStyle name="Normal 13 2 4 2 5 2" xfId="22783"/>
    <cellStyle name="Normal 13 2 4 2 5 2 2" xfId="36808"/>
    <cellStyle name="Normal 13 2 4 2 5 3" xfId="28797"/>
    <cellStyle name="Normal 13 2 4 2 6" xfId="16774"/>
    <cellStyle name="Normal 13 2 4 2 6 2" xfId="30799"/>
    <cellStyle name="Normal 13 2 4 2 7" xfId="18776"/>
    <cellStyle name="Normal 13 2 4 2 7 2" xfId="32801"/>
    <cellStyle name="Normal 13 2 4 2 8" xfId="24790"/>
    <cellStyle name="Normal 13 2 4 3" xfId="2156"/>
    <cellStyle name="Normal 13 2 4 3 2" xfId="2157"/>
    <cellStyle name="Normal 13 2 4 3 2 2" xfId="12758"/>
    <cellStyle name="Normal 13 2 4 3 2 2 2" xfId="20783"/>
    <cellStyle name="Normal 13 2 4 3 2 2 2 2" xfId="34808"/>
    <cellStyle name="Normal 13 2 4 3 2 2 3" xfId="26797"/>
    <cellStyle name="Normal 13 2 4 3 2 3" xfId="14773"/>
    <cellStyle name="Normal 13 2 4 3 2 3 2" xfId="22788"/>
    <cellStyle name="Normal 13 2 4 3 2 3 2 2" xfId="36813"/>
    <cellStyle name="Normal 13 2 4 3 2 3 3" xfId="28802"/>
    <cellStyle name="Normal 13 2 4 3 2 4" xfId="16779"/>
    <cellStyle name="Normal 13 2 4 3 2 4 2" xfId="30804"/>
    <cellStyle name="Normal 13 2 4 3 2 5" xfId="18781"/>
    <cellStyle name="Normal 13 2 4 3 2 5 2" xfId="32806"/>
    <cellStyle name="Normal 13 2 4 3 2 6" xfId="24795"/>
    <cellStyle name="Normal 13 2 4 3 3" xfId="12757"/>
    <cellStyle name="Normal 13 2 4 3 3 2" xfId="20782"/>
    <cellStyle name="Normal 13 2 4 3 3 2 2" xfId="34807"/>
    <cellStyle name="Normal 13 2 4 3 3 3" xfId="26796"/>
    <cellStyle name="Normal 13 2 4 3 4" xfId="14772"/>
    <cellStyle name="Normal 13 2 4 3 4 2" xfId="22787"/>
    <cellStyle name="Normal 13 2 4 3 4 2 2" xfId="36812"/>
    <cellStyle name="Normal 13 2 4 3 4 3" xfId="28801"/>
    <cellStyle name="Normal 13 2 4 3 5" xfId="16778"/>
    <cellStyle name="Normal 13 2 4 3 5 2" xfId="30803"/>
    <cellStyle name="Normal 13 2 4 3 6" xfId="18780"/>
    <cellStyle name="Normal 13 2 4 3 6 2" xfId="32805"/>
    <cellStyle name="Normal 13 2 4 3 7" xfId="24794"/>
    <cellStyle name="Normal 13 2 4 4" xfId="2158"/>
    <cellStyle name="Normal 13 2 4 4 2" xfId="2159"/>
    <cellStyle name="Normal 13 2 4 4 2 2" xfId="12760"/>
    <cellStyle name="Normal 13 2 4 4 2 2 2" xfId="20785"/>
    <cellStyle name="Normal 13 2 4 4 2 2 2 2" xfId="34810"/>
    <cellStyle name="Normal 13 2 4 4 2 2 3" xfId="26799"/>
    <cellStyle name="Normal 13 2 4 4 2 3" xfId="14775"/>
    <cellStyle name="Normal 13 2 4 4 2 3 2" xfId="22790"/>
    <cellStyle name="Normal 13 2 4 4 2 3 2 2" xfId="36815"/>
    <cellStyle name="Normal 13 2 4 4 2 3 3" xfId="28804"/>
    <cellStyle name="Normal 13 2 4 4 2 4" xfId="16781"/>
    <cellStyle name="Normal 13 2 4 4 2 4 2" xfId="30806"/>
    <cellStyle name="Normal 13 2 4 4 2 5" xfId="18783"/>
    <cellStyle name="Normal 13 2 4 4 2 5 2" xfId="32808"/>
    <cellStyle name="Normal 13 2 4 4 2 6" xfId="24797"/>
    <cellStyle name="Normal 13 2 4 4 3" xfId="12759"/>
    <cellStyle name="Normal 13 2 4 4 3 2" xfId="20784"/>
    <cellStyle name="Normal 13 2 4 4 3 2 2" xfId="34809"/>
    <cellStyle name="Normal 13 2 4 4 3 3" xfId="26798"/>
    <cellStyle name="Normal 13 2 4 4 4" xfId="14774"/>
    <cellStyle name="Normal 13 2 4 4 4 2" xfId="22789"/>
    <cellStyle name="Normal 13 2 4 4 4 2 2" xfId="36814"/>
    <cellStyle name="Normal 13 2 4 4 4 3" xfId="28803"/>
    <cellStyle name="Normal 13 2 4 4 5" xfId="16780"/>
    <cellStyle name="Normal 13 2 4 4 5 2" xfId="30805"/>
    <cellStyle name="Normal 13 2 4 4 6" xfId="18782"/>
    <cellStyle name="Normal 13 2 4 4 6 2" xfId="32807"/>
    <cellStyle name="Normal 13 2 4 4 7" xfId="24796"/>
    <cellStyle name="Normal 13 2 4 5" xfId="2160"/>
    <cellStyle name="Normal 13 2 4 5 2" xfId="12761"/>
    <cellStyle name="Normal 13 2 4 5 2 2" xfId="20786"/>
    <cellStyle name="Normal 13 2 4 5 2 2 2" xfId="34811"/>
    <cellStyle name="Normal 13 2 4 5 2 3" xfId="26800"/>
    <cellStyle name="Normal 13 2 4 5 3" xfId="14776"/>
    <cellStyle name="Normal 13 2 4 5 3 2" xfId="22791"/>
    <cellStyle name="Normal 13 2 4 5 3 2 2" xfId="36816"/>
    <cellStyle name="Normal 13 2 4 5 3 3" xfId="28805"/>
    <cellStyle name="Normal 13 2 4 5 4" xfId="16782"/>
    <cellStyle name="Normal 13 2 4 5 4 2" xfId="30807"/>
    <cellStyle name="Normal 13 2 4 5 5" xfId="18784"/>
    <cellStyle name="Normal 13 2 4 5 5 2" xfId="32809"/>
    <cellStyle name="Normal 13 2 4 5 6" xfId="24798"/>
    <cellStyle name="Normal 13 2 4 6" xfId="12752"/>
    <cellStyle name="Normal 13 2 4 6 2" xfId="20777"/>
    <cellStyle name="Normal 13 2 4 6 2 2" xfId="34802"/>
    <cellStyle name="Normal 13 2 4 6 3" xfId="26791"/>
    <cellStyle name="Normal 13 2 4 7" xfId="14767"/>
    <cellStyle name="Normal 13 2 4 7 2" xfId="22782"/>
    <cellStyle name="Normal 13 2 4 7 2 2" xfId="36807"/>
    <cellStyle name="Normal 13 2 4 7 3" xfId="28796"/>
    <cellStyle name="Normal 13 2 4 8" xfId="16773"/>
    <cellStyle name="Normal 13 2 4 8 2" xfId="30798"/>
    <cellStyle name="Normal 13 2 4 9" xfId="18775"/>
    <cellStyle name="Normal 13 2 4 9 2" xfId="32800"/>
    <cellStyle name="Normal 13 2 5" xfId="2161"/>
    <cellStyle name="Normal 13 2 5 10" xfId="24799"/>
    <cellStyle name="Normal 13 2 5 2" xfId="2162"/>
    <cellStyle name="Normal 13 2 5 2 2" xfId="2163"/>
    <cellStyle name="Normal 13 2 5 2 2 2" xfId="2164"/>
    <cellStyle name="Normal 13 2 5 2 2 2 2" xfId="12765"/>
    <cellStyle name="Normal 13 2 5 2 2 2 2 2" xfId="20790"/>
    <cellStyle name="Normal 13 2 5 2 2 2 2 2 2" xfId="34815"/>
    <cellStyle name="Normal 13 2 5 2 2 2 2 3" xfId="26804"/>
    <cellStyle name="Normal 13 2 5 2 2 2 3" xfId="14780"/>
    <cellStyle name="Normal 13 2 5 2 2 2 3 2" xfId="22795"/>
    <cellStyle name="Normal 13 2 5 2 2 2 3 2 2" xfId="36820"/>
    <cellStyle name="Normal 13 2 5 2 2 2 3 3" xfId="28809"/>
    <cellStyle name="Normal 13 2 5 2 2 2 4" xfId="16786"/>
    <cellStyle name="Normal 13 2 5 2 2 2 4 2" xfId="30811"/>
    <cellStyle name="Normal 13 2 5 2 2 2 5" xfId="18788"/>
    <cellStyle name="Normal 13 2 5 2 2 2 5 2" xfId="32813"/>
    <cellStyle name="Normal 13 2 5 2 2 2 6" xfId="24802"/>
    <cellStyle name="Normal 13 2 5 2 2 3" xfId="12764"/>
    <cellStyle name="Normal 13 2 5 2 2 3 2" xfId="20789"/>
    <cellStyle name="Normal 13 2 5 2 2 3 2 2" xfId="34814"/>
    <cellStyle name="Normal 13 2 5 2 2 3 3" xfId="26803"/>
    <cellStyle name="Normal 13 2 5 2 2 4" xfId="14779"/>
    <cellStyle name="Normal 13 2 5 2 2 4 2" xfId="22794"/>
    <cellStyle name="Normal 13 2 5 2 2 4 2 2" xfId="36819"/>
    <cellStyle name="Normal 13 2 5 2 2 4 3" xfId="28808"/>
    <cellStyle name="Normal 13 2 5 2 2 5" xfId="16785"/>
    <cellStyle name="Normal 13 2 5 2 2 5 2" xfId="30810"/>
    <cellStyle name="Normal 13 2 5 2 2 6" xfId="18787"/>
    <cellStyle name="Normal 13 2 5 2 2 6 2" xfId="32812"/>
    <cellStyle name="Normal 13 2 5 2 2 7" xfId="24801"/>
    <cellStyle name="Normal 13 2 5 2 3" xfId="2165"/>
    <cellStyle name="Normal 13 2 5 2 3 2" xfId="12766"/>
    <cellStyle name="Normal 13 2 5 2 3 2 2" xfId="20791"/>
    <cellStyle name="Normal 13 2 5 2 3 2 2 2" xfId="34816"/>
    <cellStyle name="Normal 13 2 5 2 3 2 3" xfId="26805"/>
    <cellStyle name="Normal 13 2 5 2 3 3" xfId="14781"/>
    <cellStyle name="Normal 13 2 5 2 3 3 2" xfId="22796"/>
    <cellStyle name="Normal 13 2 5 2 3 3 2 2" xfId="36821"/>
    <cellStyle name="Normal 13 2 5 2 3 3 3" xfId="28810"/>
    <cellStyle name="Normal 13 2 5 2 3 4" xfId="16787"/>
    <cellStyle name="Normal 13 2 5 2 3 4 2" xfId="30812"/>
    <cellStyle name="Normal 13 2 5 2 3 5" xfId="18789"/>
    <cellStyle name="Normal 13 2 5 2 3 5 2" xfId="32814"/>
    <cellStyle name="Normal 13 2 5 2 3 6" xfId="24803"/>
    <cellStyle name="Normal 13 2 5 2 4" xfId="12763"/>
    <cellStyle name="Normal 13 2 5 2 4 2" xfId="20788"/>
    <cellStyle name="Normal 13 2 5 2 4 2 2" xfId="34813"/>
    <cellStyle name="Normal 13 2 5 2 4 3" xfId="26802"/>
    <cellStyle name="Normal 13 2 5 2 5" xfId="14778"/>
    <cellStyle name="Normal 13 2 5 2 5 2" xfId="22793"/>
    <cellStyle name="Normal 13 2 5 2 5 2 2" xfId="36818"/>
    <cellStyle name="Normal 13 2 5 2 5 3" xfId="28807"/>
    <cellStyle name="Normal 13 2 5 2 6" xfId="16784"/>
    <cellStyle name="Normal 13 2 5 2 6 2" xfId="30809"/>
    <cellStyle name="Normal 13 2 5 2 7" xfId="18786"/>
    <cellStyle name="Normal 13 2 5 2 7 2" xfId="32811"/>
    <cellStyle name="Normal 13 2 5 2 8" xfId="24800"/>
    <cellStyle name="Normal 13 2 5 3" xfId="2166"/>
    <cellStyle name="Normal 13 2 5 3 2" xfId="2167"/>
    <cellStyle name="Normal 13 2 5 3 2 2" xfId="12768"/>
    <cellStyle name="Normal 13 2 5 3 2 2 2" xfId="20793"/>
    <cellStyle name="Normal 13 2 5 3 2 2 2 2" xfId="34818"/>
    <cellStyle name="Normal 13 2 5 3 2 2 3" xfId="26807"/>
    <cellStyle name="Normal 13 2 5 3 2 3" xfId="14783"/>
    <cellStyle name="Normal 13 2 5 3 2 3 2" xfId="22798"/>
    <cellStyle name="Normal 13 2 5 3 2 3 2 2" xfId="36823"/>
    <cellStyle name="Normal 13 2 5 3 2 3 3" xfId="28812"/>
    <cellStyle name="Normal 13 2 5 3 2 4" xfId="16789"/>
    <cellStyle name="Normal 13 2 5 3 2 4 2" xfId="30814"/>
    <cellStyle name="Normal 13 2 5 3 2 5" xfId="18791"/>
    <cellStyle name="Normal 13 2 5 3 2 5 2" xfId="32816"/>
    <cellStyle name="Normal 13 2 5 3 2 6" xfId="24805"/>
    <cellStyle name="Normal 13 2 5 3 3" xfId="12767"/>
    <cellStyle name="Normal 13 2 5 3 3 2" xfId="20792"/>
    <cellStyle name="Normal 13 2 5 3 3 2 2" xfId="34817"/>
    <cellStyle name="Normal 13 2 5 3 3 3" xfId="26806"/>
    <cellStyle name="Normal 13 2 5 3 4" xfId="14782"/>
    <cellStyle name="Normal 13 2 5 3 4 2" xfId="22797"/>
    <cellStyle name="Normal 13 2 5 3 4 2 2" xfId="36822"/>
    <cellStyle name="Normal 13 2 5 3 4 3" xfId="28811"/>
    <cellStyle name="Normal 13 2 5 3 5" xfId="16788"/>
    <cellStyle name="Normal 13 2 5 3 5 2" xfId="30813"/>
    <cellStyle name="Normal 13 2 5 3 6" xfId="18790"/>
    <cellStyle name="Normal 13 2 5 3 6 2" xfId="32815"/>
    <cellStyle name="Normal 13 2 5 3 7" xfId="24804"/>
    <cellStyle name="Normal 13 2 5 4" xfId="2168"/>
    <cellStyle name="Normal 13 2 5 4 2" xfId="2169"/>
    <cellStyle name="Normal 13 2 5 4 2 2" xfId="12770"/>
    <cellStyle name="Normal 13 2 5 4 2 2 2" xfId="20795"/>
    <cellStyle name="Normal 13 2 5 4 2 2 2 2" xfId="34820"/>
    <cellStyle name="Normal 13 2 5 4 2 2 3" xfId="26809"/>
    <cellStyle name="Normal 13 2 5 4 2 3" xfId="14785"/>
    <cellStyle name="Normal 13 2 5 4 2 3 2" xfId="22800"/>
    <cellStyle name="Normal 13 2 5 4 2 3 2 2" xfId="36825"/>
    <cellStyle name="Normal 13 2 5 4 2 3 3" xfId="28814"/>
    <cellStyle name="Normal 13 2 5 4 2 4" xfId="16791"/>
    <cellStyle name="Normal 13 2 5 4 2 4 2" xfId="30816"/>
    <cellStyle name="Normal 13 2 5 4 2 5" xfId="18793"/>
    <cellStyle name="Normal 13 2 5 4 2 5 2" xfId="32818"/>
    <cellStyle name="Normal 13 2 5 4 2 6" xfId="24807"/>
    <cellStyle name="Normal 13 2 5 4 3" xfId="12769"/>
    <cellStyle name="Normal 13 2 5 4 3 2" xfId="20794"/>
    <cellStyle name="Normal 13 2 5 4 3 2 2" xfId="34819"/>
    <cellStyle name="Normal 13 2 5 4 3 3" xfId="26808"/>
    <cellStyle name="Normal 13 2 5 4 4" xfId="14784"/>
    <cellStyle name="Normal 13 2 5 4 4 2" xfId="22799"/>
    <cellStyle name="Normal 13 2 5 4 4 2 2" xfId="36824"/>
    <cellStyle name="Normal 13 2 5 4 4 3" xfId="28813"/>
    <cellStyle name="Normal 13 2 5 4 5" xfId="16790"/>
    <cellStyle name="Normal 13 2 5 4 5 2" xfId="30815"/>
    <cellStyle name="Normal 13 2 5 4 6" xfId="18792"/>
    <cellStyle name="Normal 13 2 5 4 6 2" xfId="32817"/>
    <cellStyle name="Normal 13 2 5 4 7" xfId="24806"/>
    <cellStyle name="Normal 13 2 5 5" xfId="2170"/>
    <cellStyle name="Normal 13 2 5 5 2" xfId="12771"/>
    <cellStyle name="Normal 13 2 5 5 2 2" xfId="20796"/>
    <cellStyle name="Normal 13 2 5 5 2 2 2" xfId="34821"/>
    <cellStyle name="Normal 13 2 5 5 2 3" xfId="26810"/>
    <cellStyle name="Normal 13 2 5 5 3" xfId="14786"/>
    <cellStyle name="Normal 13 2 5 5 3 2" xfId="22801"/>
    <cellStyle name="Normal 13 2 5 5 3 2 2" xfId="36826"/>
    <cellStyle name="Normal 13 2 5 5 3 3" xfId="28815"/>
    <cellStyle name="Normal 13 2 5 5 4" xfId="16792"/>
    <cellStyle name="Normal 13 2 5 5 4 2" xfId="30817"/>
    <cellStyle name="Normal 13 2 5 5 5" xfId="18794"/>
    <cellStyle name="Normal 13 2 5 5 5 2" xfId="32819"/>
    <cellStyle name="Normal 13 2 5 5 6" xfId="24808"/>
    <cellStyle name="Normal 13 2 5 6" xfId="12762"/>
    <cellStyle name="Normal 13 2 5 6 2" xfId="20787"/>
    <cellStyle name="Normal 13 2 5 6 2 2" xfId="34812"/>
    <cellStyle name="Normal 13 2 5 6 3" xfId="26801"/>
    <cellStyle name="Normal 13 2 5 7" xfId="14777"/>
    <cellStyle name="Normal 13 2 5 7 2" xfId="22792"/>
    <cellStyle name="Normal 13 2 5 7 2 2" xfId="36817"/>
    <cellStyle name="Normal 13 2 5 7 3" xfId="28806"/>
    <cellStyle name="Normal 13 2 5 8" xfId="16783"/>
    <cellStyle name="Normal 13 2 5 8 2" xfId="30808"/>
    <cellStyle name="Normal 13 2 5 9" xfId="18785"/>
    <cellStyle name="Normal 13 2 5 9 2" xfId="32810"/>
    <cellStyle name="Normal 13 2 6" xfId="2171"/>
    <cellStyle name="Normal 13 2 6 2" xfId="2172"/>
    <cellStyle name="Normal 13 2 6 2 2" xfId="2173"/>
    <cellStyle name="Normal 13 2 6 2 2 2" xfId="12774"/>
    <cellStyle name="Normal 13 2 6 2 2 2 2" xfId="20799"/>
    <cellStyle name="Normal 13 2 6 2 2 2 2 2" xfId="34824"/>
    <cellStyle name="Normal 13 2 6 2 2 2 3" xfId="26813"/>
    <cellStyle name="Normal 13 2 6 2 2 3" xfId="14789"/>
    <cellStyle name="Normal 13 2 6 2 2 3 2" xfId="22804"/>
    <cellStyle name="Normal 13 2 6 2 2 3 2 2" xfId="36829"/>
    <cellStyle name="Normal 13 2 6 2 2 3 3" xfId="28818"/>
    <cellStyle name="Normal 13 2 6 2 2 4" xfId="16795"/>
    <cellStyle name="Normal 13 2 6 2 2 4 2" xfId="30820"/>
    <cellStyle name="Normal 13 2 6 2 2 5" xfId="18797"/>
    <cellStyle name="Normal 13 2 6 2 2 5 2" xfId="32822"/>
    <cellStyle name="Normal 13 2 6 2 2 6" xfId="24811"/>
    <cellStyle name="Normal 13 2 6 2 3" xfId="12773"/>
    <cellStyle name="Normal 13 2 6 2 3 2" xfId="20798"/>
    <cellStyle name="Normal 13 2 6 2 3 2 2" xfId="34823"/>
    <cellStyle name="Normal 13 2 6 2 3 3" xfId="26812"/>
    <cellStyle name="Normal 13 2 6 2 4" xfId="14788"/>
    <cellStyle name="Normal 13 2 6 2 4 2" xfId="22803"/>
    <cellStyle name="Normal 13 2 6 2 4 2 2" xfId="36828"/>
    <cellStyle name="Normal 13 2 6 2 4 3" xfId="28817"/>
    <cellStyle name="Normal 13 2 6 2 5" xfId="16794"/>
    <cellStyle name="Normal 13 2 6 2 5 2" xfId="30819"/>
    <cellStyle name="Normal 13 2 6 2 6" xfId="18796"/>
    <cellStyle name="Normal 13 2 6 2 6 2" xfId="32821"/>
    <cellStyle name="Normal 13 2 6 2 7" xfId="24810"/>
    <cellStyle name="Normal 13 2 6 3" xfId="2174"/>
    <cellStyle name="Normal 13 2 6 3 2" xfId="12775"/>
    <cellStyle name="Normal 13 2 6 3 2 2" xfId="20800"/>
    <cellStyle name="Normal 13 2 6 3 2 2 2" xfId="34825"/>
    <cellStyle name="Normal 13 2 6 3 2 3" xfId="26814"/>
    <cellStyle name="Normal 13 2 6 3 3" xfId="14790"/>
    <cellStyle name="Normal 13 2 6 3 3 2" xfId="22805"/>
    <cellStyle name="Normal 13 2 6 3 3 2 2" xfId="36830"/>
    <cellStyle name="Normal 13 2 6 3 3 3" xfId="28819"/>
    <cellStyle name="Normal 13 2 6 3 4" xfId="16796"/>
    <cellStyle name="Normal 13 2 6 3 4 2" xfId="30821"/>
    <cellStyle name="Normal 13 2 6 3 5" xfId="18798"/>
    <cellStyle name="Normal 13 2 6 3 5 2" xfId="32823"/>
    <cellStyle name="Normal 13 2 6 3 6" xfId="24812"/>
    <cellStyle name="Normal 13 2 6 4" xfId="12772"/>
    <cellStyle name="Normal 13 2 6 4 2" xfId="20797"/>
    <cellStyle name="Normal 13 2 6 4 2 2" xfId="34822"/>
    <cellStyle name="Normal 13 2 6 4 3" xfId="26811"/>
    <cellStyle name="Normal 13 2 6 5" xfId="14787"/>
    <cellStyle name="Normal 13 2 6 5 2" xfId="22802"/>
    <cellStyle name="Normal 13 2 6 5 2 2" xfId="36827"/>
    <cellStyle name="Normal 13 2 6 5 3" xfId="28816"/>
    <cellStyle name="Normal 13 2 6 6" xfId="16793"/>
    <cellStyle name="Normal 13 2 6 6 2" xfId="30818"/>
    <cellStyle name="Normal 13 2 6 7" xfId="18795"/>
    <cellStyle name="Normal 13 2 6 7 2" xfId="32820"/>
    <cellStyle name="Normal 13 2 6 8" xfId="24809"/>
    <cellStyle name="Normal 13 2 7" xfId="2175"/>
    <cellStyle name="Normal 13 2 7 2" xfId="2176"/>
    <cellStyle name="Normal 13 2 7 2 2" xfId="12777"/>
    <cellStyle name="Normal 13 2 7 2 2 2" xfId="20802"/>
    <cellStyle name="Normal 13 2 7 2 2 2 2" xfId="34827"/>
    <cellStyle name="Normal 13 2 7 2 2 3" xfId="26816"/>
    <cellStyle name="Normal 13 2 7 2 3" xfId="14792"/>
    <cellStyle name="Normal 13 2 7 2 3 2" xfId="22807"/>
    <cellStyle name="Normal 13 2 7 2 3 2 2" xfId="36832"/>
    <cellStyle name="Normal 13 2 7 2 3 3" xfId="28821"/>
    <cellStyle name="Normal 13 2 7 2 4" xfId="16798"/>
    <cellStyle name="Normal 13 2 7 2 4 2" xfId="30823"/>
    <cellStyle name="Normal 13 2 7 2 5" xfId="18800"/>
    <cellStyle name="Normal 13 2 7 2 5 2" xfId="32825"/>
    <cellStyle name="Normal 13 2 7 2 6" xfId="24814"/>
    <cellStyle name="Normal 13 2 7 3" xfId="12776"/>
    <cellStyle name="Normal 13 2 7 3 2" xfId="20801"/>
    <cellStyle name="Normal 13 2 7 3 2 2" xfId="34826"/>
    <cellStyle name="Normal 13 2 7 3 3" xfId="26815"/>
    <cellStyle name="Normal 13 2 7 4" xfId="14791"/>
    <cellStyle name="Normal 13 2 7 4 2" xfId="22806"/>
    <cellStyle name="Normal 13 2 7 4 2 2" xfId="36831"/>
    <cellStyle name="Normal 13 2 7 4 3" xfId="28820"/>
    <cellStyle name="Normal 13 2 7 5" xfId="16797"/>
    <cellStyle name="Normal 13 2 7 5 2" xfId="30822"/>
    <cellStyle name="Normal 13 2 7 6" xfId="18799"/>
    <cellStyle name="Normal 13 2 7 6 2" xfId="32824"/>
    <cellStyle name="Normal 13 2 7 7" xfId="24813"/>
    <cellStyle name="Normal 13 2 8" xfId="2177"/>
    <cellStyle name="Normal 13 2 8 2" xfId="2178"/>
    <cellStyle name="Normal 13 2 8 2 2" xfId="12779"/>
    <cellStyle name="Normal 13 2 8 2 2 2" xfId="20804"/>
    <cellStyle name="Normal 13 2 8 2 2 2 2" xfId="34829"/>
    <cellStyle name="Normal 13 2 8 2 2 3" xfId="26818"/>
    <cellStyle name="Normal 13 2 8 2 3" xfId="14794"/>
    <cellStyle name="Normal 13 2 8 2 3 2" xfId="22809"/>
    <cellStyle name="Normal 13 2 8 2 3 2 2" xfId="36834"/>
    <cellStyle name="Normal 13 2 8 2 3 3" xfId="28823"/>
    <cellStyle name="Normal 13 2 8 2 4" xfId="16800"/>
    <cellStyle name="Normal 13 2 8 2 4 2" xfId="30825"/>
    <cellStyle name="Normal 13 2 8 2 5" xfId="18802"/>
    <cellStyle name="Normal 13 2 8 2 5 2" xfId="32827"/>
    <cellStyle name="Normal 13 2 8 2 6" xfId="24816"/>
    <cellStyle name="Normal 13 2 8 3" xfId="12778"/>
    <cellStyle name="Normal 13 2 8 3 2" xfId="20803"/>
    <cellStyle name="Normal 13 2 8 3 2 2" xfId="34828"/>
    <cellStyle name="Normal 13 2 8 3 3" xfId="26817"/>
    <cellStyle name="Normal 13 2 8 4" xfId="14793"/>
    <cellStyle name="Normal 13 2 8 4 2" xfId="22808"/>
    <cellStyle name="Normal 13 2 8 4 2 2" xfId="36833"/>
    <cellStyle name="Normal 13 2 8 4 3" xfId="28822"/>
    <cellStyle name="Normal 13 2 8 5" xfId="16799"/>
    <cellStyle name="Normal 13 2 8 5 2" xfId="30824"/>
    <cellStyle name="Normal 13 2 8 6" xfId="18801"/>
    <cellStyle name="Normal 13 2 8 6 2" xfId="32826"/>
    <cellStyle name="Normal 13 2 8 7" xfId="24815"/>
    <cellStyle name="Normal 13 2 9" xfId="2179"/>
    <cellStyle name="Normal 13 2 9 2" xfId="12780"/>
    <cellStyle name="Normal 13 2 9 2 2" xfId="20805"/>
    <cellStyle name="Normal 13 2 9 2 2 2" xfId="34830"/>
    <cellStyle name="Normal 13 2 9 2 3" xfId="26819"/>
    <cellStyle name="Normal 13 2 9 3" xfId="14795"/>
    <cellStyle name="Normal 13 2 9 3 2" xfId="22810"/>
    <cellStyle name="Normal 13 2 9 3 2 2" xfId="36835"/>
    <cellStyle name="Normal 13 2 9 3 3" xfId="28824"/>
    <cellStyle name="Normal 13 2 9 4" xfId="16801"/>
    <cellStyle name="Normal 13 2 9 4 2" xfId="30826"/>
    <cellStyle name="Normal 13 2 9 5" xfId="18803"/>
    <cellStyle name="Normal 13 2 9 5 2" xfId="32828"/>
    <cellStyle name="Normal 13 2 9 6" xfId="24817"/>
    <cellStyle name="Normal 13 2_3 - Revenue Credits" xfId="491"/>
    <cellStyle name="Normal 13 3" xfId="492"/>
    <cellStyle name="Normal 13 3 2" xfId="2180"/>
    <cellStyle name="Normal 13 3 2 10" xfId="18804"/>
    <cellStyle name="Normal 13 3 2 10 2" xfId="32829"/>
    <cellStyle name="Normal 13 3 2 11" xfId="24818"/>
    <cellStyle name="Normal 13 3 2 2" xfId="2181"/>
    <cellStyle name="Normal 13 3 2 2 10" xfId="24819"/>
    <cellStyle name="Normal 13 3 2 2 2" xfId="2182"/>
    <cellStyle name="Normal 13 3 2 2 2 2" xfId="2183"/>
    <cellStyle name="Normal 13 3 2 2 2 2 2" xfId="2184"/>
    <cellStyle name="Normal 13 3 2 2 2 2 2 2" xfId="12785"/>
    <cellStyle name="Normal 13 3 2 2 2 2 2 2 2" xfId="20810"/>
    <cellStyle name="Normal 13 3 2 2 2 2 2 2 2 2" xfId="34835"/>
    <cellStyle name="Normal 13 3 2 2 2 2 2 2 3" xfId="26824"/>
    <cellStyle name="Normal 13 3 2 2 2 2 2 3" xfId="14800"/>
    <cellStyle name="Normal 13 3 2 2 2 2 2 3 2" xfId="22815"/>
    <cellStyle name="Normal 13 3 2 2 2 2 2 3 2 2" xfId="36840"/>
    <cellStyle name="Normal 13 3 2 2 2 2 2 3 3" xfId="28829"/>
    <cellStyle name="Normal 13 3 2 2 2 2 2 4" xfId="16806"/>
    <cellStyle name="Normal 13 3 2 2 2 2 2 4 2" xfId="30831"/>
    <cellStyle name="Normal 13 3 2 2 2 2 2 5" xfId="18808"/>
    <cellStyle name="Normal 13 3 2 2 2 2 2 5 2" xfId="32833"/>
    <cellStyle name="Normal 13 3 2 2 2 2 2 6" xfId="24822"/>
    <cellStyle name="Normal 13 3 2 2 2 2 3" xfId="12784"/>
    <cellStyle name="Normal 13 3 2 2 2 2 3 2" xfId="20809"/>
    <cellStyle name="Normal 13 3 2 2 2 2 3 2 2" xfId="34834"/>
    <cellStyle name="Normal 13 3 2 2 2 2 3 3" xfId="26823"/>
    <cellStyle name="Normal 13 3 2 2 2 2 4" xfId="14799"/>
    <cellStyle name="Normal 13 3 2 2 2 2 4 2" xfId="22814"/>
    <cellStyle name="Normal 13 3 2 2 2 2 4 2 2" xfId="36839"/>
    <cellStyle name="Normal 13 3 2 2 2 2 4 3" xfId="28828"/>
    <cellStyle name="Normal 13 3 2 2 2 2 5" xfId="16805"/>
    <cellStyle name="Normal 13 3 2 2 2 2 5 2" xfId="30830"/>
    <cellStyle name="Normal 13 3 2 2 2 2 6" xfId="18807"/>
    <cellStyle name="Normal 13 3 2 2 2 2 6 2" xfId="32832"/>
    <cellStyle name="Normal 13 3 2 2 2 2 7" xfId="24821"/>
    <cellStyle name="Normal 13 3 2 2 2 3" xfId="2185"/>
    <cellStyle name="Normal 13 3 2 2 2 3 2" xfId="12786"/>
    <cellStyle name="Normal 13 3 2 2 2 3 2 2" xfId="20811"/>
    <cellStyle name="Normal 13 3 2 2 2 3 2 2 2" xfId="34836"/>
    <cellStyle name="Normal 13 3 2 2 2 3 2 3" xfId="26825"/>
    <cellStyle name="Normal 13 3 2 2 2 3 3" xfId="14801"/>
    <cellStyle name="Normal 13 3 2 2 2 3 3 2" xfId="22816"/>
    <cellStyle name="Normal 13 3 2 2 2 3 3 2 2" xfId="36841"/>
    <cellStyle name="Normal 13 3 2 2 2 3 3 3" xfId="28830"/>
    <cellStyle name="Normal 13 3 2 2 2 3 4" xfId="16807"/>
    <cellStyle name="Normal 13 3 2 2 2 3 4 2" xfId="30832"/>
    <cellStyle name="Normal 13 3 2 2 2 3 5" xfId="18809"/>
    <cellStyle name="Normal 13 3 2 2 2 3 5 2" xfId="32834"/>
    <cellStyle name="Normal 13 3 2 2 2 3 6" xfId="24823"/>
    <cellStyle name="Normal 13 3 2 2 2 4" xfId="12783"/>
    <cellStyle name="Normal 13 3 2 2 2 4 2" xfId="20808"/>
    <cellStyle name="Normal 13 3 2 2 2 4 2 2" xfId="34833"/>
    <cellStyle name="Normal 13 3 2 2 2 4 3" xfId="26822"/>
    <cellStyle name="Normal 13 3 2 2 2 5" xfId="14798"/>
    <cellStyle name="Normal 13 3 2 2 2 5 2" xfId="22813"/>
    <cellStyle name="Normal 13 3 2 2 2 5 2 2" xfId="36838"/>
    <cellStyle name="Normal 13 3 2 2 2 5 3" xfId="28827"/>
    <cellStyle name="Normal 13 3 2 2 2 6" xfId="16804"/>
    <cellStyle name="Normal 13 3 2 2 2 6 2" xfId="30829"/>
    <cellStyle name="Normal 13 3 2 2 2 7" xfId="18806"/>
    <cellStyle name="Normal 13 3 2 2 2 7 2" xfId="32831"/>
    <cellStyle name="Normal 13 3 2 2 2 8" xfId="24820"/>
    <cellStyle name="Normal 13 3 2 2 3" xfId="2186"/>
    <cellStyle name="Normal 13 3 2 2 3 2" xfId="2187"/>
    <cellStyle name="Normal 13 3 2 2 3 2 2" xfId="12788"/>
    <cellStyle name="Normal 13 3 2 2 3 2 2 2" xfId="20813"/>
    <cellStyle name="Normal 13 3 2 2 3 2 2 2 2" xfId="34838"/>
    <cellStyle name="Normal 13 3 2 2 3 2 2 3" xfId="26827"/>
    <cellStyle name="Normal 13 3 2 2 3 2 3" xfId="14803"/>
    <cellStyle name="Normal 13 3 2 2 3 2 3 2" xfId="22818"/>
    <cellStyle name="Normal 13 3 2 2 3 2 3 2 2" xfId="36843"/>
    <cellStyle name="Normal 13 3 2 2 3 2 3 3" xfId="28832"/>
    <cellStyle name="Normal 13 3 2 2 3 2 4" xfId="16809"/>
    <cellStyle name="Normal 13 3 2 2 3 2 4 2" xfId="30834"/>
    <cellStyle name="Normal 13 3 2 2 3 2 5" xfId="18811"/>
    <cellStyle name="Normal 13 3 2 2 3 2 5 2" xfId="32836"/>
    <cellStyle name="Normal 13 3 2 2 3 2 6" xfId="24825"/>
    <cellStyle name="Normal 13 3 2 2 3 3" xfId="12787"/>
    <cellStyle name="Normal 13 3 2 2 3 3 2" xfId="20812"/>
    <cellStyle name="Normal 13 3 2 2 3 3 2 2" xfId="34837"/>
    <cellStyle name="Normal 13 3 2 2 3 3 3" xfId="26826"/>
    <cellStyle name="Normal 13 3 2 2 3 4" xfId="14802"/>
    <cellStyle name="Normal 13 3 2 2 3 4 2" xfId="22817"/>
    <cellStyle name="Normal 13 3 2 2 3 4 2 2" xfId="36842"/>
    <cellStyle name="Normal 13 3 2 2 3 4 3" xfId="28831"/>
    <cellStyle name="Normal 13 3 2 2 3 5" xfId="16808"/>
    <cellStyle name="Normal 13 3 2 2 3 5 2" xfId="30833"/>
    <cellStyle name="Normal 13 3 2 2 3 6" xfId="18810"/>
    <cellStyle name="Normal 13 3 2 2 3 6 2" xfId="32835"/>
    <cellStyle name="Normal 13 3 2 2 3 7" xfId="24824"/>
    <cellStyle name="Normal 13 3 2 2 4" xfId="2188"/>
    <cellStyle name="Normal 13 3 2 2 4 2" xfId="2189"/>
    <cellStyle name="Normal 13 3 2 2 4 2 2" xfId="12790"/>
    <cellStyle name="Normal 13 3 2 2 4 2 2 2" xfId="20815"/>
    <cellStyle name="Normal 13 3 2 2 4 2 2 2 2" xfId="34840"/>
    <cellStyle name="Normal 13 3 2 2 4 2 2 3" xfId="26829"/>
    <cellStyle name="Normal 13 3 2 2 4 2 3" xfId="14805"/>
    <cellStyle name="Normal 13 3 2 2 4 2 3 2" xfId="22820"/>
    <cellStyle name="Normal 13 3 2 2 4 2 3 2 2" xfId="36845"/>
    <cellStyle name="Normal 13 3 2 2 4 2 3 3" xfId="28834"/>
    <cellStyle name="Normal 13 3 2 2 4 2 4" xfId="16811"/>
    <cellStyle name="Normal 13 3 2 2 4 2 4 2" xfId="30836"/>
    <cellStyle name="Normal 13 3 2 2 4 2 5" xfId="18813"/>
    <cellStyle name="Normal 13 3 2 2 4 2 5 2" xfId="32838"/>
    <cellStyle name="Normal 13 3 2 2 4 2 6" xfId="24827"/>
    <cellStyle name="Normal 13 3 2 2 4 3" xfId="12789"/>
    <cellStyle name="Normal 13 3 2 2 4 3 2" xfId="20814"/>
    <cellStyle name="Normal 13 3 2 2 4 3 2 2" xfId="34839"/>
    <cellStyle name="Normal 13 3 2 2 4 3 3" xfId="26828"/>
    <cellStyle name="Normal 13 3 2 2 4 4" xfId="14804"/>
    <cellStyle name="Normal 13 3 2 2 4 4 2" xfId="22819"/>
    <cellStyle name="Normal 13 3 2 2 4 4 2 2" xfId="36844"/>
    <cellStyle name="Normal 13 3 2 2 4 4 3" xfId="28833"/>
    <cellStyle name="Normal 13 3 2 2 4 5" xfId="16810"/>
    <cellStyle name="Normal 13 3 2 2 4 5 2" xfId="30835"/>
    <cellStyle name="Normal 13 3 2 2 4 6" xfId="18812"/>
    <cellStyle name="Normal 13 3 2 2 4 6 2" xfId="32837"/>
    <cellStyle name="Normal 13 3 2 2 4 7" xfId="24826"/>
    <cellStyle name="Normal 13 3 2 2 5" xfId="2190"/>
    <cellStyle name="Normal 13 3 2 2 5 2" xfId="12791"/>
    <cellStyle name="Normal 13 3 2 2 5 2 2" xfId="20816"/>
    <cellStyle name="Normal 13 3 2 2 5 2 2 2" xfId="34841"/>
    <cellStyle name="Normal 13 3 2 2 5 2 3" xfId="26830"/>
    <cellStyle name="Normal 13 3 2 2 5 3" xfId="14806"/>
    <cellStyle name="Normal 13 3 2 2 5 3 2" xfId="22821"/>
    <cellStyle name="Normal 13 3 2 2 5 3 2 2" xfId="36846"/>
    <cellStyle name="Normal 13 3 2 2 5 3 3" xfId="28835"/>
    <cellStyle name="Normal 13 3 2 2 5 4" xfId="16812"/>
    <cellStyle name="Normal 13 3 2 2 5 4 2" xfId="30837"/>
    <cellStyle name="Normal 13 3 2 2 5 5" xfId="18814"/>
    <cellStyle name="Normal 13 3 2 2 5 5 2" xfId="32839"/>
    <cellStyle name="Normal 13 3 2 2 5 6" xfId="24828"/>
    <cellStyle name="Normal 13 3 2 2 6" xfId="12782"/>
    <cellStyle name="Normal 13 3 2 2 6 2" xfId="20807"/>
    <cellStyle name="Normal 13 3 2 2 6 2 2" xfId="34832"/>
    <cellStyle name="Normal 13 3 2 2 6 3" xfId="26821"/>
    <cellStyle name="Normal 13 3 2 2 7" xfId="14797"/>
    <cellStyle name="Normal 13 3 2 2 7 2" xfId="22812"/>
    <cellStyle name="Normal 13 3 2 2 7 2 2" xfId="36837"/>
    <cellStyle name="Normal 13 3 2 2 7 3" xfId="28826"/>
    <cellStyle name="Normal 13 3 2 2 8" xfId="16803"/>
    <cellStyle name="Normal 13 3 2 2 8 2" xfId="30828"/>
    <cellStyle name="Normal 13 3 2 2 9" xfId="18805"/>
    <cellStyle name="Normal 13 3 2 2 9 2" xfId="32830"/>
    <cellStyle name="Normal 13 3 2 3" xfId="2191"/>
    <cellStyle name="Normal 13 3 2 3 2" xfId="2192"/>
    <cellStyle name="Normal 13 3 2 3 2 2" xfId="2193"/>
    <cellStyle name="Normal 13 3 2 3 2 2 2" xfId="12794"/>
    <cellStyle name="Normal 13 3 2 3 2 2 2 2" xfId="20819"/>
    <cellStyle name="Normal 13 3 2 3 2 2 2 2 2" xfId="34844"/>
    <cellStyle name="Normal 13 3 2 3 2 2 2 3" xfId="26833"/>
    <cellStyle name="Normal 13 3 2 3 2 2 3" xfId="14809"/>
    <cellStyle name="Normal 13 3 2 3 2 2 3 2" xfId="22824"/>
    <cellStyle name="Normal 13 3 2 3 2 2 3 2 2" xfId="36849"/>
    <cellStyle name="Normal 13 3 2 3 2 2 3 3" xfId="28838"/>
    <cellStyle name="Normal 13 3 2 3 2 2 4" xfId="16815"/>
    <cellStyle name="Normal 13 3 2 3 2 2 4 2" xfId="30840"/>
    <cellStyle name="Normal 13 3 2 3 2 2 5" xfId="18817"/>
    <cellStyle name="Normal 13 3 2 3 2 2 5 2" xfId="32842"/>
    <cellStyle name="Normal 13 3 2 3 2 2 6" xfId="24831"/>
    <cellStyle name="Normal 13 3 2 3 2 3" xfId="12793"/>
    <cellStyle name="Normal 13 3 2 3 2 3 2" xfId="20818"/>
    <cellStyle name="Normal 13 3 2 3 2 3 2 2" xfId="34843"/>
    <cellStyle name="Normal 13 3 2 3 2 3 3" xfId="26832"/>
    <cellStyle name="Normal 13 3 2 3 2 4" xfId="14808"/>
    <cellStyle name="Normal 13 3 2 3 2 4 2" xfId="22823"/>
    <cellStyle name="Normal 13 3 2 3 2 4 2 2" xfId="36848"/>
    <cellStyle name="Normal 13 3 2 3 2 4 3" xfId="28837"/>
    <cellStyle name="Normal 13 3 2 3 2 5" xfId="16814"/>
    <cellStyle name="Normal 13 3 2 3 2 5 2" xfId="30839"/>
    <cellStyle name="Normal 13 3 2 3 2 6" xfId="18816"/>
    <cellStyle name="Normal 13 3 2 3 2 6 2" xfId="32841"/>
    <cellStyle name="Normal 13 3 2 3 2 7" xfId="24830"/>
    <cellStyle name="Normal 13 3 2 3 3" xfId="2194"/>
    <cellStyle name="Normal 13 3 2 3 3 2" xfId="12795"/>
    <cellStyle name="Normal 13 3 2 3 3 2 2" xfId="20820"/>
    <cellStyle name="Normal 13 3 2 3 3 2 2 2" xfId="34845"/>
    <cellStyle name="Normal 13 3 2 3 3 2 3" xfId="26834"/>
    <cellStyle name="Normal 13 3 2 3 3 3" xfId="14810"/>
    <cellStyle name="Normal 13 3 2 3 3 3 2" xfId="22825"/>
    <cellStyle name="Normal 13 3 2 3 3 3 2 2" xfId="36850"/>
    <cellStyle name="Normal 13 3 2 3 3 3 3" xfId="28839"/>
    <cellStyle name="Normal 13 3 2 3 3 4" xfId="16816"/>
    <cellStyle name="Normal 13 3 2 3 3 4 2" xfId="30841"/>
    <cellStyle name="Normal 13 3 2 3 3 5" xfId="18818"/>
    <cellStyle name="Normal 13 3 2 3 3 5 2" xfId="32843"/>
    <cellStyle name="Normal 13 3 2 3 3 6" xfId="24832"/>
    <cellStyle name="Normal 13 3 2 3 4" xfId="12792"/>
    <cellStyle name="Normal 13 3 2 3 4 2" xfId="20817"/>
    <cellStyle name="Normal 13 3 2 3 4 2 2" xfId="34842"/>
    <cellStyle name="Normal 13 3 2 3 4 3" xfId="26831"/>
    <cellStyle name="Normal 13 3 2 3 5" xfId="14807"/>
    <cellStyle name="Normal 13 3 2 3 5 2" xfId="22822"/>
    <cellStyle name="Normal 13 3 2 3 5 2 2" xfId="36847"/>
    <cellStyle name="Normal 13 3 2 3 5 3" xfId="28836"/>
    <cellStyle name="Normal 13 3 2 3 6" xfId="16813"/>
    <cellStyle name="Normal 13 3 2 3 6 2" xfId="30838"/>
    <cellStyle name="Normal 13 3 2 3 7" xfId="18815"/>
    <cellStyle name="Normal 13 3 2 3 7 2" xfId="32840"/>
    <cellStyle name="Normal 13 3 2 3 8" xfId="24829"/>
    <cellStyle name="Normal 13 3 2 4" xfId="2195"/>
    <cellStyle name="Normal 13 3 2 4 2" xfId="2196"/>
    <cellStyle name="Normal 13 3 2 4 2 2" xfId="12797"/>
    <cellStyle name="Normal 13 3 2 4 2 2 2" xfId="20822"/>
    <cellStyle name="Normal 13 3 2 4 2 2 2 2" xfId="34847"/>
    <cellStyle name="Normal 13 3 2 4 2 2 3" xfId="26836"/>
    <cellStyle name="Normal 13 3 2 4 2 3" xfId="14812"/>
    <cellStyle name="Normal 13 3 2 4 2 3 2" xfId="22827"/>
    <cellStyle name="Normal 13 3 2 4 2 3 2 2" xfId="36852"/>
    <cellStyle name="Normal 13 3 2 4 2 3 3" xfId="28841"/>
    <cellStyle name="Normal 13 3 2 4 2 4" xfId="16818"/>
    <cellStyle name="Normal 13 3 2 4 2 4 2" xfId="30843"/>
    <cellStyle name="Normal 13 3 2 4 2 5" xfId="18820"/>
    <cellStyle name="Normal 13 3 2 4 2 5 2" xfId="32845"/>
    <cellStyle name="Normal 13 3 2 4 2 6" xfId="24834"/>
    <cellStyle name="Normal 13 3 2 4 3" xfId="12796"/>
    <cellStyle name="Normal 13 3 2 4 3 2" xfId="20821"/>
    <cellStyle name="Normal 13 3 2 4 3 2 2" xfId="34846"/>
    <cellStyle name="Normal 13 3 2 4 3 3" xfId="26835"/>
    <cellStyle name="Normal 13 3 2 4 4" xfId="14811"/>
    <cellStyle name="Normal 13 3 2 4 4 2" xfId="22826"/>
    <cellStyle name="Normal 13 3 2 4 4 2 2" xfId="36851"/>
    <cellStyle name="Normal 13 3 2 4 4 3" xfId="28840"/>
    <cellStyle name="Normal 13 3 2 4 5" xfId="16817"/>
    <cellStyle name="Normal 13 3 2 4 5 2" xfId="30842"/>
    <cellStyle name="Normal 13 3 2 4 6" xfId="18819"/>
    <cellStyle name="Normal 13 3 2 4 6 2" xfId="32844"/>
    <cellStyle name="Normal 13 3 2 4 7" xfId="24833"/>
    <cellStyle name="Normal 13 3 2 5" xfId="2197"/>
    <cellStyle name="Normal 13 3 2 5 2" xfId="2198"/>
    <cellStyle name="Normal 13 3 2 5 2 2" xfId="12799"/>
    <cellStyle name="Normal 13 3 2 5 2 2 2" xfId="20824"/>
    <cellStyle name="Normal 13 3 2 5 2 2 2 2" xfId="34849"/>
    <cellStyle name="Normal 13 3 2 5 2 2 3" xfId="26838"/>
    <cellStyle name="Normal 13 3 2 5 2 3" xfId="14814"/>
    <cellStyle name="Normal 13 3 2 5 2 3 2" xfId="22829"/>
    <cellStyle name="Normal 13 3 2 5 2 3 2 2" xfId="36854"/>
    <cellStyle name="Normal 13 3 2 5 2 3 3" xfId="28843"/>
    <cellStyle name="Normal 13 3 2 5 2 4" xfId="16820"/>
    <cellStyle name="Normal 13 3 2 5 2 4 2" xfId="30845"/>
    <cellStyle name="Normal 13 3 2 5 2 5" xfId="18822"/>
    <cellStyle name="Normal 13 3 2 5 2 5 2" xfId="32847"/>
    <cellStyle name="Normal 13 3 2 5 2 6" xfId="24836"/>
    <cellStyle name="Normal 13 3 2 5 3" xfId="12798"/>
    <cellStyle name="Normal 13 3 2 5 3 2" xfId="20823"/>
    <cellStyle name="Normal 13 3 2 5 3 2 2" xfId="34848"/>
    <cellStyle name="Normal 13 3 2 5 3 3" xfId="26837"/>
    <cellStyle name="Normal 13 3 2 5 4" xfId="14813"/>
    <cellStyle name="Normal 13 3 2 5 4 2" xfId="22828"/>
    <cellStyle name="Normal 13 3 2 5 4 2 2" xfId="36853"/>
    <cellStyle name="Normal 13 3 2 5 4 3" xfId="28842"/>
    <cellStyle name="Normal 13 3 2 5 5" xfId="16819"/>
    <cellStyle name="Normal 13 3 2 5 5 2" xfId="30844"/>
    <cellStyle name="Normal 13 3 2 5 6" xfId="18821"/>
    <cellStyle name="Normal 13 3 2 5 6 2" xfId="32846"/>
    <cellStyle name="Normal 13 3 2 5 7" xfId="24835"/>
    <cellStyle name="Normal 13 3 2 6" xfId="2199"/>
    <cellStyle name="Normal 13 3 2 6 2" xfId="12800"/>
    <cellStyle name="Normal 13 3 2 6 2 2" xfId="20825"/>
    <cellStyle name="Normal 13 3 2 6 2 2 2" xfId="34850"/>
    <cellStyle name="Normal 13 3 2 6 2 3" xfId="26839"/>
    <cellStyle name="Normal 13 3 2 6 3" xfId="14815"/>
    <cellStyle name="Normal 13 3 2 6 3 2" xfId="22830"/>
    <cellStyle name="Normal 13 3 2 6 3 2 2" xfId="36855"/>
    <cellStyle name="Normal 13 3 2 6 3 3" xfId="28844"/>
    <cellStyle name="Normal 13 3 2 6 4" xfId="16821"/>
    <cellStyle name="Normal 13 3 2 6 4 2" xfId="30846"/>
    <cellStyle name="Normal 13 3 2 6 5" xfId="18823"/>
    <cellStyle name="Normal 13 3 2 6 5 2" xfId="32848"/>
    <cellStyle name="Normal 13 3 2 6 6" xfId="24837"/>
    <cellStyle name="Normal 13 3 2 7" xfId="12781"/>
    <cellStyle name="Normal 13 3 2 7 2" xfId="20806"/>
    <cellStyle name="Normal 13 3 2 7 2 2" xfId="34831"/>
    <cellStyle name="Normal 13 3 2 7 3" xfId="26820"/>
    <cellStyle name="Normal 13 3 2 8" xfId="14796"/>
    <cellStyle name="Normal 13 3 2 8 2" xfId="22811"/>
    <cellStyle name="Normal 13 3 2 8 2 2" xfId="36836"/>
    <cellStyle name="Normal 13 3 2 8 3" xfId="28825"/>
    <cellStyle name="Normal 13 3 2 9" xfId="16802"/>
    <cellStyle name="Normal 13 3 2 9 2" xfId="30827"/>
    <cellStyle name="Normal 13 3 3" xfId="2200"/>
    <cellStyle name="Normal 13 3 3 10" xfId="24838"/>
    <cellStyle name="Normal 13 3 3 2" xfId="2201"/>
    <cellStyle name="Normal 13 3 3 2 2" xfId="2202"/>
    <cellStyle name="Normal 13 3 3 2 2 2" xfId="2203"/>
    <cellStyle name="Normal 13 3 3 2 2 2 2" xfId="12804"/>
    <cellStyle name="Normal 13 3 3 2 2 2 2 2" xfId="20829"/>
    <cellStyle name="Normal 13 3 3 2 2 2 2 2 2" xfId="34854"/>
    <cellStyle name="Normal 13 3 3 2 2 2 2 3" xfId="26843"/>
    <cellStyle name="Normal 13 3 3 2 2 2 3" xfId="14819"/>
    <cellStyle name="Normal 13 3 3 2 2 2 3 2" xfId="22834"/>
    <cellStyle name="Normal 13 3 3 2 2 2 3 2 2" xfId="36859"/>
    <cellStyle name="Normal 13 3 3 2 2 2 3 3" xfId="28848"/>
    <cellStyle name="Normal 13 3 3 2 2 2 4" xfId="16825"/>
    <cellStyle name="Normal 13 3 3 2 2 2 4 2" xfId="30850"/>
    <cellStyle name="Normal 13 3 3 2 2 2 5" xfId="18827"/>
    <cellStyle name="Normal 13 3 3 2 2 2 5 2" xfId="32852"/>
    <cellStyle name="Normal 13 3 3 2 2 2 6" xfId="24841"/>
    <cellStyle name="Normal 13 3 3 2 2 3" xfId="12803"/>
    <cellStyle name="Normal 13 3 3 2 2 3 2" xfId="20828"/>
    <cellStyle name="Normal 13 3 3 2 2 3 2 2" xfId="34853"/>
    <cellStyle name="Normal 13 3 3 2 2 3 3" xfId="26842"/>
    <cellStyle name="Normal 13 3 3 2 2 4" xfId="14818"/>
    <cellStyle name="Normal 13 3 3 2 2 4 2" xfId="22833"/>
    <cellStyle name="Normal 13 3 3 2 2 4 2 2" xfId="36858"/>
    <cellStyle name="Normal 13 3 3 2 2 4 3" xfId="28847"/>
    <cellStyle name="Normal 13 3 3 2 2 5" xfId="16824"/>
    <cellStyle name="Normal 13 3 3 2 2 5 2" xfId="30849"/>
    <cellStyle name="Normal 13 3 3 2 2 6" xfId="18826"/>
    <cellStyle name="Normal 13 3 3 2 2 6 2" xfId="32851"/>
    <cellStyle name="Normal 13 3 3 2 2 7" xfId="24840"/>
    <cellStyle name="Normal 13 3 3 2 3" xfId="2204"/>
    <cellStyle name="Normal 13 3 3 2 3 2" xfId="12805"/>
    <cellStyle name="Normal 13 3 3 2 3 2 2" xfId="20830"/>
    <cellStyle name="Normal 13 3 3 2 3 2 2 2" xfId="34855"/>
    <cellStyle name="Normal 13 3 3 2 3 2 3" xfId="26844"/>
    <cellStyle name="Normal 13 3 3 2 3 3" xfId="14820"/>
    <cellStyle name="Normal 13 3 3 2 3 3 2" xfId="22835"/>
    <cellStyle name="Normal 13 3 3 2 3 3 2 2" xfId="36860"/>
    <cellStyle name="Normal 13 3 3 2 3 3 3" xfId="28849"/>
    <cellStyle name="Normal 13 3 3 2 3 4" xfId="16826"/>
    <cellStyle name="Normal 13 3 3 2 3 4 2" xfId="30851"/>
    <cellStyle name="Normal 13 3 3 2 3 5" xfId="18828"/>
    <cellStyle name="Normal 13 3 3 2 3 5 2" xfId="32853"/>
    <cellStyle name="Normal 13 3 3 2 3 6" xfId="24842"/>
    <cellStyle name="Normal 13 3 3 2 4" xfId="12802"/>
    <cellStyle name="Normal 13 3 3 2 4 2" xfId="20827"/>
    <cellStyle name="Normal 13 3 3 2 4 2 2" xfId="34852"/>
    <cellStyle name="Normal 13 3 3 2 4 3" xfId="26841"/>
    <cellStyle name="Normal 13 3 3 2 5" xfId="14817"/>
    <cellStyle name="Normal 13 3 3 2 5 2" xfId="22832"/>
    <cellStyle name="Normal 13 3 3 2 5 2 2" xfId="36857"/>
    <cellStyle name="Normal 13 3 3 2 5 3" xfId="28846"/>
    <cellStyle name="Normal 13 3 3 2 6" xfId="16823"/>
    <cellStyle name="Normal 13 3 3 2 6 2" xfId="30848"/>
    <cellStyle name="Normal 13 3 3 2 7" xfId="18825"/>
    <cellStyle name="Normal 13 3 3 2 7 2" xfId="32850"/>
    <cellStyle name="Normal 13 3 3 2 8" xfId="24839"/>
    <cellStyle name="Normal 13 3 3 3" xfId="2205"/>
    <cellStyle name="Normal 13 3 3 3 2" xfId="2206"/>
    <cellStyle name="Normal 13 3 3 3 2 2" xfId="12807"/>
    <cellStyle name="Normal 13 3 3 3 2 2 2" xfId="20832"/>
    <cellStyle name="Normal 13 3 3 3 2 2 2 2" xfId="34857"/>
    <cellStyle name="Normal 13 3 3 3 2 2 3" xfId="26846"/>
    <cellStyle name="Normal 13 3 3 3 2 3" xfId="14822"/>
    <cellStyle name="Normal 13 3 3 3 2 3 2" xfId="22837"/>
    <cellStyle name="Normal 13 3 3 3 2 3 2 2" xfId="36862"/>
    <cellStyle name="Normal 13 3 3 3 2 3 3" xfId="28851"/>
    <cellStyle name="Normal 13 3 3 3 2 4" xfId="16828"/>
    <cellStyle name="Normal 13 3 3 3 2 4 2" xfId="30853"/>
    <cellStyle name="Normal 13 3 3 3 2 5" xfId="18830"/>
    <cellStyle name="Normal 13 3 3 3 2 5 2" xfId="32855"/>
    <cellStyle name="Normal 13 3 3 3 2 6" xfId="24844"/>
    <cellStyle name="Normal 13 3 3 3 3" xfId="12806"/>
    <cellStyle name="Normal 13 3 3 3 3 2" xfId="20831"/>
    <cellStyle name="Normal 13 3 3 3 3 2 2" xfId="34856"/>
    <cellStyle name="Normal 13 3 3 3 3 3" xfId="26845"/>
    <cellStyle name="Normal 13 3 3 3 4" xfId="14821"/>
    <cellStyle name="Normal 13 3 3 3 4 2" xfId="22836"/>
    <cellStyle name="Normal 13 3 3 3 4 2 2" xfId="36861"/>
    <cellStyle name="Normal 13 3 3 3 4 3" xfId="28850"/>
    <cellStyle name="Normal 13 3 3 3 5" xfId="16827"/>
    <cellStyle name="Normal 13 3 3 3 5 2" xfId="30852"/>
    <cellStyle name="Normal 13 3 3 3 6" xfId="18829"/>
    <cellStyle name="Normal 13 3 3 3 6 2" xfId="32854"/>
    <cellStyle name="Normal 13 3 3 3 7" xfId="24843"/>
    <cellStyle name="Normal 13 3 3 4" xfId="2207"/>
    <cellStyle name="Normal 13 3 3 4 2" xfId="2208"/>
    <cellStyle name="Normal 13 3 3 4 2 2" xfId="12809"/>
    <cellStyle name="Normal 13 3 3 4 2 2 2" xfId="20834"/>
    <cellStyle name="Normal 13 3 3 4 2 2 2 2" xfId="34859"/>
    <cellStyle name="Normal 13 3 3 4 2 2 3" xfId="26848"/>
    <cellStyle name="Normal 13 3 3 4 2 3" xfId="14824"/>
    <cellStyle name="Normal 13 3 3 4 2 3 2" xfId="22839"/>
    <cellStyle name="Normal 13 3 3 4 2 3 2 2" xfId="36864"/>
    <cellStyle name="Normal 13 3 3 4 2 3 3" xfId="28853"/>
    <cellStyle name="Normal 13 3 3 4 2 4" xfId="16830"/>
    <cellStyle name="Normal 13 3 3 4 2 4 2" xfId="30855"/>
    <cellStyle name="Normal 13 3 3 4 2 5" xfId="18832"/>
    <cellStyle name="Normal 13 3 3 4 2 5 2" xfId="32857"/>
    <cellStyle name="Normal 13 3 3 4 2 6" xfId="24846"/>
    <cellStyle name="Normal 13 3 3 4 3" xfId="12808"/>
    <cellStyle name="Normal 13 3 3 4 3 2" xfId="20833"/>
    <cellStyle name="Normal 13 3 3 4 3 2 2" xfId="34858"/>
    <cellStyle name="Normal 13 3 3 4 3 3" xfId="26847"/>
    <cellStyle name="Normal 13 3 3 4 4" xfId="14823"/>
    <cellStyle name="Normal 13 3 3 4 4 2" xfId="22838"/>
    <cellStyle name="Normal 13 3 3 4 4 2 2" xfId="36863"/>
    <cellStyle name="Normal 13 3 3 4 4 3" xfId="28852"/>
    <cellStyle name="Normal 13 3 3 4 5" xfId="16829"/>
    <cellStyle name="Normal 13 3 3 4 5 2" xfId="30854"/>
    <cellStyle name="Normal 13 3 3 4 6" xfId="18831"/>
    <cellStyle name="Normal 13 3 3 4 6 2" xfId="32856"/>
    <cellStyle name="Normal 13 3 3 4 7" xfId="24845"/>
    <cellStyle name="Normal 13 3 3 5" xfId="2209"/>
    <cellStyle name="Normal 13 3 3 5 2" xfId="12810"/>
    <cellStyle name="Normal 13 3 3 5 2 2" xfId="20835"/>
    <cellStyle name="Normal 13 3 3 5 2 2 2" xfId="34860"/>
    <cellStyle name="Normal 13 3 3 5 2 3" xfId="26849"/>
    <cellStyle name="Normal 13 3 3 5 3" xfId="14825"/>
    <cellStyle name="Normal 13 3 3 5 3 2" xfId="22840"/>
    <cellStyle name="Normal 13 3 3 5 3 2 2" xfId="36865"/>
    <cellStyle name="Normal 13 3 3 5 3 3" xfId="28854"/>
    <cellStyle name="Normal 13 3 3 5 4" xfId="16831"/>
    <cellStyle name="Normal 13 3 3 5 4 2" xfId="30856"/>
    <cellStyle name="Normal 13 3 3 5 5" xfId="18833"/>
    <cellStyle name="Normal 13 3 3 5 5 2" xfId="32858"/>
    <cellStyle name="Normal 13 3 3 5 6" xfId="24847"/>
    <cellStyle name="Normal 13 3 3 6" xfId="12801"/>
    <cellStyle name="Normal 13 3 3 6 2" xfId="20826"/>
    <cellStyle name="Normal 13 3 3 6 2 2" xfId="34851"/>
    <cellStyle name="Normal 13 3 3 6 3" xfId="26840"/>
    <cellStyle name="Normal 13 3 3 7" xfId="14816"/>
    <cellStyle name="Normal 13 3 3 7 2" xfId="22831"/>
    <cellStyle name="Normal 13 3 3 7 2 2" xfId="36856"/>
    <cellStyle name="Normal 13 3 3 7 3" xfId="28845"/>
    <cellStyle name="Normal 13 3 3 8" xfId="16822"/>
    <cellStyle name="Normal 13 3 3 8 2" xfId="30847"/>
    <cellStyle name="Normal 13 3 3 9" xfId="18824"/>
    <cellStyle name="Normal 13 3 3 9 2" xfId="32849"/>
    <cellStyle name="Normal 13 3 4" xfId="2210"/>
    <cellStyle name="Normal 13 3 4 2" xfId="2211"/>
    <cellStyle name="Normal 13 3 4 2 2" xfId="2212"/>
    <cellStyle name="Normal 13 3 4 2 2 2" xfId="12813"/>
    <cellStyle name="Normal 13 3 4 2 2 2 2" xfId="20838"/>
    <cellStyle name="Normal 13 3 4 2 2 2 2 2" xfId="34863"/>
    <cellStyle name="Normal 13 3 4 2 2 2 3" xfId="26852"/>
    <cellStyle name="Normal 13 3 4 2 2 3" xfId="14828"/>
    <cellStyle name="Normal 13 3 4 2 2 3 2" xfId="22843"/>
    <cellStyle name="Normal 13 3 4 2 2 3 2 2" xfId="36868"/>
    <cellStyle name="Normal 13 3 4 2 2 3 3" xfId="28857"/>
    <cellStyle name="Normal 13 3 4 2 2 4" xfId="16834"/>
    <cellStyle name="Normal 13 3 4 2 2 4 2" xfId="30859"/>
    <cellStyle name="Normal 13 3 4 2 2 5" xfId="18836"/>
    <cellStyle name="Normal 13 3 4 2 2 5 2" xfId="32861"/>
    <cellStyle name="Normal 13 3 4 2 2 6" xfId="24850"/>
    <cellStyle name="Normal 13 3 4 2 3" xfId="12812"/>
    <cellStyle name="Normal 13 3 4 2 3 2" xfId="20837"/>
    <cellStyle name="Normal 13 3 4 2 3 2 2" xfId="34862"/>
    <cellStyle name="Normal 13 3 4 2 3 3" xfId="26851"/>
    <cellStyle name="Normal 13 3 4 2 4" xfId="14827"/>
    <cellStyle name="Normal 13 3 4 2 4 2" xfId="22842"/>
    <cellStyle name="Normal 13 3 4 2 4 2 2" xfId="36867"/>
    <cellStyle name="Normal 13 3 4 2 4 3" xfId="28856"/>
    <cellStyle name="Normal 13 3 4 2 5" xfId="16833"/>
    <cellStyle name="Normal 13 3 4 2 5 2" xfId="30858"/>
    <cellStyle name="Normal 13 3 4 2 6" xfId="18835"/>
    <cellStyle name="Normal 13 3 4 2 6 2" xfId="32860"/>
    <cellStyle name="Normal 13 3 4 2 7" xfId="24849"/>
    <cellStyle name="Normal 13 3 4 3" xfId="2213"/>
    <cellStyle name="Normal 13 3 4 3 2" xfId="12814"/>
    <cellStyle name="Normal 13 3 4 3 2 2" xfId="20839"/>
    <cellStyle name="Normal 13 3 4 3 2 2 2" xfId="34864"/>
    <cellStyle name="Normal 13 3 4 3 2 3" xfId="26853"/>
    <cellStyle name="Normal 13 3 4 3 3" xfId="14829"/>
    <cellStyle name="Normal 13 3 4 3 3 2" xfId="22844"/>
    <cellStyle name="Normal 13 3 4 3 3 2 2" xfId="36869"/>
    <cellStyle name="Normal 13 3 4 3 3 3" xfId="28858"/>
    <cellStyle name="Normal 13 3 4 3 4" xfId="16835"/>
    <cellStyle name="Normal 13 3 4 3 4 2" xfId="30860"/>
    <cellStyle name="Normal 13 3 4 3 5" xfId="18837"/>
    <cellStyle name="Normal 13 3 4 3 5 2" xfId="32862"/>
    <cellStyle name="Normal 13 3 4 3 6" xfId="24851"/>
    <cellStyle name="Normal 13 3 4 4" xfId="12811"/>
    <cellStyle name="Normal 13 3 4 4 2" xfId="20836"/>
    <cellStyle name="Normal 13 3 4 4 2 2" xfId="34861"/>
    <cellStyle name="Normal 13 3 4 4 3" xfId="26850"/>
    <cellStyle name="Normal 13 3 4 5" xfId="14826"/>
    <cellStyle name="Normal 13 3 4 5 2" xfId="22841"/>
    <cellStyle name="Normal 13 3 4 5 2 2" xfId="36866"/>
    <cellStyle name="Normal 13 3 4 5 3" xfId="28855"/>
    <cellStyle name="Normal 13 3 4 6" xfId="16832"/>
    <cellStyle name="Normal 13 3 4 6 2" xfId="30857"/>
    <cellStyle name="Normal 13 3 4 7" xfId="18834"/>
    <cellStyle name="Normal 13 3 4 7 2" xfId="32859"/>
    <cellStyle name="Normal 13 3 4 8" xfId="24848"/>
    <cellStyle name="Normal 13 3 5" xfId="2214"/>
    <cellStyle name="Normal 13 3 5 2" xfId="2215"/>
    <cellStyle name="Normal 13 3 5 2 2" xfId="12816"/>
    <cellStyle name="Normal 13 3 5 2 2 2" xfId="20841"/>
    <cellStyle name="Normal 13 3 5 2 2 2 2" xfId="34866"/>
    <cellStyle name="Normal 13 3 5 2 2 3" xfId="26855"/>
    <cellStyle name="Normal 13 3 5 2 3" xfId="14831"/>
    <cellStyle name="Normal 13 3 5 2 3 2" xfId="22846"/>
    <cellStyle name="Normal 13 3 5 2 3 2 2" xfId="36871"/>
    <cellStyle name="Normal 13 3 5 2 3 3" xfId="28860"/>
    <cellStyle name="Normal 13 3 5 2 4" xfId="16837"/>
    <cellStyle name="Normal 13 3 5 2 4 2" xfId="30862"/>
    <cellStyle name="Normal 13 3 5 2 5" xfId="18839"/>
    <cellStyle name="Normal 13 3 5 2 5 2" xfId="32864"/>
    <cellStyle name="Normal 13 3 5 2 6" xfId="24853"/>
    <cellStyle name="Normal 13 3 5 3" xfId="12815"/>
    <cellStyle name="Normal 13 3 5 3 2" xfId="20840"/>
    <cellStyle name="Normal 13 3 5 3 2 2" xfId="34865"/>
    <cellStyle name="Normal 13 3 5 3 3" xfId="26854"/>
    <cellStyle name="Normal 13 3 5 4" xfId="14830"/>
    <cellStyle name="Normal 13 3 5 4 2" xfId="22845"/>
    <cellStyle name="Normal 13 3 5 4 2 2" xfId="36870"/>
    <cellStyle name="Normal 13 3 5 4 3" xfId="28859"/>
    <cellStyle name="Normal 13 3 5 5" xfId="16836"/>
    <cellStyle name="Normal 13 3 5 5 2" xfId="30861"/>
    <cellStyle name="Normal 13 3 5 6" xfId="18838"/>
    <cellStyle name="Normal 13 3 5 6 2" xfId="32863"/>
    <cellStyle name="Normal 13 3 5 7" xfId="24852"/>
    <cellStyle name="Normal 13 3 6" xfId="2216"/>
    <cellStyle name="Normal 13 3 6 2" xfId="2217"/>
    <cellStyle name="Normal 13 3 6 2 2" xfId="12818"/>
    <cellStyle name="Normal 13 3 6 2 2 2" xfId="20843"/>
    <cellStyle name="Normal 13 3 6 2 2 2 2" xfId="34868"/>
    <cellStyle name="Normal 13 3 6 2 2 3" xfId="26857"/>
    <cellStyle name="Normal 13 3 6 2 3" xfId="14833"/>
    <cellStyle name="Normal 13 3 6 2 3 2" xfId="22848"/>
    <cellStyle name="Normal 13 3 6 2 3 2 2" xfId="36873"/>
    <cellStyle name="Normal 13 3 6 2 3 3" xfId="28862"/>
    <cellStyle name="Normal 13 3 6 2 4" xfId="16839"/>
    <cellStyle name="Normal 13 3 6 2 4 2" xfId="30864"/>
    <cellStyle name="Normal 13 3 6 2 5" xfId="18841"/>
    <cellStyle name="Normal 13 3 6 2 5 2" xfId="32866"/>
    <cellStyle name="Normal 13 3 6 2 6" xfId="24855"/>
    <cellStyle name="Normal 13 3 6 3" xfId="12817"/>
    <cellStyle name="Normal 13 3 6 3 2" xfId="20842"/>
    <cellStyle name="Normal 13 3 6 3 2 2" xfId="34867"/>
    <cellStyle name="Normal 13 3 6 3 3" xfId="26856"/>
    <cellStyle name="Normal 13 3 6 4" xfId="14832"/>
    <cellStyle name="Normal 13 3 6 4 2" xfId="22847"/>
    <cellStyle name="Normal 13 3 6 4 2 2" xfId="36872"/>
    <cellStyle name="Normal 13 3 6 4 3" xfId="28861"/>
    <cellStyle name="Normal 13 3 6 5" xfId="16838"/>
    <cellStyle name="Normal 13 3 6 5 2" xfId="30863"/>
    <cellStyle name="Normal 13 3 6 6" xfId="18840"/>
    <cellStyle name="Normal 13 3 6 6 2" xfId="32865"/>
    <cellStyle name="Normal 13 3 6 7" xfId="24854"/>
    <cellStyle name="Normal 13 3 7" xfId="2218"/>
    <cellStyle name="Normal 13 3 7 2" xfId="12819"/>
    <cellStyle name="Normal 13 3 7 2 2" xfId="20844"/>
    <cellStyle name="Normal 13 3 7 2 2 2" xfId="34869"/>
    <cellStyle name="Normal 13 3 7 2 3" xfId="26858"/>
    <cellStyle name="Normal 13 3 7 3" xfId="14834"/>
    <cellStyle name="Normal 13 3 7 3 2" xfId="22849"/>
    <cellStyle name="Normal 13 3 7 3 2 2" xfId="36874"/>
    <cellStyle name="Normal 13 3 7 3 3" xfId="28863"/>
    <cellStyle name="Normal 13 3 7 4" xfId="16840"/>
    <cellStyle name="Normal 13 3 7 4 2" xfId="30865"/>
    <cellStyle name="Normal 13 3 7 5" xfId="18842"/>
    <cellStyle name="Normal 13 3 7 5 2" xfId="32867"/>
    <cellStyle name="Normal 13 3 7 6" xfId="24856"/>
    <cellStyle name="Normal 13 4" xfId="2219"/>
    <cellStyle name="Normal 13 4 10" xfId="18843"/>
    <cellStyle name="Normal 13 4 10 2" xfId="32868"/>
    <cellStyle name="Normal 13 4 11" xfId="24857"/>
    <cellStyle name="Normal 13 4 2" xfId="2220"/>
    <cellStyle name="Normal 13 4 2 10" xfId="24858"/>
    <cellStyle name="Normal 13 4 2 2" xfId="2221"/>
    <cellStyle name="Normal 13 4 2 2 2" xfId="2222"/>
    <cellStyle name="Normal 13 4 2 2 2 2" xfId="2223"/>
    <cellStyle name="Normal 13 4 2 2 2 2 2" xfId="12824"/>
    <cellStyle name="Normal 13 4 2 2 2 2 2 2" xfId="20849"/>
    <cellStyle name="Normal 13 4 2 2 2 2 2 2 2" xfId="34874"/>
    <cellStyle name="Normal 13 4 2 2 2 2 2 3" xfId="26863"/>
    <cellStyle name="Normal 13 4 2 2 2 2 3" xfId="14839"/>
    <cellStyle name="Normal 13 4 2 2 2 2 3 2" xfId="22854"/>
    <cellStyle name="Normal 13 4 2 2 2 2 3 2 2" xfId="36879"/>
    <cellStyle name="Normal 13 4 2 2 2 2 3 3" xfId="28868"/>
    <cellStyle name="Normal 13 4 2 2 2 2 4" xfId="16845"/>
    <cellStyle name="Normal 13 4 2 2 2 2 4 2" xfId="30870"/>
    <cellStyle name="Normal 13 4 2 2 2 2 5" xfId="18847"/>
    <cellStyle name="Normal 13 4 2 2 2 2 5 2" xfId="32872"/>
    <cellStyle name="Normal 13 4 2 2 2 2 6" xfId="24861"/>
    <cellStyle name="Normal 13 4 2 2 2 3" xfId="12823"/>
    <cellStyle name="Normal 13 4 2 2 2 3 2" xfId="20848"/>
    <cellStyle name="Normal 13 4 2 2 2 3 2 2" xfId="34873"/>
    <cellStyle name="Normal 13 4 2 2 2 3 3" xfId="26862"/>
    <cellStyle name="Normal 13 4 2 2 2 4" xfId="14838"/>
    <cellStyle name="Normal 13 4 2 2 2 4 2" xfId="22853"/>
    <cellStyle name="Normal 13 4 2 2 2 4 2 2" xfId="36878"/>
    <cellStyle name="Normal 13 4 2 2 2 4 3" xfId="28867"/>
    <cellStyle name="Normal 13 4 2 2 2 5" xfId="16844"/>
    <cellStyle name="Normal 13 4 2 2 2 5 2" xfId="30869"/>
    <cellStyle name="Normal 13 4 2 2 2 6" xfId="18846"/>
    <cellStyle name="Normal 13 4 2 2 2 6 2" xfId="32871"/>
    <cellStyle name="Normal 13 4 2 2 2 7" xfId="24860"/>
    <cellStyle name="Normal 13 4 2 2 3" xfId="2224"/>
    <cellStyle name="Normal 13 4 2 2 3 2" xfId="12825"/>
    <cellStyle name="Normal 13 4 2 2 3 2 2" xfId="20850"/>
    <cellStyle name="Normal 13 4 2 2 3 2 2 2" xfId="34875"/>
    <cellStyle name="Normal 13 4 2 2 3 2 3" xfId="26864"/>
    <cellStyle name="Normal 13 4 2 2 3 3" xfId="14840"/>
    <cellStyle name="Normal 13 4 2 2 3 3 2" xfId="22855"/>
    <cellStyle name="Normal 13 4 2 2 3 3 2 2" xfId="36880"/>
    <cellStyle name="Normal 13 4 2 2 3 3 3" xfId="28869"/>
    <cellStyle name="Normal 13 4 2 2 3 4" xfId="16846"/>
    <cellStyle name="Normal 13 4 2 2 3 4 2" xfId="30871"/>
    <cellStyle name="Normal 13 4 2 2 3 5" xfId="18848"/>
    <cellStyle name="Normal 13 4 2 2 3 5 2" xfId="32873"/>
    <cellStyle name="Normal 13 4 2 2 3 6" xfId="24862"/>
    <cellStyle name="Normal 13 4 2 2 4" xfId="12822"/>
    <cellStyle name="Normal 13 4 2 2 4 2" xfId="20847"/>
    <cellStyle name="Normal 13 4 2 2 4 2 2" xfId="34872"/>
    <cellStyle name="Normal 13 4 2 2 4 3" xfId="26861"/>
    <cellStyle name="Normal 13 4 2 2 5" xfId="14837"/>
    <cellStyle name="Normal 13 4 2 2 5 2" xfId="22852"/>
    <cellStyle name="Normal 13 4 2 2 5 2 2" xfId="36877"/>
    <cellStyle name="Normal 13 4 2 2 5 3" xfId="28866"/>
    <cellStyle name="Normal 13 4 2 2 6" xfId="16843"/>
    <cellStyle name="Normal 13 4 2 2 6 2" xfId="30868"/>
    <cellStyle name="Normal 13 4 2 2 7" xfId="18845"/>
    <cellStyle name="Normal 13 4 2 2 7 2" xfId="32870"/>
    <cellStyle name="Normal 13 4 2 2 8" xfId="24859"/>
    <cellStyle name="Normal 13 4 2 3" xfId="2225"/>
    <cellStyle name="Normal 13 4 2 3 2" xfId="2226"/>
    <cellStyle name="Normal 13 4 2 3 2 2" xfId="12827"/>
    <cellStyle name="Normal 13 4 2 3 2 2 2" xfId="20852"/>
    <cellStyle name="Normal 13 4 2 3 2 2 2 2" xfId="34877"/>
    <cellStyle name="Normal 13 4 2 3 2 2 3" xfId="26866"/>
    <cellStyle name="Normal 13 4 2 3 2 3" xfId="14842"/>
    <cellStyle name="Normal 13 4 2 3 2 3 2" xfId="22857"/>
    <cellStyle name="Normal 13 4 2 3 2 3 2 2" xfId="36882"/>
    <cellStyle name="Normal 13 4 2 3 2 3 3" xfId="28871"/>
    <cellStyle name="Normal 13 4 2 3 2 4" xfId="16848"/>
    <cellStyle name="Normal 13 4 2 3 2 4 2" xfId="30873"/>
    <cellStyle name="Normal 13 4 2 3 2 5" xfId="18850"/>
    <cellStyle name="Normal 13 4 2 3 2 5 2" xfId="32875"/>
    <cellStyle name="Normal 13 4 2 3 2 6" xfId="24864"/>
    <cellStyle name="Normal 13 4 2 3 3" xfId="12826"/>
    <cellStyle name="Normal 13 4 2 3 3 2" xfId="20851"/>
    <cellStyle name="Normal 13 4 2 3 3 2 2" xfId="34876"/>
    <cellStyle name="Normal 13 4 2 3 3 3" xfId="26865"/>
    <cellStyle name="Normal 13 4 2 3 4" xfId="14841"/>
    <cellStyle name="Normal 13 4 2 3 4 2" xfId="22856"/>
    <cellStyle name="Normal 13 4 2 3 4 2 2" xfId="36881"/>
    <cellStyle name="Normal 13 4 2 3 4 3" xfId="28870"/>
    <cellStyle name="Normal 13 4 2 3 5" xfId="16847"/>
    <cellStyle name="Normal 13 4 2 3 5 2" xfId="30872"/>
    <cellStyle name="Normal 13 4 2 3 6" xfId="18849"/>
    <cellStyle name="Normal 13 4 2 3 6 2" xfId="32874"/>
    <cellStyle name="Normal 13 4 2 3 7" xfId="24863"/>
    <cellStyle name="Normal 13 4 2 4" xfId="2227"/>
    <cellStyle name="Normal 13 4 2 4 2" xfId="2228"/>
    <cellStyle name="Normal 13 4 2 4 2 2" xfId="12829"/>
    <cellStyle name="Normal 13 4 2 4 2 2 2" xfId="20854"/>
    <cellStyle name="Normal 13 4 2 4 2 2 2 2" xfId="34879"/>
    <cellStyle name="Normal 13 4 2 4 2 2 3" xfId="26868"/>
    <cellStyle name="Normal 13 4 2 4 2 3" xfId="14844"/>
    <cellStyle name="Normal 13 4 2 4 2 3 2" xfId="22859"/>
    <cellStyle name="Normal 13 4 2 4 2 3 2 2" xfId="36884"/>
    <cellStyle name="Normal 13 4 2 4 2 3 3" xfId="28873"/>
    <cellStyle name="Normal 13 4 2 4 2 4" xfId="16850"/>
    <cellStyle name="Normal 13 4 2 4 2 4 2" xfId="30875"/>
    <cellStyle name="Normal 13 4 2 4 2 5" xfId="18852"/>
    <cellStyle name="Normal 13 4 2 4 2 5 2" xfId="32877"/>
    <cellStyle name="Normal 13 4 2 4 2 6" xfId="24866"/>
    <cellStyle name="Normal 13 4 2 4 3" xfId="12828"/>
    <cellStyle name="Normal 13 4 2 4 3 2" xfId="20853"/>
    <cellStyle name="Normal 13 4 2 4 3 2 2" xfId="34878"/>
    <cellStyle name="Normal 13 4 2 4 3 3" xfId="26867"/>
    <cellStyle name="Normal 13 4 2 4 4" xfId="14843"/>
    <cellStyle name="Normal 13 4 2 4 4 2" xfId="22858"/>
    <cellStyle name="Normal 13 4 2 4 4 2 2" xfId="36883"/>
    <cellStyle name="Normal 13 4 2 4 4 3" xfId="28872"/>
    <cellStyle name="Normal 13 4 2 4 5" xfId="16849"/>
    <cellStyle name="Normal 13 4 2 4 5 2" xfId="30874"/>
    <cellStyle name="Normal 13 4 2 4 6" xfId="18851"/>
    <cellStyle name="Normal 13 4 2 4 6 2" xfId="32876"/>
    <cellStyle name="Normal 13 4 2 4 7" xfId="24865"/>
    <cellStyle name="Normal 13 4 2 5" xfId="2229"/>
    <cellStyle name="Normal 13 4 2 5 2" xfId="12830"/>
    <cellStyle name="Normal 13 4 2 5 2 2" xfId="20855"/>
    <cellStyle name="Normal 13 4 2 5 2 2 2" xfId="34880"/>
    <cellStyle name="Normal 13 4 2 5 2 3" xfId="26869"/>
    <cellStyle name="Normal 13 4 2 5 3" xfId="14845"/>
    <cellStyle name="Normal 13 4 2 5 3 2" xfId="22860"/>
    <cellStyle name="Normal 13 4 2 5 3 2 2" xfId="36885"/>
    <cellStyle name="Normal 13 4 2 5 3 3" xfId="28874"/>
    <cellStyle name="Normal 13 4 2 5 4" xfId="16851"/>
    <cellStyle name="Normal 13 4 2 5 4 2" xfId="30876"/>
    <cellStyle name="Normal 13 4 2 5 5" xfId="18853"/>
    <cellStyle name="Normal 13 4 2 5 5 2" xfId="32878"/>
    <cellStyle name="Normal 13 4 2 5 6" xfId="24867"/>
    <cellStyle name="Normal 13 4 2 6" xfId="12821"/>
    <cellStyle name="Normal 13 4 2 6 2" xfId="20846"/>
    <cellStyle name="Normal 13 4 2 6 2 2" xfId="34871"/>
    <cellStyle name="Normal 13 4 2 6 3" xfId="26860"/>
    <cellStyle name="Normal 13 4 2 7" xfId="14836"/>
    <cellStyle name="Normal 13 4 2 7 2" xfId="22851"/>
    <cellStyle name="Normal 13 4 2 7 2 2" xfId="36876"/>
    <cellStyle name="Normal 13 4 2 7 3" xfId="28865"/>
    <cellStyle name="Normal 13 4 2 8" xfId="16842"/>
    <cellStyle name="Normal 13 4 2 8 2" xfId="30867"/>
    <cellStyle name="Normal 13 4 2 9" xfId="18844"/>
    <cellStyle name="Normal 13 4 2 9 2" xfId="32869"/>
    <cellStyle name="Normal 13 4 3" xfId="2230"/>
    <cellStyle name="Normal 13 4 3 2" xfId="2231"/>
    <cellStyle name="Normal 13 4 3 2 2" xfId="2232"/>
    <cellStyle name="Normal 13 4 3 2 2 2" xfId="12833"/>
    <cellStyle name="Normal 13 4 3 2 2 2 2" xfId="20858"/>
    <cellStyle name="Normal 13 4 3 2 2 2 2 2" xfId="34883"/>
    <cellStyle name="Normal 13 4 3 2 2 2 3" xfId="26872"/>
    <cellStyle name="Normal 13 4 3 2 2 3" xfId="14848"/>
    <cellStyle name="Normal 13 4 3 2 2 3 2" xfId="22863"/>
    <cellStyle name="Normal 13 4 3 2 2 3 2 2" xfId="36888"/>
    <cellStyle name="Normal 13 4 3 2 2 3 3" xfId="28877"/>
    <cellStyle name="Normal 13 4 3 2 2 4" xfId="16854"/>
    <cellStyle name="Normal 13 4 3 2 2 4 2" xfId="30879"/>
    <cellStyle name="Normal 13 4 3 2 2 5" xfId="18856"/>
    <cellStyle name="Normal 13 4 3 2 2 5 2" xfId="32881"/>
    <cellStyle name="Normal 13 4 3 2 2 6" xfId="24870"/>
    <cellStyle name="Normal 13 4 3 2 3" xfId="12832"/>
    <cellStyle name="Normal 13 4 3 2 3 2" xfId="20857"/>
    <cellStyle name="Normal 13 4 3 2 3 2 2" xfId="34882"/>
    <cellStyle name="Normal 13 4 3 2 3 3" xfId="26871"/>
    <cellStyle name="Normal 13 4 3 2 4" xfId="14847"/>
    <cellStyle name="Normal 13 4 3 2 4 2" xfId="22862"/>
    <cellStyle name="Normal 13 4 3 2 4 2 2" xfId="36887"/>
    <cellStyle name="Normal 13 4 3 2 4 3" xfId="28876"/>
    <cellStyle name="Normal 13 4 3 2 5" xfId="16853"/>
    <cellStyle name="Normal 13 4 3 2 5 2" xfId="30878"/>
    <cellStyle name="Normal 13 4 3 2 6" xfId="18855"/>
    <cellStyle name="Normal 13 4 3 2 6 2" xfId="32880"/>
    <cellStyle name="Normal 13 4 3 2 7" xfId="24869"/>
    <cellStyle name="Normal 13 4 3 3" xfId="2233"/>
    <cellStyle name="Normal 13 4 3 3 2" xfId="12834"/>
    <cellStyle name="Normal 13 4 3 3 2 2" xfId="20859"/>
    <cellStyle name="Normal 13 4 3 3 2 2 2" xfId="34884"/>
    <cellStyle name="Normal 13 4 3 3 2 3" xfId="26873"/>
    <cellStyle name="Normal 13 4 3 3 3" xfId="14849"/>
    <cellStyle name="Normal 13 4 3 3 3 2" xfId="22864"/>
    <cellStyle name="Normal 13 4 3 3 3 2 2" xfId="36889"/>
    <cellStyle name="Normal 13 4 3 3 3 3" xfId="28878"/>
    <cellStyle name="Normal 13 4 3 3 4" xfId="16855"/>
    <cellStyle name="Normal 13 4 3 3 4 2" xfId="30880"/>
    <cellStyle name="Normal 13 4 3 3 5" xfId="18857"/>
    <cellStyle name="Normal 13 4 3 3 5 2" xfId="32882"/>
    <cellStyle name="Normal 13 4 3 3 6" xfId="24871"/>
    <cellStyle name="Normal 13 4 3 4" xfId="12831"/>
    <cellStyle name="Normal 13 4 3 4 2" xfId="20856"/>
    <cellStyle name="Normal 13 4 3 4 2 2" xfId="34881"/>
    <cellStyle name="Normal 13 4 3 4 3" xfId="26870"/>
    <cellStyle name="Normal 13 4 3 5" xfId="14846"/>
    <cellStyle name="Normal 13 4 3 5 2" xfId="22861"/>
    <cellStyle name="Normal 13 4 3 5 2 2" xfId="36886"/>
    <cellStyle name="Normal 13 4 3 5 3" xfId="28875"/>
    <cellStyle name="Normal 13 4 3 6" xfId="16852"/>
    <cellStyle name="Normal 13 4 3 6 2" xfId="30877"/>
    <cellStyle name="Normal 13 4 3 7" xfId="18854"/>
    <cellStyle name="Normal 13 4 3 7 2" xfId="32879"/>
    <cellStyle name="Normal 13 4 3 8" xfId="24868"/>
    <cellStyle name="Normal 13 4 4" xfId="2234"/>
    <cellStyle name="Normal 13 4 4 2" xfId="2235"/>
    <cellStyle name="Normal 13 4 4 2 2" xfId="12836"/>
    <cellStyle name="Normal 13 4 4 2 2 2" xfId="20861"/>
    <cellStyle name="Normal 13 4 4 2 2 2 2" xfId="34886"/>
    <cellStyle name="Normal 13 4 4 2 2 3" xfId="26875"/>
    <cellStyle name="Normal 13 4 4 2 3" xfId="14851"/>
    <cellStyle name="Normal 13 4 4 2 3 2" xfId="22866"/>
    <cellStyle name="Normal 13 4 4 2 3 2 2" xfId="36891"/>
    <cellStyle name="Normal 13 4 4 2 3 3" xfId="28880"/>
    <cellStyle name="Normal 13 4 4 2 4" xfId="16857"/>
    <cellStyle name="Normal 13 4 4 2 4 2" xfId="30882"/>
    <cellStyle name="Normal 13 4 4 2 5" xfId="18859"/>
    <cellStyle name="Normal 13 4 4 2 5 2" xfId="32884"/>
    <cellStyle name="Normal 13 4 4 2 6" xfId="24873"/>
    <cellStyle name="Normal 13 4 4 3" xfId="12835"/>
    <cellStyle name="Normal 13 4 4 3 2" xfId="20860"/>
    <cellStyle name="Normal 13 4 4 3 2 2" xfId="34885"/>
    <cellStyle name="Normal 13 4 4 3 3" xfId="26874"/>
    <cellStyle name="Normal 13 4 4 4" xfId="14850"/>
    <cellStyle name="Normal 13 4 4 4 2" xfId="22865"/>
    <cellStyle name="Normal 13 4 4 4 2 2" xfId="36890"/>
    <cellStyle name="Normal 13 4 4 4 3" xfId="28879"/>
    <cellStyle name="Normal 13 4 4 5" xfId="16856"/>
    <cellStyle name="Normal 13 4 4 5 2" xfId="30881"/>
    <cellStyle name="Normal 13 4 4 6" xfId="18858"/>
    <cellStyle name="Normal 13 4 4 6 2" xfId="32883"/>
    <cellStyle name="Normal 13 4 4 7" xfId="24872"/>
    <cellStyle name="Normal 13 4 5" xfId="2236"/>
    <cellStyle name="Normal 13 4 5 2" xfId="2237"/>
    <cellStyle name="Normal 13 4 5 2 2" xfId="12838"/>
    <cellStyle name="Normal 13 4 5 2 2 2" xfId="20863"/>
    <cellStyle name="Normal 13 4 5 2 2 2 2" xfId="34888"/>
    <cellStyle name="Normal 13 4 5 2 2 3" xfId="26877"/>
    <cellStyle name="Normal 13 4 5 2 3" xfId="14853"/>
    <cellStyle name="Normal 13 4 5 2 3 2" xfId="22868"/>
    <cellStyle name="Normal 13 4 5 2 3 2 2" xfId="36893"/>
    <cellStyle name="Normal 13 4 5 2 3 3" xfId="28882"/>
    <cellStyle name="Normal 13 4 5 2 4" xfId="16859"/>
    <cellStyle name="Normal 13 4 5 2 4 2" xfId="30884"/>
    <cellStyle name="Normal 13 4 5 2 5" xfId="18861"/>
    <cellStyle name="Normal 13 4 5 2 5 2" xfId="32886"/>
    <cellStyle name="Normal 13 4 5 2 6" xfId="24875"/>
    <cellStyle name="Normal 13 4 5 3" xfId="12837"/>
    <cellStyle name="Normal 13 4 5 3 2" xfId="20862"/>
    <cellStyle name="Normal 13 4 5 3 2 2" xfId="34887"/>
    <cellStyle name="Normal 13 4 5 3 3" xfId="26876"/>
    <cellStyle name="Normal 13 4 5 4" xfId="14852"/>
    <cellStyle name="Normal 13 4 5 4 2" xfId="22867"/>
    <cellStyle name="Normal 13 4 5 4 2 2" xfId="36892"/>
    <cellStyle name="Normal 13 4 5 4 3" xfId="28881"/>
    <cellStyle name="Normal 13 4 5 5" xfId="16858"/>
    <cellStyle name="Normal 13 4 5 5 2" xfId="30883"/>
    <cellStyle name="Normal 13 4 5 6" xfId="18860"/>
    <cellStyle name="Normal 13 4 5 6 2" xfId="32885"/>
    <cellStyle name="Normal 13 4 5 7" xfId="24874"/>
    <cellStyle name="Normal 13 4 6" xfId="2238"/>
    <cellStyle name="Normal 13 4 6 2" xfId="12839"/>
    <cellStyle name="Normal 13 4 6 2 2" xfId="20864"/>
    <cellStyle name="Normal 13 4 6 2 2 2" xfId="34889"/>
    <cellStyle name="Normal 13 4 6 2 3" xfId="26878"/>
    <cellStyle name="Normal 13 4 6 3" xfId="14854"/>
    <cellStyle name="Normal 13 4 6 3 2" xfId="22869"/>
    <cellStyle name="Normal 13 4 6 3 2 2" xfId="36894"/>
    <cellStyle name="Normal 13 4 6 3 3" xfId="28883"/>
    <cellStyle name="Normal 13 4 6 4" xfId="16860"/>
    <cellStyle name="Normal 13 4 6 4 2" xfId="30885"/>
    <cellStyle name="Normal 13 4 6 5" xfId="18862"/>
    <cellStyle name="Normal 13 4 6 5 2" xfId="32887"/>
    <cellStyle name="Normal 13 4 6 6" xfId="24876"/>
    <cellStyle name="Normal 13 4 7" xfId="12820"/>
    <cellStyle name="Normal 13 4 7 2" xfId="20845"/>
    <cellStyle name="Normal 13 4 7 2 2" xfId="34870"/>
    <cellStyle name="Normal 13 4 7 3" xfId="26859"/>
    <cellStyle name="Normal 13 4 8" xfId="14835"/>
    <cellStyle name="Normal 13 4 8 2" xfId="22850"/>
    <cellStyle name="Normal 13 4 8 2 2" xfId="36875"/>
    <cellStyle name="Normal 13 4 8 3" xfId="28864"/>
    <cellStyle name="Normal 13 4 9" xfId="16841"/>
    <cellStyle name="Normal 13 4 9 2" xfId="30866"/>
    <cellStyle name="Normal 13 5" xfId="2239"/>
    <cellStyle name="Normal 13 5 10" xfId="24877"/>
    <cellStyle name="Normal 13 5 2" xfId="2240"/>
    <cellStyle name="Normal 13 5 2 2" xfId="2241"/>
    <cellStyle name="Normal 13 5 2 2 2" xfId="2242"/>
    <cellStyle name="Normal 13 5 2 2 2 2" xfId="12843"/>
    <cellStyle name="Normal 13 5 2 2 2 2 2" xfId="20868"/>
    <cellStyle name="Normal 13 5 2 2 2 2 2 2" xfId="34893"/>
    <cellStyle name="Normal 13 5 2 2 2 2 3" xfId="26882"/>
    <cellStyle name="Normal 13 5 2 2 2 3" xfId="14858"/>
    <cellStyle name="Normal 13 5 2 2 2 3 2" xfId="22873"/>
    <cellStyle name="Normal 13 5 2 2 2 3 2 2" xfId="36898"/>
    <cellStyle name="Normal 13 5 2 2 2 3 3" xfId="28887"/>
    <cellStyle name="Normal 13 5 2 2 2 4" xfId="16864"/>
    <cellStyle name="Normal 13 5 2 2 2 4 2" xfId="30889"/>
    <cellStyle name="Normal 13 5 2 2 2 5" xfId="18866"/>
    <cellStyle name="Normal 13 5 2 2 2 5 2" xfId="32891"/>
    <cellStyle name="Normal 13 5 2 2 2 6" xfId="24880"/>
    <cellStyle name="Normal 13 5 2 2 3" xfId="12842"/>
    <cellStyle name="Normal 13 5 2 2 3 2" xfId="20867"/>
    <cellStyle name="Normal 13 5 2 2 3 2 2" xfId="34892"/>
    <cellStyle name="Normal 13 5 2 2 3 3" xfId="26881"/>
    <cellStyle name="Normal 13 5 2 2 4" xfId="14857"/>
    <cellStyle name="Normal 13 5 2 2 4 2" xfId="22872"/>
    <cellStyle name="Normal 13 5 2 2 4 2 2" xfId="36897"/>
    <cellStyle name="Normal 13 5 2 2 4 3" xfId="28886"/>
    <cellStyle name="Normal 13 5 2 2 5" xfId="16863"/>
    <cellStyle name="Normal 13 5 2 2 5 2" xfId="30888"/>
    <cellStyle name="Normal 13 5 2 2 6" xfId="18865"/>
    <cellStyle name="Normal 13 5 2 2 6 2" xfId="32890"/>
    <cellStyle name="Normal 13 5 2 2 7" xfId="24879"/>
    <cellStyle name="Normal 13 5 2 3" xfId="2243"/>
    <cellStyle name="Normal 13 5 2 3 2" xfId="12844"/>
    <cellStyle name="Normal 13 5 2 3 2 2" xfId="20869"/>
    <cellStyle name="Normal 13 5 2 3 2 2 2" xfId="34894"/>
    <cellStyle name="Normal 13 5 2 3 2 3" xfId="26883"/>
    <cellStyle name="Normal 13 5 2 3 3" xfId="14859"/>
    <cellStyle name="Normal 13 5 2 3 3 2" xfId="22874"/>
    <cellStyle name="Normal 13 5 2 3 3 2 2" xfId="36899"/>
    <cellStyle name="Normal 13 5 2 3 3 3" xfId="28888"/>
    <cellStyle name="Normal 13 5 2 3 4" xfId="16865"/>
    <cellStyle name="Normal 13 5 2 3 4 2" xfId="30890"/>
    <cellStyle name="Normal 13 5 2 3 5" xfId="18867"/>
    <cellStyle name="Normal 13 5 2 3 5 2" xfId="32892"/>
    <cellStyle name="Normal 13 5 2 3 6" xfId="24881"/>
    <cellStyle name="Normal 13 5 2 4" xfId="12841"/>
    <cellStyle name="Normal 13 5 2 4 2" xfId="20866"/>
    <cellStyle name="Normal 13 5 2 4 2 2" xfId="34891"/>
    <cellStyle name="Normal 13 5 2 4 3" xfId="26880"/>
    <cellStyle name="Normal 13 5 2 5" xfId="14856"/>
    <cellStyle name="Normal 13 5 2 5 2" xfId="22871"/>
    <cellStyle name="Normal 13 5 2 5 2 2" xfId="36896"/>
    <cellStyle name="Normal 13 5 2 5 3" xfId="28885"/>
    <cellStyle name="Normal 13 5 2 6" xfId="16862"/>
    <cellStyle name="Normal 13 5 2 6 2" xfId="30887"/>
    <cellStyle name="Normal 13 5 2 7" xfId="18864"/>
    <cellStyle name="Normal 13 5 2 7 2" xfId="32889"/>
    <cellStyle name="Normal 13 5 2 8" xfId="24878"/>
    <cellStyle name="Normal 13 5 3" xfId="2244"/>
    <cellStyle name="Normal 13 5 3 2" xfId="2245"/>
    <cellStyle name="Normal 13 5 3 2 2" xfId="12846"/>
    <cellStyle name="Normal 13 5 3 2 2 2" xfId="20871"/>
    <cellStyle name="Normal 13 5 3 2 2 2 2" xfId="34896"/>
    <cellStyle name="Normal 13 5 3 2 2 3" xfId="26885"/>
    <cellStyle name="Normal 13 5 3 2 3" xfId="14861"/>
    <cellStyle name="Normal 13 5 3 2 3 2" xfId="22876"/>
    <cellStyle name="Normal 13 5 3 2 3 2 2" xfId="36901"/>
    <cellStyle name="Normal 13 5 3 2 3 3" xfId="28890"/>
    <cellStyle name="Normal 13 5 3 2 4" xfId="16867"/>
    <cellStyle name="Normal 13 5 3 2 4 2" xfId="30892"/>
    <cellStyle name="Normal 13 5 3 2 5" xfId="18869"/>
    <cellStyle name="Normal 13 5 3 2 5 2" xfId="32894"/>
    <cellStyle name="Normal 13 5 3 2 6" xfId="24883"/>
    <cellStyle name="Normal 13 5 3 3" xfId="12845"/>
    <cellStyle name="Normal 13 5 3 3 2" xfId="20870"/>
    <cellStyle name="Normal 13 5 3 3 2 2" xfId="34895"/>
    <cellStyle name="Normal 13 5 3 3 3" xfId="26884"/>
    <cellStyle name="Normal 13 5 3 4" xfId="14860"/>
    <cellStyle name="Normal 13 5 3 4 2" xfId="22875"/>
    <cellStyle name="Normal 13 5 3 4 2 2" xfId="36900"/>
    <cellStyle name="Normal 13 5 3 4 3" xfId="28889"/>
    <cellStyle name="Normal 13 5 3 5" xfId="16866"/>
    <cellStyle name="Normal 13 5 3 5 2" xfId="30891"/>
    <cellStyle name="Normal 13 5 3 6" xfId="18868"/>
    <cellStyle name="Normal 13 5 3 6 2" xfId="32893"/>
    <cellStyle name="Normal 13 5 3 7" xfId="24882"/>
    <cellStyle name="Normal 13 5 4" xfId="2246"/>
    <cellStyle name="Normal 13 5 4 2" xfId="2247"/>
    <cellStyle name="Normal 13 5 4 2 2" xfId="12848"/>
    <cellStyle name="Normal 13 5 4 2 2 2" xfId="20873"/>
    <cellStyle name="Normal 13 5 4 2 2 2 2" xfId="34898"/>
    <cellStyle name="Normal 13 5 4 2 2 3" xfId="26887"/>
    <cellStyle name="Normal 13 5 4 2 3" xfId="14863"/>
    <cellStyle name="Normal 13 5 4 2 3 2" xfId="22878"/>
    <cellStyle name="Normal 13 5 4 2 3 2 2" xfId="36903"/>
    <cellStyle name="Normal 13 5 4 2 3 3" xfId="28892"/>
    <cellStyle name="Normal 13 5 4 2 4" xfId="16869"/>
    <cellStyle name="Normal 13 5 4 2 4 2" xfId="30894"/>
    <cellStyle name="Normal 13 5 4 2 5" xfId="18871"/>
    <cellStyle name="Normal 13 5 4 2 5 2" xfId="32896"/>
    <cellStyle name="Normal 13 5 4 2 6" xfId="24885"/>
    <cellStyle name="Normal 13 5 4 3" xfId="12847"/>
    <cellStyle name="Normal 13 5 4 3 2" xfId="20872"/>
    <cellStyle name="Normal 13 5 4 3 2 2" xfId="34897"/>
    <cellStyle name="Normal 13 5 4 3 3" xfId="26886"/>
    <cellStyle name="Normal 13 5 4 4" xfId="14862"/>
    <cellStyle name="Normal 13 5 4 4 2" xfId="22877"/>
    <cellStyle name="Normal 13 5 4 4 2 2" xfId="36902"/>
    <cellStyle name="Normal 13 5 4 4 3" xfId="28891"/>
    <cellStyle name="Normal 13 5 4 5" xfId="16868"/>
    <cellStyle name="Normal 13 5 4 5 2" xfId="30893"/>
    <cellStyle name="Normal 13 5 4 6" xfId="18870"/>
    <cellStyle name="Normal 13 5 4 6 2" xfId="32895"/>
    <cellStyle name="Normal 13 5 4 7" xfId="24884"/>
    <cellStyle name="Normal 13 5 5" xfId="2248"/>
    <cellStyle name="Normal 13 5 5 2" xfId="12849"/>
    <cellStyle name="Normal 13 5 5 2 2" xfId="20874"/>
    <cellStyle name="Normal 13 5 5 2 2 2" xfId="34899"/>
    <cellStyle name="Normal 13 5 5 2 3" xfId="26888"/>
    <cellStyle name="Normal 13 5 5 3" xfId="14864"/>
    <cellStyle name="Normal 13 5 5 3 2" xfId="22879"/>
    <cellStyle name="Normal 13 5 5 3 2 2" xfId="36904"/>
    <cellStyle name="Normal 13 5 5 3 3" xfId="28893"/>
    <cellStyle name="Normal 13 5 5 4" xfId="16870"/>
    <cellStyle name="Normal 13 5 5 4 2" xfId="30895"/>
    <cellStyle name="Normal 13 5 5 5" xfId="18872"/>
    <cellStyle name="Normal 13 5 5 5 2" xfId="32897"/>
    <cellStyle name="Normal 13 5 5 6" xfId="24886"/>
    <cellStyle name="Normal 13 5 6" xfId="12840"/>
    <cellStyle name="Normal 13 5 6 2" xfId="20865"/>
    <cellStyle name="Normal 13 5 6 2 2" xfId="34890"/>
    <cellStyle name="Normal 13 5 6 3" xfId="26879"/>
    <cellStyle name="Normal 13 5 7" xfId="14855"/>
    <cellStyle name="Normal 13 5 7 2" xfId="22870"/>
    <cellStyle name="Normal 13 5 7 2 2" xfId="36895"/>
    <cellStyle name="Normal 13 5 7 3" xfId="28884"/>
    <cellStyle name="Normal 13 5 8" xfId="16861"/>
    <cellStyle name="Normal 13 5 8 2" xfId="30886"/>
    <cellStyle name="Normal 13 5 9" xfId="18863"/>
    <cellStyle name="Normal 13 5 9 2" xfId="32888"/>
    <cellStyle name="Normal 13 6" xfId="2249"/>
    <cellStyle name="Normal 13 6 2" xfId="2250"/>
    <cellStyle name="Normal 13 6 2 2" xfId="2251"/>
    <cellStyle name="Normal 13 6 2 2 2" xfId="12852"/>
    <cellStyle name="Normal 13 6 2 2 2 2" xfId="20877"/>
    <cellStyle name="Normal 13 6 2 2 2 2 2" xfId="34902"/>
    <cellStyle name="Normal 13 6 2 2 2 3" xfId="26891"/>
    <cellStyle name="Normal 13 6 2 2 3" xfId="14867"/>
    <cellStyle name="Normal 13 6 2 2 3 2" xfId="22882"/>
    <cellStyle name="Normal 13 6 2 2 3 2 2" xfId="36907"/>
    <cellStyle name="Normal 13 6 2 2 3 3" xfId="28896"/>
    <cellStyle name="Normal 13 6 2 2 4" xfId="16873"/>
    <cellStyle name="Normal 13 6 2 2 4 2" xfId="30898"/>
    <cellStyle name="Normal 13 6 2 2 5" xfId="18875"/>
    <cellStyle name="Normal 13 6 2 2 5 2" xfId="32900"/>
    <cellStyle name="Normal 13 6 2 2 6" xfId="24889"/>
    <cellStyle name="Normal 13 6 2 3" xfId="12851"/>
    <cellStyle name="Normal 13 6 2 3 2" xfId="20876"/>
    <cellStyle name="Normal 13 6 2 3 2 2" xfId="34901"/>
    <cellStyle name="Normal 13 6 2 3 3" xfId="26890"/>
    <cellStyle name="Normal 13 6 2 4" xfId="14866"/>
    <cellStyle name="Normal 13 6 2 4 2" xfId="22881"/>
    <cellStyle name="Normal 13 6 2 4 2 2" xfId="36906"/>
    <cellStyle name="Normal 13 6 2 4 3" xfId="28895"/>
    <cellStyle name="Normal 13 6 2 5" xfId="16872"/>
    <cellStyle name="Normal 13 6 2 5 2" xfId="30897"/>
    <cellStyle name="Normal 13 6 2 6" xfId="18874"/>
    <cellStyle name="Normal 13 6 2 6 2" xfId="32899"/>
    <cellStyle name="Normal 13 6 2 7" xfId="24888"/>
    <cellStyle name="Normal 13 6 3" xfId="2252"/>
    <cellStyle name="Normal 13 6 3 2" xfId="12853"/>
    <cellStyle name="Normal 13 6 3 2 2" xfId="20878"/>
    <cellStyle name="Normal 13 6 3 2 2 2" xfId="34903"/>
    <cellStyle name="Normal 13 6 3 2 3" xfId="26892"/>
    <cellStyle name="Normal 13 6 3 3" xfId="14868"/>
    <cellStyle name="Normal 13 6 3 3 2" xfId="22883"/>
    <cellStyle name="Normal 13 6 3 3 2 2" xfId="36908"/>
    <cellStyle name="Normal 13 6 3 3 3" xfId="28897"/>
    <cellStyle name="Normal 13 6 3 4" xfId="16874"/>
    <cellStyle name="Normal 13 6 3 4 2" xfId="30899"/>
    <cellStyle name="Normal 13 6 3 5" xfId="18876"/>
    <cellStyle name="Normal 13 6 3 5 2" xfId="32901"/>
    <cellStyle name="Normal 13 6 3 6" xfId="24890"/>
    <cellStyle name="Normal 13 6 4" xfId="12850"/>
    <cellStyle name="Normal 13 6 4 2" xfId="20875"/>
    <cellStyle name="Normal 13 6 4 2 2" xfId="34900"/>
    <cellStyle name="Normal 13 6 4 3" xfId="26889"/>
    <cellStyle name="Normal 13 6 5" xfId="14865"/>
    <cellStyle name="Normal 13 6 5 2" xfId="22880"/>
    <cellStyle name="Normal 13 6 5 2 2" xfId="36905"/>
    <cellStyle name="Normal 13 6 5 3" xfId="28894"/>
    <cellStyle name="Normal 13 6 6" xfId="16871"/>
    <cellStyle name="Normal 13 6 6 2" xfId="30896"/>
    <cellStyle name="Normal 13 6 7" xfId="18873"/>
    <cellStyle name="Normal 13 6 7 2" xfId="32898"/>
    <cellStyle name="Normal 13 6 8" xfId="24887"/>
    <cellStyle name="Normal 13 7" xfId="2253"/>
    <cellStyle name="Normal 13 7 2" xfId="2254"/>
    <cellStyle name="Normal 13 7 2 2" xfId="12855"/>
    <cellStyle name="Normal 13 7 2 2 2" xfId="20880"/>
    <cellStyle name="Normal 13 7 2 2 2 2" xfId="34905"/>
    <cellStyle name="Normal 13 7 2 2 3" xfId="26894"/>
    <cellStyle name="Normal 13 7 2 3" xfId="14870"/>
    <cellStyle name="Normal 13 7 2 3 2" xfId="22885"/>
    <cellStyle name="Normal 13 7 2 3 2 2" xfId="36910"/>
    <cellStyle name="Normal 13 7 2 3 3" xfId="28899"/>
    <cellStyle name="Normal 13 7 2 4" xfId="16876"/>
    <cellStyle name="Normal 13 7 2 4 2" xfId="30901"/>
    <cellStyle name="Normal 13 7 2 5" xfId="18878"/>
    <cellStyle name="Normal 13 7 2 5 2" xfId="32903"/>
    <cellStyle name="Normal 13 7 2 6" xfId="24892"/>
    <cellStyle name="Normal 13 7 3" xfId="12854"/>
    <cellStyle name="Normal 13 7 3 2" xfId="20879"/>
    <cellStyle name="Normal 13 7 3 2 2" xfId="34904"/>
    <cellStyle name="Normal 13 7 3 3" xfId="26893"/>
    <cellStyle name="Normal 13 7 4" xfId="14869"/>
    <cellStyle name="Normal 13 7 4 2" xfId="22884"/>
    <cellStyle name="Normal 13 7 4 2 2" xfId="36909"/>
    <cellStyle name="Normal 13 7 4 3" xfId="28898"/>
    <cellStyle name="Normal 13 7 5" xfId="16875"/>
    <cellStyle name="Normal 13 7 5 2" xfId="30900"/>
    <cellStyle name="Normal 13 7 6" xfId="18877"/>
    <cellStyle name="Normal 13 7 6 2" xfId="32902"/>
    <cellStyle name="Normal 13 7 7" xfId="24891"/>
    <cellStyle name="Normal 13 8" xfId="2255"/>
    <cellStyle name="Normal 13 8 2" xfId="2256"/>
    <cellStyle name="Normal 13 8 2 2" xfId="12857"/>
    <cellStyle name="Normal 13 8 2 2 2" xfId="20882"/>
    <cellStyle name="Normal 13 8 2 2 2 2" xfId="34907"/>
    <cellStyle name="Normal 13 8 2 2 3" xfId="26896"/>
    <cellStyle name="Normal 13 8 2 3" xfId="14872"/>
    <cellStyle name="Normal 13 8 2 3 2" xfId="22887"/>
    <cellStyle name="Normal 13 8 2 3 2 2" xfId="36912"/>
    <cellStyle name="Normal 13 8 2 3 3" xfId="28901"/>
    <cellStyle name="Normal 13 8 2 4" xfId="16878"/>
    <cellStyle name="Normal 13 8 2 4 2" xfId="30903"/>
    <cellStyle name="Normal 13 8 2 5" xfId="18880"/>
    <cellStyle name="Normal 13 8 2 5 2" xfId="32905"/>
    <cellStyle name="Normal 13 8 2 6" xfId="24894"/>
    <cellStyle name="Normal 13 8 3" xfId="12856"/>
    <cellStyle name="Normal 13 8 3 2" xfId="20881"/>
    <cellStyle name="Normal 13 8 3 2 2" xfId="34906"/>
    <cellStyle name="Normal 13 8 3 3" xfId="26895"/>
    <cellStyle name="Normal 13 8 4" xfId="14871"/>
    <cellStyle name="Normal 13 8 4 2" xfId="22886"/>
    <cellStyle name="Normal 13 8 4 2 2" xfId="36911"/>
    <cellStyle name="Normal 13 8 4 3" xfId="28900"/>
    <cellStyle name="Normal 13 8 5" xfId="16877"/>
    <cellStyle name="Normal 13 8 5 2" xfId="30902"/>
    <cellStyle name="Normal 13 8 6" xfId="18879"/>
    <cellStyle name="Normal 13 8 6 2" xfId="32904"/>
    <cellStyle name="Normal 13 8 7" xfId="24893"/>
    <cellStyle name="Normal 13 9" xfId="2257"/>
    <cellStyle name="Normal 13 9 2" xfId="12858"/>
    <cellStyle name="Normal 13 9 2 2" xfId="20883"/>
    <cellStyle name="Normal 13 9 2 2 2" xfId="34908"/>
    <cellStyle name="Normal 13 9 2 3" xfId="26897"/>
    <cellStyle name="Normal 13 9 3" xfId="14873"/>
    <cellStyle name="Normal 13 9 3 2" xfId="22888"/>
    <cellStyle name="Normal 13 9 3 2 2" xfId="36913"/>
    <cellStyle name="Normal 13 9 3 3" xfId="28902"/>
    <cellStyle name="Normal 13 9 4" xfId="16879"/>
    <cellStyle name="Normal 13 9 4 2" xfId="30904"/>
    <cellStyle name="Normal 13 9 5" xfId="18881"/>
    <cellStyle name="Normal 13 9 5 2" xfId="32906"/>
    <cellStyle name="Normal 13 9 6" xfId="24895"/>
    <cellStyle name="Normal 13_3 - Revenue Credits" xfId="493"/>
    <cellStyle name="Normal 14" xfId="494"/>
    <cellStyle name="Normal 14 2" xfId="2258"/>
    <cellStyle name="Normal 14 2 10" xfId="16880"/>
    <cellStyle name="Normal 14 2 10 2" xfId="30905"/>
    <cellStyle name="Normal 14 2 11" xfId="18882"/>
    <cellStyle name="Normal 14 2 11 2" xfId="32907"/>
    <cellStyle name="Normal 14 2 12" xfId="24896"/>
    <cellStyle name="Normal 14 2 2" xfId="2259"/>
    <cellStyle name="Normal 14 2 2 10" xfId="18883"/>
    <cellStyle name="Normal 14 2 2 10 2" xfId="32908"/>
    <cellStyle name="Normal 14 2 2 11" xfId="24897"/>
    <cellStyle name="Normal 14 2 2 2" xfId="2260"/>
    <cellStyle name="Normal 14 2 2 2 10" xfId="24898"/>
    <cellStyle name="Normal 14 2 2 2 2" xfId="2261"/>
    <cellStyle name="Normal 14 2 2 2 2 2" xfId="2262"/>
    <cellStyle name="Normal 14 2 2 2 2 2 2" xfId="2263"/>
    <cellStyle name="Normal 14 2 2 2 2 2 2 2" xfId="12864"/>
    <cellStyle name="Normal 14 2 2 2 2 2 2 2 2" xfId="20889"/>
    <cellStyle name="Normal 14 2 2 2 2 2 2 2 2 2" xfId="34914"/>
    <cellStyle name="Normal 14 2 2 2 2 2 2 2 3" xfId="26903"/>
    <cellStyle name="Normal 14 2 2 2 2 2 2 3" xfId="14879"/>
    <cellStyle name="Normal 14 2 2 2 2 2 2 3 2" xfId="22894"/>
    <cellStyle name="Normal 14 2 2 2 2 2 2 3 2 2" xfId="36919"/>
    <cellStyle name="Normal 14 2 2 2 2 2 2 3 3" xfId="28908"/>
    <cellStyle name="Normal 14 2 2 2 2 2 2 4" xfId="16885"/>
    <cellStyle name="Normal 14 2 2 2 2 2 2 4 2" xfId="30910"/>
    <cellStyle name="Normal 14 2 2 2 2 2 2 5" xfId="18887"/>
    <cellStyle name="Normal 14 2 2 2 2 2 2 5 2" xfId="32912"/>
    <cellStyle name="Normal 14 2 2 2 2 2 2 6" xfId="24901"/>
    <cellStyle name="Normal 14 2 2 2 2 2 3" xfId="12863"/>
    <cellStyle name="Normal 14 2 2 2 2 2 3 2" xfId="20888"/>
    <cellStyle name="Normal 14 2 2 2 2 2 3 2 2" xfId="34913"/>
    <cellStyle name="Normal 14 2 2 2 2 2 3 3" xfId="26902"/>
    <cellStyle name="Normal 14 2 2 2 2 2 4" xfId="14878"/>
    <cellStyle name="Normal 14 2 2 2 2 2 4 2" xfId="22893"/>
    <cellStyle name="Normal 14 2 2 2 2 2 4 2 2" xfId="36918"/>
    <cellStyle name="Normal 14 2 2 2 2 2 4 3" xfId="28907"/>
    <cellStyle name="Normal 14 2 2 2 2 2 5" xfId="16884"/>
    <cellStyle name="Normal 14 2 2 2 2 2 5 2" xfId="30909"/>
    <cellStyle name="Normal 14 2 2 2 2 2 6" xfId="18886"/>
    <cellStyle name="Normal 14 2 2 2 2 2 6 2" xfId="32911"/>
    <cellStyle name="Normal 14 2 2 2 2 2 7" xfId="24900"/>
    <cellStyle name="Normal 14 2 2 2 2 3" xfId="2264"/>
    <cellStyle name="Normal 14 2 2 2 2 3 2" xfId="12865"/>
    <cellStyle name="Normal 14 2 2 2 2 3 2 2" xfId="20890"/>
    <cellStyle name="Normal 14 2 2 2 2 3 2 2 2" xfId="34915"/>
    <cellStyle name="Normal 14 2 2 2 2 3 2 3" xfId="26904"/>
    <cellStyle name="Normal 14 2 2 2 2 3 3" xfId="14880"/>
    <cellStyle name="Normal 14 2 2 2 2 3 3 2" xfId="22895"/>
    <cellStyle name="Normal 14 2 2 2 2 3 3 2 2" xfId="36920"/>
    <cellStyle name="Normal 14 2 2 2 2 3 3 3" xfId="28909"/>
    <cellStyle name="Normal 14 2 2 2 2 3 4" xfId="16886"/>
    <cellStyle name="Normal 14 2 2 2 2 3 4 2" xfId="30911"/>
    <cellStyle name="Normal 14 2 2 2 2 3 5" xfId="18888"/>
    <cellStyle name="Normal 14 2 2 2 2 3 5 2" xfId="32913"/>
    <cellStyle name="Normal 14 2 2 2 2 3 6" xfId="24902"/>
    <cellStyle name="Normal 14 2 2 2 2 4" xfId="12862"/>
    <cellStyle name="Normal 14 2 2 2 2 4 2" xfId="20887"/>
    <cellStyle name="Normal 14 2 2 2 2 4 2 2" xfId="34912"/>
    <cellStyle name="Normal 14 2 2 2 2 4 3" xfId="26901"/>
    <cellStyle name="Normal 14 2 2 2 2 5" xfId="14877"/>
    <cellStyle name="Normal 14 2 2 2 2 5 2" xfId="22892"/>
    <cellStyle name="Normal 14 2 2 2 2 5 2 2" xfId="36917"/>
    <cellStyle name="Normal 14 2 2 2 2 5 3" xfId="28906"/>
    <cellStyle name="Normal 14 2 2 2 2 6" xfId="16883"/>
    <cellStyle name="Normal 14 2 2 2 2 6 2" xfId="30908"/>
    <cellStyle name="Normal 14 2 2 2 2 7" xfId="18885"/>
    <cellStyle name="Normal 14 2 2 2 2 7 2" xfId="32910"/>
    <cellStyle name="Normal 14 2 2 2 2 8" xfId="24899"/>
    <cellStyle name="Normal 14 2 2 2 3" xfId="2265"/>
    <cellStyle name="Normal 14 2 2 2 3 2" xfId="2266"/>
    <cellStyle name="Normal 14 2 2 2 3 2 2" xfId="12867"/>
    <cellStyle name="Normal 14 2 2 2 3 2 2 2" xfId="20892"/>
    <cellStyle name="Normal 14 2 2 2 3 2 2 2 2" xfId="34917"/>
    <cellStyle name="Normal 14 2 2 2 3 2 2 3" xfId="26906"/>
    <cellStyle name="Normal 14 2 2 2 3 2 3" xfId="14882"/>
    <cellStyle name="Normal 14 2 2 2 3 2 3 2" xfId="22897"/>
    <cellStyle name="Normal 14 2 2 2 3 2 3 2 2" xfId="36922"/>
    <cellStyle name="Normal 14 2 2 2 3 2 3 3" xfId="28911"/>
    <cellStyle name="Normal 14 2 2 2 3 2 4" xfId="16888"/>
    <cellStyle name="Normal 14 2 2 2 3 2 4 2" xfId="30913"/>
    <cellStyle name="Normal 14 2 2 2 3 2 5" xfId="18890"/>
    <cellStyle name="Normal 14 2 2 2 3 2 5 2" xfId="32915"/>
    <cellStyle name="Normal 14 2 2 2 3 2 6" xfId="24904"/>
    <cellStyle name="Normal 14 2 2 2 3 3" xfId="12866"/>
    <cellStyle name="Normal 14 2 2 2 3 3 2" xfId="20891"/>
    <cellStyle name="Normal 14 2 2 2 3 3 2 2" xfId="34916"/>
    <cellStyle name="Normal 14 2 2 2 3 3 3" xfId="26905"/>
    <cellStyle name="Normal 14 2 2 2 3 4" xfId="14881"/>
    <cellStyle name="Normal 14 2 2 2 3 4 2" xfId="22896"/>
    <cellStyle name="Normal 14 2 2 2 3 4 2 2" xfId="36921"/>
    <cellStyle name="Normal 14 2 2 2 3 4 3" xfId="28910"/>
    <cellStyle name="Normal 14 2 2 2 3 5" xfId="16887"/>
    <cellStyle name="Normal 14 2 2 2 3 5 2" xfId="30912"/>
    <cellStyle name="Normal 14 2 2 2 3 6" xfId="18889"/>
    <cellStyle name="Normal 14 2 2 2 3 6 2" xfId="32914"/>
    <cellStyle name="Normal 14 2 2 2 3 7" xfId="24903"/>
    <cellStyle name="Normal 14 2 2 2 4" xfId="2267"/>
    <cellStyle name="Normal 14 2 2 2 4 2" xfId="2268"/>
    <cellStyle name="Normal 14 2 2 2 4 2 2" xfId="12869"/>
    <cellStyle name="Normal 14 2 2 2 4 2 2 2" xfId="20894"/>
    <cellStyle name="Normal 14 2 2 2 4 2 2 2 2" xfId="34919"/>
    <cellStyle name="Normal 14 2 2 2 4 2 2 3" xfId="26908"/>
    <cellStyle name="Normal 14 2 2 2 4 2 3" xfId="14884"/>
    <cellStyle name="Normal 14 2 2 2 4 2 3 2" xfId="22899"/>
    <cellStyle name="Normal 14 2 2 2 4 2 3 2 2" xfId="36924"/>
    <cellStyle name="Normal 14 2 2 2 4 2 3 3" xfId="28913"/>
    <cellStyle name="Normal 14 2 2 2 4 2 4" xfId="16890"/>
    <cellStyle name="Normal 14 2 2 2 4 2 4 2" xfId="30915"/>
    <cellStyle name="Normal 14 2 2 2 4 2 5" xfId="18892"/>
    <cellStyle name="Normal 14 2 2 2 4 2 5 2" xfId="32917"/>
    <cellStyle name="Normal 14 2 2 2 4 2 6" xfId="24906"/>
    <cellStyle name="Normal 14 2 2 2 4 3" xfId="12868"/>
    <cellStyle name="Normal 14 2 2 2 4 3 2" xfId="20893"/>
    <cellStyle name="Normal 14 2 2 2 4 3 2 2" xfId="34918"/>
    <cellStyle name="Normal 14 2 2 2 4 3 3" xfId="26907"/>
    <cellStyle name="Normal 14 2 2 2 4 4" xfId="14883"/>
    <cellStyle name="Normal 14 2 2 2 4 4 2" xfId="22898"/>
    <cellStyle name="Normal 14 2 2 2 4 4 2 2" xfId="36923"/>
    <cellStyle name="Normal 14 2 2 2 4 4 3" xfId="28912"/>
    <cellStyle name="Normal 14 2 2 2 4 5" xfId="16889"/>
    <cellStyle name="Normal 14 2 2 2 4 5 2" xfId="30914"/>
    <cellStyle name="Normal 14 2 2 2 4 6" xfId="18891"/>
    <cellStyle name="Normal 14 2 2 2 4 6 2" xfId="32916"/>
    <cellStyle name="Normal 14 2 2 2 4 7" xfId="24905"/>
    <cellStyle name="Normal 14 2 2 2 5" xfId="2269"/>
    <cellStyle name="Normal 14 2 2 2 5 2" xfId="12870"/>
    <cellStyle name="Normal 14 2 2 2 5 2 2" xfId="20895"/>
    <cellStyle name="Normal 14 2 2 2 5 2 2 2" xfId="34920"/>
    <cellStyle name="Normal 14 2 2 2 5 2 3" xfId="26909"/>
    <cellStyle name="Normal 14 2 2 2 5 3" xfId="14885"/>
    <cellStyle name="Normal 14 2 2 2 5 3 2" xfId="22900"/>
    <cellStyle name="Normal 14 2 2 2 5 3 2 2" xfId="36925"/>
    <cellStyle name="Normal 14 2 2 2 5 3 3" xfId="28914"/>
    <cellStyle name="Normal 14 2 2 2 5 4" xfId="16891"/>
    <cellStyle name="Normal 14 2 2 2 5 4 2" xfId="30916"/>
    <cellStyle name="Normal 14 2 2 2 5 5" xfId="18893"/>
    <cellStyle name="Normal 14 2 2 2 5 5 2" xfId="32918"/>
    <cellStyle name="Normal 14 2 2 2 5 6" xfId="24907"/>
    <cellStyle name="Normal 14 2 2 2 6" xfId="12861"/>
    <cellStyle name="Normal 14 2 2 2 6 2" xfId="20886"/>
    <cellStyle name="Normal 14 2 2 2 6 2 2" xfId="34911"/>
    <cellStyle name="Normal 14 2 2 2 6 3" xfId="26900"/>
    <cellStyle name="Normal 14 2 2 2 7" xfId="14876"/>
    <cellStyle name="Normal 14 2 2 2 7 2" xfId="22891"/>
    <cellStyle name="Normal 14 2 2 2 7 2 2" xfId="36916"/>
    <cellStyle name="Normal 14 2 2 2 7 3" xfId="28905"/>
    <cellStyle name="Normal 14 2 2 2 8" xfId="16882"/>
    <cellStyle name="Normal 14 2 2 2 8 2" xfId="30907"/>
    <cellStyle name="Normal 14 2 2 2 9" xfId="18884"/>
    <cellStyle name="Normal 14 2 2 2 9 2" xfId="32909"/>
    <cellStyle name="Normal 14 2 2 3" xfId="2270"/>
    <cellStyle name="Normal 14 2 2 3 2" xfId="2271"/>
    <cellStyle name="Normal 14 2 2 3 2 2" xfId="2272"/>
    <cellStyle name="Normal 14 2 2 3 2 2 2" xfId="12873"/>
    <cellStyle name="Normal 14 2 2 3 2 2 2 2" xfId="20898"/>
    <cellStyle name="Normal 14 2 2 3 2 2 2 2 2" xfId="34923"/>
    <cellStyle name="Normal 14 2 2 3 2 2 2 3" xfId="26912"/>
    <cellStyle name="Normal 14 2 2 3 2 2 3" xfId="14888"/>
    <cellStyle name="Normal 14 2 2 3 2 2 3 2" xfId="22903"/>
    <cellStyle name="Normal 14 2 2 3 2 2 3 2 2" xfId="36928"/>
    <cellStyle name="Normal 14 2 2 3 2 2 3 3" xfId="28917"/>
    <cellStyle name="Normal 14 2 2 3 2 2 4" xfId="16894"/>
    <cellStyle name="Normal 14 2 2 3 2 2 4 2" xfId="30919"/>
    <cellStyle name="Normal 14 2 2 3 2 2 5" xfId="18896"/>
    <cellStyle name="Normal 14 2 2 3 2 2 5 2" xfId="32921"/>
    <cellStyle name="Normal 14 2 2 3 2 2 6" xfId="24910"/>
    <cellStyle name="Normal 14 2 2 3 2 3" xfId="12872"/>
    <cellStyle name="Normal 14 2 2 3 2 3 2" xfId="20897"/>
    <cellStyle name="Normal 14 2 2 3 2 3 2 2" xfId="34922"/>
    <cellStyle name="Normal 14 2 2 3 2 3 3" xfId="26911"/>
    <cellStyle name="Normal 14 2 2 3 2 4" xfId="14887"/>
    <cellStyle name="Normal 14 2 2 3 2 4 2" xfId="22902"/>
    <cellStyle name="Normal 14 2 2 3 2 4 2 2" xfId="36927"/>
    <cellStyle name="Normal 14 2 2 3 2 4 3" xfId="28916"/>
    <cellStyle name="Normal 14 2 2 3 2 5" xfId="16893"/>
    <cellStyle name="Normal 14 2 2 3 2 5 2" xfId="30918"/>
    <cellStyle name="Normal 14 2 2 3 2 6" xfId="18895"/>
    <cellStyle name="Normal 14 2 2 3 2 6 2" xfId="32920"/>
    <cellStyle name="Normal 14 2 2 3 2 7" xfId="24909"/>
    <cellStyle name="Normal 14 2 2 3 3" xfId="2273"/>
    <cellStyle name="Normal 14 2 2 3 3 2" xfId="12874"/>
    <cellStyle name="Normal 14 2 2 3 3 2 2" xfId="20899"/>
    <cellStyle name="Normal 14 2 2 3 3 2 2 2" xfId="34924"/>
    <cellStyle name="Normal 14 2 2 3 3 2 3" xfId="26913"/>
    <cellStyle name="Normal 14 2 2 3 3 3" xfId="14889"/>
    <cellStyle name="Normal 14 2 2 3 3 3 2" xfId="22904"/>
    <cellStyle name="Normal 14 2 2 3 3 3 2 2" xfId="36929"/>
    <cellStyle name="Normal 14 2 2 3 3 3 3" xfId="28918"/>
    <cellStyle name="Normal 14 2 2 3 3 4" xfId="16895"/>
    <cellStyle name="Normal 14 2 2 3 3 4 2" xfId="30920"/>
    <cellStyle name="Normal 14 2 2 3 3 5" xfId="18897"/>
    <cellStyle name="Normal 14 2 2 3 3 5 2" xfId="32922"/>
    <cellStyle name="Normal 14 2 2 3 3 6" xfId="24911"/>
    <cellStyle name="Normal 14 2 2 3 4" xfId="12871"/>
    <cellStyle name="Normal 14 2 2 3 4 2" xfId="20896"/>
    <cellStyle name="Normal 14 2 2 3 4 2 2" xfId="34921"/>
    <cellStyle name="Normal 14 2 2 3 4 3" xfId="26910"/>
    <cellStyle name="Normal 14 2 2 3 5" xfId="14886"/>
    <cellStyle name="Normal 14 2 2 3 5 2" xfId="22901"/>
    <cellStyle name="Normal 14 2 2 3 5 2 2" xfId="36926"/>
    <cellStyle name="Normal 14 2 2 3 5 3" xfId="28915"/>
    <cellStyle name="Normal 14 2 2 3 6" xfId="16892"/>
    <cellStyle name="Normal 14 2 2 3 6 2" xfId="30917"/>
    <cellStyle name="Normal 14 2 2 3 7" xfId="18894"/>
    <cellStyle name="Normal 14 2 2 3 7 2" xfId="32919"/>
    <cellStyle name="Normal 14 2 2 3 8" xfId="24908"/>
    <cellStyle name="Normal 14 2 2 4" xfId="2274"/>
    <cellStyle name="Normal 14 2 2 4 2" xfId="2275"/>
    <cellStyle name="Normal 14 2 2 4 2 2" xfId="12876"/>
    <cellStyle name="Normal 14 2 2 4 2 2 2" xfId="20901"/>
    <cellStyle name="Normal 14 2 2 4 2 2 2 2" xfId="34926"/>
    <cellStyle name="Normal 14 2 2 4 2 2 3" xfId="26915"/>
    <cellStyle name="Normal 14 2 2 4 2 3" xfId="14891"/>
    <cellStyle name="Normal 14 2 2 4 2 3 2" xfId="22906"/>
    <cellStyle name="Normal 14 2 2 4 2 3 2 2" xfId="36931"/>
    <cellStyle name="Normal 14 2 2 4 2 3 3" xfId="28920"/>
    <cellStyle name="Normal 14 2 2 4 2 4" xfId="16897"/>
    <cellStyle name="Normal 14 2 2 4 2 4 2" xfId="30922"/>
    <cellStyle name="Normal 14 2 2 4 2 5" xfId="18899"/>
    <cellStyle name="Normal 14 2 2 4 2 5 2" xfId="32924"/>
    <cellStyle name="Normal 14 2 2 4 2 6" xfId="24913"/>
    <cellStyle name="Normal 14 2 2 4 3" xfId="12875"/>
    <cellStyle name="Normal 14 2 2 4 3 2" xfId="20900"/>
    <cellStyle name="Normal 14 2 2 4 3 2 2" xfId="34925"/>
    <cellStyle name="Normal 14 2 2 4 3 3" xfId="26914"/>
    <cellStyle name="Normal 14 2 2 4 4" xfId="14890"/>
    <cellStyle name="Normal 14 2 2 4 4 2" xfId="22905"/>
    <cellStyle name="Normal 14 2 2 4 4 2 2" xfId="36930"/>
    <cellStyle name="Normal 14 2 2 4 4 3" xfId="28919"/>
    <cellStyle name="Normal 14 2 2 4 5" xfId="16896"/>
    <cellStyle name="Normal 14 2 2 4 5 2" xfId="30921"/>
    <cellStyle name="Normal 14 2 2 4 6" xfId="18898"/>
    <cellStyle name="Normal 14 2 2 4 6 2" xfId="32923"/>
    <cellStyle name="Normal 14 2 2 4 7" xfId="24912"/>
    <cellStyle name="Normal 14 2 2 5" xfId="2276"/>
    <cellStyle name="Normal 14 2 2 5 2" xfId="2277"/>
    <cellStyle name="Normal 14 2 2 5 2 2" xfId="12878"/>
    <cellStyle name="Normal 14 2 2 5 2 2 2" xfId="20903"/>
    <cellStyle name="Normal 14 2 2 5 2 2 2 2" xfId="34928"/>
    <cellStyle name="Normal 14 2 2 5 2 2 3" xfId="26917"/>
    <cellStyle name="Normal 14 2 2 5 2 3" xfId="14893"/>
    <cellStyle name="Normal 14 2 2 5 2 3 2" xfId="22908"/>
    <cellStyle name="Normal 14 2 2 5 2 3 2 2" xfId="36933"/>
    <cellStyle name="Normal 14 2 2 5 2 3 3" xfId="28922"/>
    <cellStyle name="Normal 14 2 2 5 2 4" xfId="16899"/>
    <cellStyle name="Normal 14 2 2 5 2 4 2" xfId="30924"/>
    <cellStyle name="Normal 14 2 2 5 2 5" xfId="18901"/>
    <cellStyle name="Normal 14 2 2 5 2 5 2" xfId="32926"/>
    <cellStyle name="Normal 14 2 2 5 2 6" xfId="24915"/>
    <cellStyle name="Normal 14 2 2 5 3" xfId="12877"/>
    <cellStyle name="Normal 14 2 2 5 3 2" xfId="20902"/>
    <cellStyle name="Normal 14 2 2 5 3 2 2" xfId="34927"/>
    <cellStyle name="Normal 14 2 2 5 3 3" xfId="26916"/>
    <cellStyle name="Normal 14 2 2 5 4" xfId="14892"/>
    <cellStyle name="Normal 14 2 2 5 4 2" xfId="22907"/>
    <cellStyle name="Normal 14 2 2 5 4 2 2" xfId="36932"/>
    <cellStyle name="Normal 14 2 2 5 4 3" xfId="28921"/>
    <cellStyle name="Normal 14 2 2 5 5" xfId="16898"/>
    <cellStyle name="Normal 14 2 2 5 5 2" xfId="30923"/>
    <cellStyle name="Normal 14 2 2 5 6" xfId="18900"/>
    <cellStyle name="Normal 14 2 2 5 6 2" xfId="32925"/>
    <cellStyle name="Normal 14 2 2 5 7" xfId="24914"/>
    <cellStyle name="Normal 14 2 2 6" xfId="2278"/>
    <cellStyle name="Normal 14 2 2 6 2" xfId="12879"/>
    <cellStyle name="Normal 14 2 2 6 2 2" xfId="20904"/>
    <cellStyle name="Normal 14 2 2 6 2 2 2" xfId="34929"/>
    <cellStyle name="Normal 14 2 2 6 2 3" xfId="26918"/>
    <cellStyle name="Normal 14 2 2 6 3" xfId="14894"/>
    <cellStyle name="Normal 14 2 2 6 3 2" xfId="22909"/>
    <cellStyle name="Normal 14 2 2 6 3 2 2" xfId="36934"/>
    <cellStyle name="Normal 14 2 2 6 3 3" xfId="28923"/>
    <cellStyle name="Normal 14 2 2 6 4" xfId="16900"/>
    <cellStyle name="Normal 14 2 2 6 4 2" xfId="30925"/>
    <cellStyle name="Normal 14 2 2 6 5" xfId="18902"/>
    <cellStyle name="Normal 14 2 2 6 5 2" xfId="32927"/>
    <cellStyle name="Normal 14 2 2 6 6" xfId="24916"/>
    <cellStyle name="Normal 14 2 2 7" xfId="12860"/>
    <cellStyle name="Normal 14 2 2 7 2" xfId="20885"/>
    <cellStyle name="Normal 14 2 2 7 2 2" xfId="34910"/>
    <cellStyle name="Normal 14 2 2 7 3" xfId="26899"/>
    <cellStyle name="Normal 14 2 2 8" xfId="14875"/>
    <cellStyle name="Normal 14 2 2 8 2" xfId="22890"/>
    <cellStyle name="Normal 14 2 2 8 2 2" xfId="36915"/>
    <cellStyle name="Normal 14 2 2 8 3" xfId="28904"/>
    <cellStyle name="Normal 14 2 2 9" xfId="16881"/>
    <cellStyle name="Normal 14 2 2 9 2" xfId="30906"/>
    <cellStyle name="Normal 14 2 3" xfId="2279"/>
    <cellStyle name="Normal 14 2 3 10" xfId="24917"/>
    <cellStyle name="Normal 14 2 3 2" xfId="2280"/>
    <cellStyle name="Normal 14 2 3 2 2" xfId="2281"/>
    <cellStyle name="Normal 14 2 3 2 2 2" xfId="2282"/>
    <cellStyle name="Normal 14 2 3 2 2 2 2" xfId="12883"/>
    <cellStyle name="Normal 14 2 3 2 2 2 2 2" xfId="20908"/>
    <cellStyle name="Normal 14 2 3 2 2 2 2 2 2" xfId="34933"/>
    <cellStyle name="Normal 14 2 3 2 2 2 2 3" xfId="26922"/>
    <cellStyle name="Normal 14 2 3 2 2 2 3" xfId="14898"/>
    <cellStyle name="Normal 14 2 3 2 2 2 3 2" xfId="22913"/>
    <cellStyle name="Normal 14 2 3 2 2 2 3 2 2" xfId="36938"/>
    <cellStyle name="Normal 14 2 3 2 2 2 3 3" xfId="28927"/>
    <cellStyle name="Normal 14 2 3 2 2 2 4" xfId="16904"/>
    <cellStyle name="Normal 14 2 3 2 2 2 4 2" xfId="30929"/>
    <cellStyle name="Normal 14 2 3 2 2 2 5" xfId="18906"/>
    <cellStyle name="Normal 14 2 3 2 2 2 5 2" xfId="32931"/>
    <cellStyle name="Normal 14 2 3 2 2 2 6" xfId="24920"/>
    <cellStyle name="Normal 14 2 3 2 2 3" xfId="12882"/>
    <cellStyle name="Normal 14 2 3 2 2 3 2" xfId="20907"/>
    <cellStyle name="Normal 14 2 3 2 2 3 2 2" xfId="34932"/>
    <cellStyle name="Normal 14 2 3 2 2 3 3" xfId="26921"/>
    <cellStyle name="Normal 14 2 3 2 2 4" xfId="14897"/>
    <cellStyle name="Normal 14 2 3 2 2 4 2" xfId="22912"/>
    <cellStyle name="Normal 14 2 3 2 2 4 2 2" xfId="36937"/>
    <cellStyle name="Normal 14 2 3 2 2 4 3" xfId="28926"/>
    <cellStyle name="Normal 14 2 3 2 2 5" xfId="16903"/>
    <cellStyle name="Normal 14 2 3 2 2 5 2" xfId="30928"/>
    <cellStyle name="Normal 14 2 3 2 2 6" xfId="18905"/>
    <cellStyle name="Normal 14 2 3 2 2 6 2" xfId="32930"/>
    <cellStyle name="Normal 14 2 3 2 2 7" xfId="24919"/>
    <cellStyle name="Normal 14 2 3 2 3" xfId="2283"/>
    <cellStyle name="Normal 14 2 3 2 3 2" xfId="12884"/>
    <cellStyle name="Normal 14 2 3 2 3 2 2" xfId="20909"/>
    <cellStyle name="Normal 14 2 3 2 3 2 2 2" xfId="34934"/>
    <cellStyle name="Normal 14 2 3 2 3 2 3" xfId="26923"/>
    <cellStyle name="Normal 14 2 3 2 3 3" xfId="14899"/>
    <cellStyle name="Normal 14 2 3 2 3 3 2" xfId="22914"/>
    <cellStyle name="Normal 14 2 3 2 3 3 2 2" xfId="36939"/>
    <cellStyle name="Normal 14 2 3 2 3 3 3" xfId="28928"/>
    <cellStyle name="Normal 14 2 3 2 3 4" xfId="16905"/>
    <cellStyle name="Normal 14 2 3 2 3 4 2" xfId="30930"/>
    <cellStyle name="Normal 14 2 3 2 3 5" xfId="18907"/>
    <cellStyle name="Normal 14 2 3 2 3 5 2" xfId="32932"/>
    <cellStyle name="Normal 14 2 3 2 3 6" xfId="24921"/>
    <cellStyle name="Normal 14 2 3 2 4" xfId="12881"/>
    <cellStyle name="Normal 14 2 3 2 4 2" xfId="20906"/>
    <cellStyle name="Normal 14 2 3 2 4 2 2" xfId="34931"/>
    <cellStyle name="Normal 14 2 3 2 4 3" xfId="26920"/>
    <cellStyle name="Normal 14 2 3 2 5" xfId="14896"/>
    <cellStyle name="Normal 14 2 3 2 5 2" xfId="22911"/>
    <cellStyle name="Normal 14 2 3 2 5 2 2" xfId="36936"/>
    <cellStyle name="Normal 14 2 3 2 5 3" xfId="28925"/>
    <cellStyle name="Normal 14 2 3 2 6" xfId="16902"/>
    <cellStyle name="Normal 14 2 3 2 6 2" xfId="30927"/>
    <cellStyle name="Normal 14 2 3 2 7" xfId="18904"/>
    <cellStyle name="Normal 14 2 3 2 7 2" xfId="32929"/>
    <cellStyle name="Normal 14 2 3 2 8" xfId="24918"/>
    <cellStyle name="Normal 14 2 3 3" xfId="2284"/>
    <cellStyle name="Normal 14 2 3 3 2" xfId="2285"/>
    <cellStyle name="Normal 14 2 3 3 2 2" xfId="12886"/>
    <cellStyle name="Normal 14 2 3 3 2 2 2" xfId="20911"/>
    <cellStyle name="Normal 14 2 3 3 2 2 2 2" xfId="34936"/>
    <cellStyle name="Normal 14 2 3 3 2 2 3" xfId="26925"/>
    <cellStyle name="Normal 14 2 3 3 2 3" xfId="14901"/>
    <cellStyle name="Normal 14 2 3 3 2 3 2" xfId="22916"/>
    <cellStyle name="Normal 14 2 3 3 2 3 2 2" xfId="36941"/>
    <cellStyle name="Normal 14 2 3 3 2 3 3" xfId="28930"/>
    <cellStyle name="Normal 14 2 3 3 2 4" xfId="16907"/>
    <cellStyle name="Normal 14 2 3 3 2 4 2" xfId="30932"/>
    <cellStyle name="Normal 14 2 3 3 2 5" xfId="18909"/>
    <cellStyle name="Normal 14 2 3 3 2 5 2" xfId="32934"/>
    <cellStyle name="Normal 14 2 3 3 2 6" xfId="24923"/>
    <cellStyle name="Normal 14 2 3 3 3" xfId="12885"/>
    <cellStyle name="Normal 14 2 3 3 3 2" xfId="20910"/>
    <cellStyle name="Normal 14 2 3 3 3 2 2" xfId="34935"/>
    <cellStyle name="Normal 14 2 3 3 3 3" xfId="26924"/>
    <cellStyle name="Normal 14 2 3 3 4" xfId="14900"/>
    <cellStyle name="Normal 14 2 3 3 4 2" xfId="22915"/>
    <cellStyle name="Normal 14 2 3 3 4 2 2" xfId="36940"/>
    <cellStyle name="Normal 14 2 3 3 4 3" xfId="28929"/>
    <cellStyle name="Normal 14 2 3 3 5" xfId="16906"/>
    <cellStyle name="Normal 14 2 3 3 5 2" xfId="30931"/>
    <cellStyle name="Normal 14 2 3 3 6" xfId="18908"/>
    <cellStyle name="Normal 14 2 3 3 6 2" xfId="32933"/>
    <cellStyle name="Normal 14 2 3 3 7" xfId="24922"/>
    <cellStyle name="Normal 14 2 3 4" xfId="2286"/>
    <cellStyle name="Normal 14 2 3 4 2" xfId="2287"/>
    <cellStyle name="Normal 14 2 3 4 2 2" xfId="12888"/>
    <cellStyle name="Normal 14 2 3 4 2 2 2" xfId="20913"/>
    <cellStyle name="Normal 14 2 3 4 2 2 2 2" xfId="34938"/>
    <cellStyle name="Normal 14 2 3 4 2 2 3" xfId="26927"/>
    <cellStyle name="Normal 14 2 3 4 2 3" xfId="14903"/>
    <cellStyle name="Normal 14 2 3 4 2 3 2" xfId="22918"/>
    <cellStyle name="Normal 14 2 3 4 2 3 2 2" xfId="36943"/>
    <cellStyle name="Normal 14 2 3 4 2 3 3" xfId="28932"/>
    <cellStyle name="Normal 14 2 3 4 2 4" xfId="16909"/>
    <cellStyle name="Normal 14 2 3 4 2 4 2" xfId="30934"/>
    <cellStyle name="Normal 14 2 3 4 2 5" xfId="18911"/>
    <cellStyle name="Normal 14 2 3 4 2 5 2" xfId="32936"/>
    <cellStyle name="Normal 14 2 3 4 2 6" xfId="24925"/>
    <cellStyle name="Normal 14 2 3 4 3" xfId="12887"/>
    <cellStyle name="Normal 14 2 3 4 3 2" xfId="20912"/>
    <cellStyle name="Normal 14 2 3 4 3 2 2" xfId="34937"/>
    <cellStyle name="Normal 14 2 3 4 3 3" xfId="26926"/>
    <cellStyle name="Normal 14 2 3 4 4" xfId="14902"/>
    <cellStyle name="Normal 14 2 3 4 4 2" xfId="22917"/>
    <cellStyle name="Normal 14 2 3 4 4 2 2" xfId="36942"/>
    <cellStyle name="Normal 14 2 3 4 4 3" xfId="28931"/>
    <cellStyle name="Normal 14 2 3 4 5" xfId="16908"/>
    <cellStyle name="Normal 14 2 3 4 5 2" xfId="30933"/>
    <cellStyle name="Normal 14 2 3 4 6" xfId="18910"/>
    <cellStyle name="Normal 14 2 3 4 6 2" xfId="32935"/>
    <cellStyle name="Normal 14 2 3 4 7" xfId="24924"/>
    <cellStyle name="Normal 14 2 3 5" xfId="2288"/>
    <cellStyle name="Normal 14 2 3 5 2" xfId="12889"/>
    <cellStyle name="Normal 14 2 3 5 2 2" xfId="20914"/>
    <cellStyle name="Normal 14 2 3 5 2 2 2" xfId="34939"/>
    <cellStyle name="Normal 14 2 3 5 2 3" xfId="26928"/>
    <cellStyle name="Normal 14 2 3 5 3" xfId="14904"/>
    <cellStyle name="Normal 14 2 3 5 3 2" xfId="22919"/>
    <cellStyle name="Normal 14 2 3 5 3 2 2" xfId="36944"/>
    <cellStyle name="Normal 14 2 3 5 3 3" xfId="28933"/>
    <cellStyle name="Normal 14 2 3 5 4" xfId="16910"/>
    <cellStyle name="Normal 14 2 3 5 4 2" xfId="30935"/>
    <cellStyle name="Normal 14 2 3 5 5" xfId="18912"/>
    <cellStyle name="Normal 14 2 3 5 5 2" xfId="32937"/>
    <cellStyle name="Normal 14 2 3 5 6" xfId="24926"/>
    <cellStyle name="Normal 14 2 3 6" xfId="12880"/>
    <cellStyle name="Normal 14 2 3 6 2" xfId="20905"/>
    <cellStyle name="Normal 14 2 3 6 2 2" xfId="34930"/>
    <cellStyle name="Normal 14 2 3 6 3" xfId="26919"/>
    <cellStyle name="Normal 14 2 3 7" xfId="14895"/>
    <cellStyle name="Normal 14 2 3 7 2" xfId="22910"/>
    <cellStyle name="Normal 14 2 3 7 2 2" xfId="36935"/>
    <cellStyle name="Normal 14 2 3 7 3" xfId="28924"/>
    <cellStyle name="Normal 14 2 3 8" xfId="16901"/>
    <cellStyle name="Normal 14 2 3 8 2" xfId="30926"/>
    <cellStyle name="Normal 14 2 3 9" xfId="18903"/>
    <cellStyle name="Normal 14 2 3 9 2" xfId="32928"/>
    <cellStyle name="Normal 14 2 4" xfId="2289"/>
    <cellStyle name="Normal 14 2 4 2" xfId="2290"/>
    <cellStyle name="Normal 14 2 4 2 2" xfId="2291"/>
    <cellStyle name="Normal 14 2 4 2 2 2" xfId="12892"/>
    <cellStyle name="Normal 14 2 4 2 2 2 2" xfId="20917"/>
    <cellStyle name="Normal 14 2 4 2 2 2 2 2" xfId="34942"/>
    <cellStyle name="Normal 14 2 4 2 2 2 3" xfId="26931"/>
    <cellStyle name="Normal 14 2 4 2 2 3" xfId="14907"/>
    <cellStyle name="Normal 14 2 4 2 2 3 2" xfId="22922"/>
    <cellStyle name="Normal 14 2 4 2 2 3 2 2" xfId="36947"/>
    <cellStyle name="Normal 14 2 4 2 2 3 3" xfId="28936"/>
    <cellStyle name="Normal 14 2 4 2 2 4" xfId="16913"/>
    <cellStyle name="Normal 14 2 4 2 2 4 2" xfId="30938"/>
    <cellStyle name="Normal 14 2 4 2 2 5" xfId="18915"/>
    <cellStyle name="Normal 14 2 4 2 2 5 2" xfId="32940"/>
    <cellStyle name="Normal 14 2 4 2 2 6" xfId="24929"/>
    <cellStyle name="Normal 14 2 4 2 3" xfId="12891"/>
    <cellStyle name="Normal 14 2 4 2 3 2" xfId="20916"/>
    <cellStyle name="Normal 14 2 4 2 3 2 2" xfId="34941"/>
    <cellStyle name="Normal 14 2 4 2 3 3" xfId="26930"/>
    <cellStyle name="Normal 14 2 4 2 4" xfId="14906"/>
    <cellStyle name="Normal 14 2 4 2 4 2" xfId="22921"/>
    <cellStyle name="Normal 14 2 4 2 4 2 2" xfId="36946"/>
    <cellStyle name="Normal 14 2 4 2 4 3" xfId="28935"/>
    <cellStyle name="Normal 14 2 4 2 5" xfId="16912"/>
    <cellStyle name="Normal 14 2 4 2 5 2" xfId="30937"/>
    <cellStyle name="Normal 14 2 4 2 6" xfId="18914"/>
    <cellStyle name="Normal 14 2 4 2 6 2" xfId="32939"/>
    <cellStyle name="Normal 14 2 4 2 7" xfId="24928"/>
    <cellStyle name="Normal 14 2 4 3" xfId="2292"/>
    <cellStyle name="Normal 14 2 4 3 2" xfId="12893"/>
    <cellStyle name="Normal 14 2 4 3 2 2" xfId="20918"/>
    <cellStyle name="Normal 14 2 4 3 2 2 2" xfId="34943"/>
    <cellStyle name="Normal 14 2 4 3 2 3" xfId="26932"/>
    <cellStyle name="Normal 14 2 4 3 3" xfId="14908"/>
    <cellStyle name="Normal 14 2 4 3 3 2" xfId="22923"/>
    <cellStyle name="Normal 14 2 4 3 3 2 2" xfId="36948"/>
    <cellStyle name="Normal 14 2 4 3 3 3" xfId="28937"/>
    <cellStyle name="Normal 14 2 4 3 4" xfId="16914"/>
    <cellStyle name="Normal 14 2 4 3 4 2" xfId="30939"/>
    <cellStyle name="Normal 14 2 4 3 5" xfId="18916"/>
    <cellStyle name="Normal 14 2 4 3 5 2" xfId="32941"/>
    <cellStyle name="Normal 14 2 4 3 6" xfId="24930"/>
    <cellStyle name="Normal 14 2 4 4" xfId="12890"/>
    <cellStyle name="Normal 14 2 4 4 2" xfId="20915"/>
    <cellStyle name="Normal 14 2 4 4 2 2" xfId="34940"/>
    <cellStyle name="Normal 14 2 4 4 3" xfId="26929"/>
    <cellStyle name="Normal 14 2 4 5" xfId="14905"/>
    <cellStyle name="Normal 14 2 4 5 2" xfId="22920"/>
    <cellStyle name="Normal 14 2 4 5 2 2" xfId="36945"/>
    <cellStyle name="Normal 14 2 4 5 3" xfId="28934"/>
    <cellStyle name="Normal 14 2 4 6" xfId="16911"/>
    <cellStyle name="Normal 14 2 4 6 2" xfId="30936"/>
    <cellStyle name="Normal 14 2 4 7" xfId="18913"/>
    <cellStyle name="Normal 14 2 4 7 2" xfId="32938"/>
    <cellStyle name="Normal 14 2 4 8" xfId="24927"/>
    <cellStyle name="Normal 14 2 5" xfId="2293"/>
    <cellStyle name="Normal 14 2 5 2" xfId="2294"/>
    <cellStyle name="Normal 14 2 5 2 2" xfId="12895"/>
    <cellStyle name="Normal 14 2 5 2 2 2" xfId="20920"/>
    <cellStyle name="Normal 14 2 5 2 2 2 2" xfId="34945"/>
    <cellStyle name="Normal 14 2 5 2 2 3" xfId="26934"/>
    <cellStyle name="Normal 14 2 5 2 3" xfId="14910"/>
    <cellStyle name="Normal 14 2 5 2 3 2" xfId="22925"/>
    <cellStyle name="Normal 14 2 5 2 3 2 2" xfId="36950"/>
    <cellStyle name="Normal 14 2 5 2 3 3" xfId="28939"/>
    <cellStyle name="Normal 14 2 5 2 4" xfId="16916"/>
    <cellStyle name="Normal 14 2 5 2 4 2" xfId="30941"/>
    <cellStyle name="Normal 14 2 5 2 5" xfId="18918"/>
    <cellStyle name="Normal 14 2 5 2 5 2" xfId="32943"/>
    <cellStyle name="Normal 14 2 5 2 6" xfId="24932"/>
    <cellStyle name="Normal 14 2 5 3" xfId="12894"/>
    <cellStyle name="Normal 14 2 5 3 2" xfId="20919"/>
    <cellStyle name="Normal 14 2 5 3 2 2" xfId="34944"/>
    <cellStyle name="Normal 14 2 5 3 3" xfId="26933"/>
    <cellStyle name="Normal 14 2 5 4" xfId="14909"/>
    <cellStyle name="Normal 14 2 5 4 2" xfId="22924"/>
    <cellStyle name="Normal 14 2 5 4 2 2" xfId="36949"/>
    <cellStyle name="Normal 14 2 5 4 3" xfId="28938"/>
    <cellStyle name="Normal 14 2 5 5" xfId="16915"/>
    <cellStyle name="Normal 14 2 5 5 2" xfId="30940"/>
    <cellStyle name="Normal 14 2 5 6" xfId="18917"/>
    <cellStyle name="Normal 14 2 5 6 2" xfId="32942"/>
    <cellStyle name="Normal 14 2 5 7" xfId="24931"/>
    <cellStyle name="Normal 14 2 6" xfId="2295"/>
    <cellStyle name="Normal 14 2 6 2" xfId="2296"/>
    <cellStyle name="Normal 14 2 6 2 2" xfId="12897"/>
    <cellStyle name="Normal 14 2 6 2 2 2" xfId="20922"/>
    <cellStyle name="Normal 14 2 6 2 2 2 2" xfId="34947"/>
    <cellStyle name="Normal 14 2 6 2 2 3" xfId="26936"/>
    <cellStyle name="Normal 14 2 6 2 3" xfId="14912"/>
    <cellStyle name="Normal 14 2 6 2 3 2" xfId="22927"/>
    <cellStyle name="Normal 14 2 6 2 3 2 2" xfId="36952"/>
    <cellStyle name="Normal 14 2 6 2 3 3" xfId="28941"/>
    <cellStyle name="Normal 14 2 6 2 4" xfId="16918"/>
    <cellStyle name="Normal 14 2 6 2 4 2" xfId="30943"/>
    <cellStyle name="Normal 14 2 6 2 5" xfId="18920"/>
    <cellStyle name="Normal 14 2 6 2 5 2" xfId="32945"/>
    <cellStyle name="Normal 14 2 6 2 6" xfId="24934"/>
    <cellStyle name="Normal 14 2 6 3" xfId="12896"/>
    <cellStyle name="Normal 14 2 6 3 2" xfId="20921"/>
    <cellStyle name="Normal 14 2 6 3 2 2" xfId="34946"/>
    <cellStyle name="Normal 14 2 6 3 3" xfId="26935"/>
    <cellStyle name="Normal 14 2 6 4" xfId="14911"/>
    <cellStyle name="Normal 14 2 6 4 2" xfId="22926"/>
    <cellStyle name="Normal 14 2 6 4 2 2" xfId="36951"/>
    <cellStyle name="Normal 14 2 6 4 3" xfId="28940"/>
    <cellStyle name="Normal 14 2 6 5" xfId="16917"/>
    <cellStyle name="Normal 14 2 6 5 2" xfId="30942"/>
    <cellStyle name="Normal 14 2 6 6" xfId="18919"/>
    <cellStyle name="Normal 14 2 6 6 2" xfId="32944"/>
    <cellStyle name="Normal 14 2 6 7" xfId="24933"/>
    <cellStyle name="Normal 14 2 7" xfId="2297"/>
    <cellStyle name="Normal 14 2 7 2" xfId="12898"/>
    <cellStyle name="Normal 14 2 7 2 2" xfId="20923"/>
    <cellStyle name="Normal 14 2 7 2 2 2" xfId="34948"/>
    <cellStyle name="Normal 14 2 7 2 3" xfId="26937"/>
    <cellStyle name="Normal 14 2 7 3" xfId="14913"/>
    <cellStyle name="Normal 14 2 7 3 2" xfId="22928"/>
    <cellStyle name="Normal 14 2 7 3 2 2" xfId="36953"/>
    <cellStyle name="Normal 14 2 7 3 3" xfId="28942"/>
    <cellStyle name="Normal 14 2 7 4" xfId="16919"/>
    <cellStyle name="Normal 14 2 7 4 2" xfId="30944"/>
    <cellStyle name="Normal 14 2 7 5" xfId="18921"/>
    <cellStyle name="Normal 14 2 7 5 2" xfId="32946"/>
    <cellStyle name="Normal 14 2 7 6" xfId="24935"/>
    <cellStyle name="Normal 14 2 8" xfId="12859"/>
    <cellStyle name="Normal 14 2 8 2" xfId="20884"/>
    <cellStyle name="Normal 14 2 8 2 2" xfId="34909"/>
    <cellStyle name="Normal 14 2 8 3" xfId="26898"/>
    <cellStyle name="Normal 14 2 9" xfId="14874"/>
    <cellStyle name="Normal 14 2 9 2" xfId="22889"/>
    <cellStyle name="Normal 14 2 9 2 2" xfId="36914"/>
    <cellStyle name="Normal 14 2 9 3" xfId="28903"/>
    <cellStyle name="Normal 14 3" xfId="2298"/>
    <cellStyle name="Normal 14 3 10" xfId="18922"/>
    <cellStyle name="Normal 14 3 10 2" xfId="32947"/>
    <cellStyle name="Normal 14 3 11" xfId="24936"/>
    <cellStyle name="Normal 14 3 2" xfId="2299"/>
    <cellStyle name="Normal 14 3 2 10" xfId="24937"/>
    <cellStyle name="Normal 14 3 2 2" xfId="2300"/>
    <cellStyle name="Normal 14 3 2 2 2" xfId="2301"/>
    <cellStyle name="Normal 14 3 2 2 2 2" xfId="2302"/>
    <cellStyle name="Normal 14 3 2 2 2 2 2" xfId="12903"/>
    <cellStyle name="Normal 14 3 2 2 2 2 2 2" xfId="20928"/>
    <cellStyle name="Normal 14 3 2 2 2 2 2 2 2" xfId="34953"/>
    <cellStyle name="Normal 14 3 2 2 2 2 2 3" xfId="26942"/>
    <cellStyle name="Normal 14 3 2 2 2 2 3" xfId="14918"/>
    <cellStyle name="Normal 14 3 2 2 2 2 3 2" xfId="22933"/>
    <cellStyle name="Normal 14 3 2 2 2 2 3 2 2" xfId="36958"/>
    <cellStyle name="Normal 14 3 2 2 2 2 3 3" xfId="28947"/>
    <cellStyle name="Normal 14 3 2 2 2 2 4" xfId="16924"/>
    <cellStyle name="Normal 14 3 2 2 2 2 4 2" xfId="30949"/>
    <cellStyle name="Normal 14 3 2 2 2 2 5" xfId="18926"/>
    <cellStyle name="Normal 14 3 2 2 2 2 5 2" xfId="32951"/>
    <cellStyle name="Normal 14 3 2 2 2 2 6" xfId="24940"/>
    <cellStyle name="Normal 14 3 2 2 2 3" xfId="12902"/>
    <cellStyle name="Normal 14 3 2 2 2 3 2" xfId="20927"/>
    <cellStyle name="Normal 14 3 2 2 2 3 2 2" xfId="34952"/>
    <cellStyle name="Normal 14 3 2 2 2 3 3" xfId="26941"/>
    <cellStyle name="Normal 14 3 2 2 2 4" xfId="14917"/>
    <cellStyle name="Normal 14 3 2 2 2 4 2" xfId="22932"/>
    <cellStyle name="Normal 14 3 2 2 2 4 2 2" xfId="36957"/>
    <cellStyle name="Normal 14 3 2 2 2 4 3" xfId="28946"/>
    <cellStyle name="Normal 14 3 2 2 2 5" xfId="16923"/>
    <cellStyle name="Normal 14 3 2 2 2 5 2" xfId="30948"/>
    <cellStyle name="Normal 14 3 2 2 2 6" xfId="18925"/>
    <cellStyle name="Normal 14 3 2 2 2 6 2" xfId="32950"/>
    <cellStyle name="Normal 14 3 2 2 2 7" xfId="24939"/>
    <cellStyle name="Normal 14 3 2 2 3" xfId="2303"/>
    <cellStyle name="Normal 14 3 2 2 3 2" xfId="12904"/>
    <cellStyle name="Normal 14 3 2 2 3 2 2" xfId="20929"/>
    <cellStyle name="Normal 14 3 2 2 3 2 2 2" xfId="34954"/>
    <cellStyle name="Normal 14 3 2 2 3 2 3" xfId="26943"/>
    <cellStyle name="Normal 14 3 2 2 3 3" xfId="14919"/>
    <cellStyle name="Normal 14 3 2 2 3 3 2" xfId="22934"/>
    <cellStyle name="Normal 14 3 2 2 3 3 2 2" xfId="36959"/>
    <cellStyle name="Normal 14 3 2 2 3 3 3" xfId="28948"/>
    <cellStyle name="Normal 14 3 2 2 3 4" xfId="16925"/>
    <cellStyle name="Normal 14 3 2 2 3 4 2" xfId="30950"/>
    <cellStyle name="Normal 14 3 2 2 3 5" xfId="18927"/>
    <cellStyle name="Normal 14 3 2 2 3 5 2" xfId="32952"/>
    <cellStyle name="Normal 14 3 2 2 3 6" xfId="24941"/>
    <cellStyle name="Normal 14 3 2 2 4" xfId="12901"/>
    <cellStyle name="Normal 14 3 2 2 4 2" xfId="20926"/>
    <cellStyle name="Normal 14 3 2 2 4 2 2" xfId="34951"/>
    <cellStyle name="Normal 14 3 2 2 4 3" xfId="26940"/>
    <cellStyle name="Normal 14 3 2 2 5" xfId="14916"/>
    <cellStyle name="Normal 14 3 2 2 5 2" xfId="22931"/>
    <cellStyle name="Normal 14 3 2 2 5 2 2" xfId="36956"/>
    <cellStyle name="Normal 14 3 2 2 5 3" xfId="28945"/>
    <cellStyle name="Normal 14 3 2 2 6" xfId="16922"/>
    <cellStyle name="Normal 14 3 2 2 6 2" xfId="30947"/>
    <cellStyle name="Normal 14 3 2 2 7" xfId="18924"/>
    <cellStyle name="Normal 14 3 2 2 7 2" xfId="32949"/>
    <cellStyle name="Normal 14 3 2 2 8" xfId="24938"/>
    <cellStyle name="Normal 14 3 2 3" xfId="2304"/>
    <cellStyle name="Normal 14 3 2 3 2" xfId="2305"/>
    <cellStyle name="Normal 14 3 2 3 2 2" xfId="12906"/>
    <cellStyle name="Normal 14 3 2 3 2 2 2" xfId="20931"/>
    <cellStyle name="Normal 14 3 2 3 2 2 2 2" xfId="34956"/>
    <cellStyle name="Normal 14 3 2 3 2 2 3" xfId="26945"/>
    <cellStyle name="Normal 14 3 2 3 2 3" xfId="14921"/>
    <cellStyle name="Normal 14 3 2 3 2 3 2" xfId="22936"/>
    <cellStyle name="Normal 14 3 2 3 2 3 2 2" xfId="36961"/>
    <cellStyle name="Normal 14 3 2 3 2 3 3" xfId="28950"/>
    <cellStyle name="Normal 14 3 2 3 2 4" xfId="16927"/>
    <cellStyle name="Normal 14 3 2 3 2 4 2" xfId="30952"/>
    <cellStyle name="Normal 14 3 2 3 2 5" xfId="18929"/>
    <cellStyle name="Normal 14 3 2 3 2 5 2" xfId="32954"/>
    <cellStyle name="Normal 14 3 2 3 2 6" xfId="24943"/>
    <cellStyle name="Normal 14 3 2 3 3" xfId="12905"/>
    <cellStyle name="Normal 14 3 2 3 3 2" xfId="20930"/>
    <cellStyle name="Normal 14 3 2 3 3 2 2" xfId="34955"/>
    <cellStyle name="Normal 14 3 2 3 3 3" xfId="26944"/>
    <cellStyle name="Normal 14 3 2 3 4" xfId="14920"/>
    <cellStyle name="Normal 14 3 2 3 4 2" xfId="22935"/>
    <cellStyle name="Normal 14 3 2 3 4 2 2" xfId="36960"/>
    <cellStyle name="Normal 14 3 2 3 4 3" xfId="28949"/>
    <cellStyle name="Normal 14 3 2 3 5" xfId="16926"/>
    <cellStyle name="Normal 14 3 2 3 5 2" xfId="30951"/>
    <cellStyle name="Normal 14 3 2 3 6" xfId="18928"/>
    <cellStyle name="Normal 14 3 2 3 6 2" xfId="32953"/>
    <cellStyle name="Normal 14 3 2 3 7" xfId="24942"/>
    <cellStyle name="Normal 14 3 2 4" xfId="2306"/>
    <cellStyle name="Normal 14 3 2 4 2" xfId="2307"/>
    <cellStyle name="Normal 14 3 2 4 2 2" xfId="12908"/>
    <cellStyle name="Normal 14 3 2 4 2 2 2" xfId="20933"/>
    <cellStyle name="Normal 14 3 2 4 2 2 2 2" xfId="34958"/>
    <cellStyle name="Normal 14 3 2 4 2 2 3" xfId="26947"/>
    <cellStyle name="Normal 14 3 2 4 2 3" xfId="14923"/>
    <cellStyle name="Normal 14 3 2 4 2 3 2" xfId="22938"/>
    <cellStyle name="Normal 14 3 2 4 2 3 2 2" xfId="36963"/>
    <cellStyle name="Normal 14 3 2 4 2 3 3" xfId="28952"/>
    <cellStyle name="Normal 14 3 2 4 2 4" xfId="16929"/>
    <cellStyle name="Normal 14 3 2 4 2 4 2" xfId="30954"/>
    <cellStyle name="Normal 14 3 2 4 2 5" xfId="18931"/>
    <cellStyle name="Normal 14 3 2 4 2 5 2" xfId="32956"/>
    <cellStyle name="Normal 14 3 2 4 2 6" xfId="24945"/>
    <cellStyle name="Normal 14 3 2 4 3" xfId="12907"/>
    <cellStyle name="Normal 14 3 2 4 3 2" xfId="20932"/>
    <cellStyle name="Normal 14 3 2 4 3 2 2" xfId="34957"/>
    <cellStyle name="Normal 14 3 2 4 3 3" xfId="26946"/>
    <cellStyle name="Normal 14 3 2 4 4" xfId="14922"/>
    <cellStyle name="Normal 14 3 2 4 4 2" xfId="22937"/>
    <cellStyle name="Normal 14 3 2 4 4 2 2" xfId="36962"/>
    <cellStyle name="Normal 14 3 2 4 4 3" xfId="28951"/>
    <cellStyle name="Normal 14 3 2 4 5" xfId="16928"/>
    <cellStyle name="Normal 14 3 2 4 5 2" xfId="30953"/>
    <cellStyle name="Normal 14 3 2 4 6" xfId="18930"/>
    <cellStyle name="Normal 14 3 2 4 6 2" xfId="32955"/>
    <cellStyle name="Normal 14 3 2 4 7" xfId="24944"/>
    <cellStyle name="Normal 14 3 2 5" xfId="2308"/>
    <cellStyle name="Normal 14 3 2 5 2" xfId="12909"/>
    <cellStyle name="Normal 14 3 2 5 2 2" xfId="20934"/>
    <cellStyle name="Normal 14 3 2 5 2 2 2" xfId="34959"/>
    <cellStyle name="Normal 14 3 2 5 2 3" xfId="26948"/>
    <cellStyle name="Normal 14 3 2 5 3" xfId="14924"/>
    <cellStyle name="Normal 14 3 2 5 3 2" xfId="22939"/>
    <cellStyle name="Normal 14 3 2 5 3 2 2" xfId="36964"/>
    <cellStyle name="Normal 14 3 2 5 3 3" xfId="28953"/>
    <cellStyle name="Normal 14 3 2 5 4" xfId="16930"/>
    <cellStyle name="Normal 14 3 2 5 4 2" xfId="30955"/>
    <cellStyle name="Normal 14 3 2 5 5" xfId="18932"/>
    <cellStyle name="Normal 14 3 2 5 5 2" xfId="32957"/>
    <cellStyle name="Normal 14 3 2 5 6" xfId="24946"/>
    <cellStyle name="Normal 14 3 2 6" xfId="12900"/>
    <cellStyle name="Normal 14 3 2 6 2" xfId="20925"/>
    <cellStyle name="Normal 14 3 2 6 2 2" xfId="34950"/>
    <cellStyle name="Normal 14 3 2 6 3" xfId="26939"/>
    <cellStyle name="Normal 14 3 2 7" xfId="14915"/>
    <cellStyle name="Normal 14 3 2 7 2" xfId="22930"/>
    <cellStyle name="Normal 14 3 2 7 2 2" xfId="36955"/>
    <cellStyle name="Normal 14 3 2 7 3" xfId="28944"/>
    <cellStyle name="Normal 14 3 2 8" xfId="16921"/>
    <cellStyle name="Normal 14 3 2 8 2" xfId="30946"/>
    <cellStyle name="Normal 14 3 2 9" xfId="18923"/>
    <cellStyle name="Normal 14 3 2 9 2" xfId="32948"/>
    <cellStyle name="Normal 14 3 3" xfId="2309"/>
    <cellStyle name="Normal 14 3 3 2" xfId="2310"/>
    <cellStyle name="Normal 14 3 3 2 2" xfId="2311"/>
    <cellStyle name="Normal 14 3 3 2 2 2" xfId="12912"/>
    <cellStyle name="Normal 14 3 3 2 2 2 2" xfId="20937"/>
    <cellStyle name="Normal 14 3 3 2 2 2 2 2" xfId="34962"/>
    <cellStyle name="Normal 14 3 3 2 2 2 3" xfId="26951"/>
    <cellStyle name="Normal 14 3 3 2 2 3" xfId="14927"/>
    <cellStyle name="Normal 14 3 3 2 2 3 2" xfId="22942"/>
    <cellStyle name="Normal 14 3 3 2 2 3 2 2" xfId="36967"/>
    <cellStyle name="Normal 14 3 3 2 2 3 3" xfId="28956"/>
    <cellStyle name="Normal 14 3 3 2 2 4" xfId="16933"/>
    <cellStyle name="Normal 14 3 3 2 2 4 2" xfId="30958"/>
    <cellStyle name="Normal 14 3 3 2 2 5" xfId="18935"/>
    <cellStyle name="Normal 14 3 3 2 2 5 2" xfId="32960"/>
    <cellStyle name="Normal 14 3 3 2 2 6" xfId="24949"/>
    <cellStyle name="Normal 14 3 3 2 3" xfId="12911"/>
    <cellStyle name="Normal 14 3 3 2 3 2" xfId="20936"/>
    <cellStyle name="Normal 14 3 3 2 3 2 2" xfId="34961"/>
    <cellStyle name="Normal 14 3 3 2 3 3" xfId="26950"/>
    <cellStyle name="Normal 14 3 3 2 4" xfId="14926"/>
    <cellStyle name="Normal 14 3 3 2 4 2" xfId="22941"/>
    <cellStyle name="Normal 14 3 3 2 4 2 2" xfId="36966"/>
    <cellStyle name="Normal 14 3 3 2 4 3" xfId="28955"/>
    <cellStyle name="Normal 14 3 3 2 5" xfId="16932"/>
    <cellStyle name="Normal 14 3 3 2 5 2" xfId="30957"/>
    <cellStyle name="Normal 14 3 3 2 6" xfId="18934"/>
    <cellStyle name="Normal 14 3 3 2 6 2" xfId="32959"/>
    <cellStyle name="Normal 14 3 3 2 7" xfId="24948"/>
    <cellStyle name="Normal 14 3 3 3" xfId="2312"/>
    <cellStyle name="Normal 14 3 3 3 2" xfId="12913"/>
    <cellStyle name="Normal 14 3 3 3 2 2" xfId="20938"/>
    <cellStyle name="Normal 14 3 3 3 2 2 2" xfId="34963"/>
    <cellStyle name="Normal 14 3 3 3 2 3" xfId="26952"/>
    <cellStyle name="Normal 14 3 3 3 3" xfId="14928"/>
    <cellStyle name="Normal 14 3 3 3 3 2" xfId="22943"/>
    <cellStyle name="Normal 14 3 3 3 3 2 2" xfId="36968"/>
    <cellStyle name="Normal 14 3 3 3 3 3" xfId="28957"/>
    <cellStyle name="Normal 14 3 3 3 4" xfId="16934"/>
    <cellStyle name="Normal 14 3 3 3 4 2" xfId="30959"/>
    <cellStyle name="Normal 14 3 3 3 5" xfId="18936"/>
    <cellStyle name="Normal 14 3 3 3 5 2" xfId="32961"/>
    <cellStyle name="Normal 14 3 3 3 6" xfId="24950"/>
    <cellStyle name="Normal 14 3 3 4" xfId="12910"/>
    <cellStyle name="Normal 14 3 3 4 2" xfId="20935"/>
    <cellStyle name="Normal 14 3 3 4 2 2" xfId="34960"/>
    <cellStyle name="Normal 14 3 3 4 3" xfId="26949"/>
    <cellStyle name="Normal 14 3 3 5" xfId="14925"/>
    <cellStyle name="Normal 14 3 3 5 2" xfId="22940"/>
    <cellStyle name="Normal 14 3 3 5 2 2" xfId="36965"/>
    <cellStyle name="Normal 14 3 3 5 3" xfId="28954"/>
    <cellStyle name="Normal 14 3 3 6" xfId="16931"/>
    <cellStyle name="Normal 14 3 3 6 2" xfId="30956"/>
    <cellStyle name="Normal 14 3 3 7" xfId="18933"/>
    <cellStyle name="Normal 14 3 3 7 2" xfId="32958"/>
    <cellStyle name="Normal 14 3 3 8" xfId="24947"/>
    <cellStyle name="Normal 14 3 4" xfId="2313"/>
    <cellStyle name="Normal 14 3 4 2" xfId="2314"/>
    <cellStyle name="Normal 14 3 4 2 2" xfId="12915"/>
    <cellStyle name="Normal 14 3 4 2 2 2" xfId="20940"/>
    <cellStyle name="Normal 14 3 4 2 2 2 2" xfId="34965"/>
    <cellStyle name="Normal 14 3 4 2 2 3" xfId="26954"/>
    <cellStyle name="Normal 14 3 4 2 3" xfId="14930"/>
    <cellStyle name="Normal 14 3 4 2 3 2" xfId="22945"/>
    <cellStyle name="Normal 14 3 4 2 3 2 2" xfId="36970"/>
    <cellStyle name="Normal 14 3 4 2 3 3" xfId="28959"/>
    <cellStyle name="Normal 14 3 4 2 4" xfId="16936"/>
    <cellStyle name="Normal 14 3 4 2 4 2" xfId="30961"/>
    <cellStyle name="Normal 14 3 4 2 5" xfId="18938"/>
    <cellStyle name="Normal 14 3 4 2 5 2" xfId="32963"/>
    <cellStyle name="Normal 14 3 4 2 6" xfId="24952"/>
    <cellStyle name="Normal 14 3 4 3" xfId="12914"/>
    <cellStyle name="Normal 14 3 4 3 2" xfId="20939"/>
    <cellStyle name="Normal 14 3 4 3 2 2" xfId="34964"/>
    <cellStyle name="Normal 14 3 4 3 3" xfId="26953"/>
    <cellStyle name="Normal 14 3 4 4" xfId="14929"/>
    <cellStyle name="Normal 14 3 4 4 2" xfId="22944"/>
    <cellStyle name="Normal 14 3 4 4 2 2" xfId="36969"/>
    <cellStyle name="Normal 14 3 4 4 3" xfId="28958"/>
    <cellStyle name="Normal 14 3 4 5" xfId="16935"/>
    <cellStyle name="Normal 14 3 4 5 2" xfId="30960"/>
    <cellStyle name="Normal 14 3 4 6" xfId="18937"/>
    <cellStyle name="Normal 14 3 4 6 2" xfId="32962"/>
    <cellStyle name="Normal 14 3 4 7" xfId="24951"/>
    <cellStyle name="Normal 14 3 5" xfId="2315"/>
    <cellStyle name="Normal 14 3 5 2" xfId="2316"/>
    <cellStyle name="Normal 14 3 5 2 2" xfId="12917"/>
    <cellStyle name="Normal 14 3 5 2 2 2" xfId="20942"/>
    <cellStyle name="Normal 14 3 5 2 2 2 2" xfId="34967"/>
    <cellStyle name="Normal 14 3 5 2 2 3" xfId="26956"/>
    <cellStyle name="Normal 14 3 5 2 3" xfId="14932"/>
    <cellStyle name="Normal 14 3 5 2 3 2" xfId="22947"/>
    <cellStyle name="Normal 14 3 5 2 3 2 2" xfId="36972"/>
    <cellStyle name="Normal 14 3 5 2 3 3" xfId="28961"/>
    <cellStyle name="Normal 14 3 5 2 4" xfId="16938"/>
    <cellStyle name="Normal 14 3 5 2 4 2" xfId="30963"/>
    <cellStyle name="Normal 14 3 5 2 5" xfId="18940"/>
    <cellStyle name="Normal 14 3 5 2 5 2" xfId="32965"/>
    <cellStyle name="Normal 14 3 5 2 6" xfId="24954"/>
    <cellStyle name="Normal 14 3 5 3" xfId="12916"/>
    <cellStyle name="Normal 14 3 5 3 2" xfId="20941"/>
    <cellStyle name="Normal 14 3 5 3 2 2" xfId="34966"/>
    <cellStyle name="Normal 14 3 5 3 3" xfId="26955"/>
    <cellStyle name="Normal 14 3 5 4" xfId="14931"/>
    <cellStyle name="Normal 14 3 5 4 2" xfId="22946"/>
    <cellStyle name="Normal 14 3 5 4 2 2" xfId="36971"/>
    <cellStyle name="Normal 14 3 5 4 3" xfId="28960"/>
    <cellStyle name="Normal 14 3 5 5" xfId="16937"/>
    <cellStyle name="Normal 14 3 5 5 2" xfId="30962"/>
    <cellStyle name="Normal 14 3 5 6" xfId="18939"/>
    <cellStyle name="Normal 14 3 5 6 2" xfId="32964"/>
    <cellStyle name="Normal 14 3 5 7" xfId="24953"/>
    <cellStyle name="Normal 14 3 6" xfId="2317"/>
    <cellStyle name="Normal 14 3 6 2" xfId="12918"/>
    <cellStyle name="Normal 14 3 6 2 2" xfId="20943"/>
    <cellStyle name="Normal 14 3 6 2 2 2" xfId="34968"/>
    <cellStyle name="Normal 14 3 6 2 3" xfId="26957"/>
    <cellStyle name="Normal 14 3 6 3" xfId="14933"/>
    <cellStyle name="Normal 14 3 6 3 2" xfId="22948"/>
    <cellStyle name="Normal 14 3 6 3 2 2" xfId="36973"/>
    <cellStyle name="Normal 14 3 6 3 3" xfId="28962"/>
    <cellStyle name="Normal 14 3 6 4" xfId="16939"/>
    <cellStyle name="Normal 14 3 6 4 2" xfId="30964"/>
    <cellStyle name="Normal 14 3 6 5" xfId="18941"/>
    <cellStyle name="Normal 14 3 6 5 2" xfId="32966"/>
    <cellStyle name="Normal 14 3 6 6" xfId="24955"/>
    <cellStyle name="Normal 14 3 7" xfId="12899"/>
    <cellStyle name="Normal 14 3 7 2" xfId="20924"/>
    <cellStyle name="Normal 14 3 7 2 2" xfId="34949"/>
    <cellStyle name="Normal 14 3 7 3" xfId="26938"/>
    <cellStyle name="Normal 14 3 8" xfId="14914"/>
    <cellStyle name="Normal 14 3 8 2" xfId="22929"/>
    <cellStyle name="Normal 14 3 8 2 2" xfId="36954"/>
    <cellStyle name="Normal 14 3 8 3" xfId="28943"/>
    <cellStyle name="Normal 14 3 9" xfId="16920"/>
    <cellStyle name="Normal 14 3 9 2" xfId="30945"/>
    <cellStyle name="Normal 14 4" xfId="2318"/>
    <cellStyle name="Normal 14 4 10" xfId="24956"/>
    <cellStyle name="Normal 14 4 2" xfId="2319"/>
    <cellStyle name="Normal 14 4 2 2" xfId="2320"/>
    <cellStyle name="Normal 14 4 2 2 2" xfId="2321"/>
    <cellStyle name="Normal 14 4 2 2 2 2" xfId="12922"/>
    <cellStyle name="Normal 14 4 2 2 2 2 2" xfId="20947"/>
    <cellStyle name="Normal 14 4 2 2 2 2 2 2" xfId="34972"/>
    <cellStyle name="Normal 14 4 2 2 2 2 3" xfId="26961"/>
    <cellStyle name="Normal 14 4 2 2 2 3" xfId="14937"/>
    <cellStyle name="Normal 14 4 2 2 2 3 2" xfId="22952"/>
    <cellStyle name="Normal 14 4 2 2 2 3 2 2" xfId="36977"/>
    <cellStyle name="Normal 14 4 2 2 2 3 3" xfId="28966"/>
    <cellStyle name="Normal 14 4 2 2 2 4" xfId="16943"/>
    <cellStyle name="Normal 14 4 2 2 2 4 2" xfId="30968"/>
    <cellStyle name="Normal 14 4 2 2 2 5" xfId="18945"/>
    <cellStyle name="Normal 14 4 2 2 2 5 2" xfId="32970"/>
    <cellStyle name="Normal 14 4 2 2 2 6" xfId="24959"/>
    <cellStyle name="Normal 14 4 2 2 3" xfId="12921"/>
    <cellStyle name="Normal 14 4 2 2 3 2" xfId="20946"/>
    <cellStyle name="Normal 14 4 2 2 3 2 2" xfId="34971"/>
    <cellStyle name="Normal 14 4 2 2 3 3" xfId="26960"/>
    <cellStyle name="Normal 14 4 2 2 4" xfId="14936"/>
    <cellStyle name="Normal 14 4 2 2 4 2" xfId="22951"/>
    <cellStyle name="Normal 14 4 2 2 4 2 2" xfId="36976"/>
    <cellStyle name="Normal 14 4 2 2 4 3" xfId="28965"/>
    <cellStyle name="Normal 14 4 2 2 5" xfId="16942"/>
    <cellStyle name="Normal 14 4 2 2 5 2" xfId="30967"/>
    <cellStyle name="Normal 14 4 2 2 6" xfId="18944"/>
    <cellStyle name="Normal 14 4 2 2 6 2" xfId="32969"/>
    <cellStyle name="Normal 14 4 2 2 7" xfId="24958"/>
    <cellStyle name="Normal 14 4 2 3" xfId="2322"/>
    <cellStyle name="Normal 14 4 2 3 2" xfId="12923"/>
    <cellStyle name="Normal 14 4 2 3 2 2" xfId="20948"/>
    <cellStyle name="Normal 14 4 2 3 2 2 2" xfId="34973"/>
    <cellStyle name="Normal 14 4 2 3 2 3" xfId="26962"/>
    <cellStyle name="Normal 14 4 2 3 3" xfId="14938"/>
    <cellStyle name="Normal 14 4 2 3 3 2" xfId="22953"/>
    <cellStyle name="Normal 14 4 2 3 3 2 2" xfId="36978"/>
    <cellStyle name="Normal 14 4 2 3 3 3" xfId="28967"/>
    <cellStyle name="Normal 14 4 2 3 4" xfId="16944"/>
    <cellStyle name="Normal 14 4 2 3 4 2" xfId="30969"/>
    <cellStyle name="Normal 14 4 2 3 5" xfId="18946"/>
    <cellStyle name="Normal 14 4 2 3 5 2" xfId="32971"/>
    <cellStyle name="Normal 14 4 2 3 6" xfId="24960"/>
    <cellStyle name="Normal 14 4 2 4" xfId="12920"/>
    <cellStyle name="Normal 14 4 2 4 2" xfId="20945"/>
    <cellStyle name="Normal 14 4 2 4 2 2" xfId="34970"/>
    <cellStyle name="Normal 14 4 2 4 3" xfId="26959"/>
    <cellStyle name="Normal 14 4 2 5" xfId="14935"/>
    <cellStyle name="Normal 14 4 2 5 2" xfId="22950"/>
    <cellStyle name="Normal 14 4 2 5 2 2" xfId="36975"/>
    <cellStyle name="Normal 14 4 2 5 3" xfId="28964"/>
    <cellStyle name="Normal 14 4 2 6" xfId="16941"/>
    <cellStyle name="Normal 14 4 2 6 2" xfId="30966"/>
    <cellStyle name="Normal 14 4 2 7" xfId="18943"/>
    <cellStyle name="Normal 14 4 2 7 2" xfId="32968"/>
    <cellStyle name="Normal 14 4 2 8" xfId="24957"/>
    <cellStyle name="Normal 14 4 3" xfId="2323"/>
    <cellStyle name="Normal 14 4 3 2" xfId="2324"/>
    <cellStyle name="Normal 14 4 3 2 2" xfId="12925"/>
    <cellStyle name="Normal 14 4 3 2 2 2" xfId="20950"/>
    <cellStyle name="Normal 14 4 3 2 2 2 2" xfId="34975"/>
    <cellStyle name="Normal 14 4 3 2 2 3" xfId="26964"/>
    <cellStyle name="Normal 14 4 3 2 3" xfId="14940"/>
    <cellStyle name="Normal 14 4 3 2 3 2" xfId="22955"/>
    <cellStyle name="Normal 14 4 3 2 3 2 2" xfId="36980"/>
    <cellStyle name="Normal 14 4 3 2 3 3" xfId="28969"/>
    <cellStyle name="Normal 14 4 3 2 4" xfId="16946"/>
    <cellStyle name="Normal 14 4 3 2 4 2" xfId="30971"/>
    <cellStyle name="Normal 14 4 3 2 5" xfId="18948"/>
    <cellStyle name="Normal 14 4 3 2 5 2" xfId="32973"/>
    <cellStyle name="Normal 14 4 3 2 6" xfId="24962"/>
    <cellStyle name="Normal 14 4 3 3" xfId="12924"/>
    <cellStyle name="Normal 14 4 3 3 2" xfId="20949"/>
    <cellStyle name="Normal 14 4 3 3 2 2" xfId="34974"/>
    <cellStyle name="Normal 14 4 3 3 3" xfId="26963"/>
    <cellStyle name="Normal 14 4 3 4" xfId="14939"/>
    <cellStyle name="Normal 14 4 3 4 2" xfId="22954"/>
    <cellStyle name="Normal 14 4 3 4 2 2" xfId="36979"/>
    <cellStyle name="Normal 14 4 3 4 3" xfId="28968"/>
    <cellStyle name="Normal 14 4 3 5" xfId="16945"/>
    <cellStyle name="Normal 14 4 3 5 2" xfId="30970"/>
    <cellStyle name="Normal 14 4 3 6" xfId="18947"/>
    <cellStyle name="Normal 14 4 3 6 2" xfId="32972"/>
    <cellStyle name="Normal 14 4 3 7" xfId="24961"/>
    <cellStyle name="Normal 14 4 4" xfId="2325"/>
    <cellStyle name="Normal 14 4 4 2" xfId="2326"/>
    <cellStyle name="Normal 14 4 4 2 2" xfId="12927"/>
    <cellStyle name="Normal 14 4 4 2 2 2" xfId="20952"/>
    <cellStyle name="Normal 14 4 4 2 2 2 2" xfId="34977"/>
    <cellStyle name="Normal 14 4 4 2 2 3" xfId="26966"/>
    <cellStyle name="Normal 14 4 4 2 3" xfId="14942"/>
    <cellStyle name="Normal 14 4 4 2 3 2" xfId="22957"/>
    <cellStyle name="Normal 14 4 4 2 3 2 2" xfId="36982"/>
    <cellStyle name="Normal 14 4 4 2 3 3" xfId="28971"/>
    <cellStyle name="Normal 14 4 4 2 4" xfId="16948"/>
    <cellStyle name="Normal 14 4 4 2 4 2" xfId="30973"/>
    <cellStyle name="Normal 14 4 4 2 5" xfId="18950"/>
    <cellStyle name="Normal 14 4 4 2 5 2" xfId="32975"/>
    <cellStyle name="Normal 14 4 4 2 6" xfId="24964"/>
    <cellStyle name="Normal 14 4 4 3" xfId="12926"/>
    <cellStyle name="Normal 14 4 4 3 2" xfId="20951"/>
    <cellStyle name="Normal 14 4 4 3 2 2" xfId="34976"/>
    <cellStyle name="Normal 14 4 4 3 3" xfId="26965"/>
    <cellStyle name="Normal 14 4 4 4" xfId="14941"/>
    <cellStyle name="Normal 14 4 4 4 2" xfId="22956"/>
    <cellStyle name="Normal 14 4 4 4 2 2" xfId="36981"/>
    <cellStyle name="Normal 14 4 4 4 3" xfId="28970"/>
    <cellStyle name="Normal 14 4 4 5" xfId="16947"/>
    <cellStyle name="Normal 14 4 4 5 2" xfId="30972"/>
    <cellStyle name="Normal 14 4 4 6" xfId="18949"/>
    <cellStyle name="Normal 14 4 4 6 2" xfId="32974"/>
    <cellStyle name="Normal 14 4 4 7" xfId="24963"/>
    <cellStyle name="Normal 14 4 5" xfId="2327"/>
    <cellStyle name="Normal 14 4 5 2" xfId="12928"/>
    <cellStyle name="Normal 14 4 5 2 2" xfId="20953"/>
    <cellStyle name="Normal 14 4 5 2 2 2" xfId="34978"/>
    <cellStyle name="Normal 14 4 5 2 3" xfId="26967"/>
    <cellStyle name="Normal 14 4 5 3" xfId="14943"/>
    <cellStyle name="Normal 14 4 5 3 2" xfId="22958"/>
    <cellStyle name="Normal 14 4 5 3 2 2" xfId="36983"/>
    <cellStyle name="Normal 14 4 5 3 3" xfId="28972"/>
    <cellStyle name="Normal 14 4 5 4" xfId="16949"/>
    <cellStyle name="Normal 14 4 5 4 2" xfId="30974"/>
    <cellStyle name="Normal 14 4 5 5" xfId="18951"/>
    <cellStyle name="Normal 14 4 5 5 2" xfId="32976"/>
    <cellStyle name="Normal 14 4 5 6" xfId="24965"/>
    <cellStyle name="Normal 14 4 6" xfId="12919"/>
    <cellStyle name="Normal 14 4 6 2" xfId="20944"/>
    <cellStyle name="Normal 14 4 6 2 2" xfId="34969"/>
    <cellStyle name="Normal 14 4 6 3" xfId="26958"/>
    <cellStyle name="Normal 14 4 7" xfId="14934"/>
    <cellStyle name="Normal 14 4 7 2" xfId="22949"/>
    <cellStyle name="Normal 14 4 7 2 2" xfId="36974"/>
    <cellStyle name="Normal 14 4 7 3" xfId="28963"/>
    <cellStyle name="Normal 14 4 8" xfId="16940"/>
    <cellStyle name="Normal 14 4 8 2" xfId="30965"/>
    <cellStyle name="Normal 14 4 9" xfId="18942"/>
    <cellStyle name="Normal 14 4 9 2" xfId="32967"/>
    <cellStyle name="Normal 14 5" xfId="2328"/>
    <cellStyle name="Normal 14 5 2" xfId="2329"/>
    <cellStyle name="Normal 14 5 2 2" xfId="2330"/>
    <cellStyle name="Normal 14 5 2 2 2" xfId="12931"/>
    <cellStyle name="Normal 14 5 2 2 2 2" xfId="20956"/>
    <cellStyle name="Normal 14 5 2 2 2 2 2" xfId="34981"/>
    <cellStyle name="Normal 14 5 2 2 2 3" xfId="26970"/>
    <cellStyle name="Normal 14 5 2 2 3" xfId="14946"/>
    <cellStyle name="Normal 14 5 2 2 3 2" xfId="22961"/>
    <cellStyle name="Normal 14 5 2 2 3 2 2" xfId="36986"/>
    <cellStyle name="Normal 14 5 2 2 3 3" xfId="28975"/>
    <cellStyle name="Normal 14 5 2 2 4" xfId="16952"/>
    <cellStyle name="Normal 14 5 2 2 4 2" xfId="30977"/>
    <cellStyle name="Normal 14 5 2 2 5" xfId="18954"/>
    <cellStyle name="Normal 14 5 2 2 5 2" xfId="32979"/>
    <cellStyle name="Normal 14 5 2 2 6" xfId="24968"/>
    <cellStyle name="Normal 14 5 2 3" xfId="12930"/>
    <cellStyle name="Normal 14 5 2 3 2" xfId="20955"/>
    <cellStyle name="Normal 14 5 2 3 2 2" xfId="34980"/>
    <cellStyle name="Normal 14 5 2 3 3" xfId="26969"/>
    <cellStyle name="Normal 14 5 2 4" xfId="14945"/>
    <cellStyle name="Normal 14 5 2 4 2" xfId="22960"/>
    <cellStyle name="Normal 14 5 2 4 2 2" xfId="36985"/>
    <cellStyle name="Normal 14 5 2 4 3" xfId="28974"/>
    <cellStyle name="Normal 14 5 2 5" xfId="16951"/>
    <cellStyle name="Normal 14 5 2 5 2" xfId="30976"/>
    <cellStyle name="Normal 14 5 2 6" xfId="18953"/>
    <cellStyle name="Normal 14 5 2 6 2" xfId="32978"/>
    <cellStyle name="Normal 14 5 2 7" xfId="24967"/>
    <cellStyle name="Normal 14 5 3" xfId="2331"/>
    <cellStyle name="Normal 14 5 3 2" xfId="12932"/>
    <cellStyle name="Normal 14 5 3 2 2" xfId="20957"/>
    <cellStyle name="Normal 14 5 3 2 2 2" xfId="34982"/>
    <cellStyle name="Normal 14 5 3 2 3" xfId="26971"/>
    <cellStyle name="Normal 14 5 3 3" xfId="14947"/>
    <cellStyle name="Normal 14 5 3 3 2" xfId="22962"/>
    <cellStyle name="Normal 14 5 3 3 2 2" xfId="36987"/>
    <cellStyle name="Normal 14 5 3 3 3" xfId="28976"/>
    <cellStyle name="Normal 14 5 3 4" xfId="16953"/>
    <cellStyle name="Normal 14 5 3 4 2" xfId="30978"/>
    <cellStyle name="Normal 14 5 3 5" xfId="18955"/>
    <cellStyle name="Normal 14 5 3 5 2" xfId="32980"/>
    <cellStyle name="Normal 14 5 3 6" xfId="24969"/>
    <cellStyle name="Normal 14 5 4" xfId="12929"/>
    <cellStyle name="Normal 14 5 4 2" xfId="20954"/>
    <cellStyle name="Normal 14 5 4 2 2" xfId="34979"/>
    <cellStyle name="Normal 14 5 4 3" xfId="26968"/>
    <cellStyle name="Normal 14 5 5" xfId="14944"/>
    <cellStyle name="Normal 14 5 5 2" xfId="22959"/>
    <cellStyle name="Normal 14 5 5 2 2" xfId="36984"/>
    <cellStyle name="Normal 14 5 5 3" xfId="28973"/>
    <cellStyle name="Normal 14 5 6" xfId="16950"/>
    <cellStyle name="Normal 14 5 6 2" xfId="30975"/>
    <cellStyle name="Normal 14 5 7" xfId="18952"/>
    <cellStyle name="Normal 14 5 7 2" xfId="32977"/>
    <cellStyle name="Normal 14 5 8" xfId="24966"/>
    <cellStyle name="Normal 14 6" xfId="2332"/>
    <cellStyle name="Normal 14 6 2" xfId="2333"/>
    <cellStyle name="Normal 14 6 2 2" xfId="12934"/>
    <cellStyle name="Normal 14 6 2 2 2" xfId="20959"/>
    <cellStyle name="Normal 14 6 2 2 2 2" xfId="34984"/>
    <cellStyle name="Normal 14 6 2 2 3" xfId="26973"/>
    <cellStyle name="Normal 14 6 2 3" xfId="14949"/>
    <cellStyle name="Normal 14 6 2 3 2" xfId="22964"/>
    <cellStyle name="Normal 14 6 2 3 2 2" xfId="36989"/>
    <cellStyle name="Normal 14 6 2 3 3" xfId="28978"/>
    <cellStyle name="Normal 14 6 2 4" xfId="16955"/>
    <cellStyle name="Normal 14 6 2 4 2" xfId="30980"/>
    <cellStyle name="Normal 14 6 2 5" xfId="18957"/>
    <cellStyle name="Normal 14 6 2 5 2" xfId="32982"/>
    <cellStyle name="Normal 14 6 2 6" xfId="24971"/>
    <cellStyle name="Normal 14 6 3" xfId="12933"/>
    <cellStyle name="Normal 14 6 3 2" xfId="20958"/>
    <cellStyle name="Normal 14 6 3 2 2" xfId="34983"/>
    <cellStyle name="Normal 14 6 3 3" xfId="26972"/>
    <cellStyle name="Normal 14 6 4" xfId="14948"/>
    <cellStyle name="Normal 14 6 4 2" xfId="22963"/>
    <cellStyle name="Normal 14 6 4 2 2" xfId="36988"/>
    <cellStyle name="Normal 14 6 4 3" xfId="28977"/>
    <cellStyle name="Normal 14 6 5" xfId="16954"/>
    <cellStyle name="Normal 14 6 5 2" xfId="30979"/>
    <cellStyle name="Normal 14 6 6" xfId="18956"/>
    <cellStyle name="Normal 14 6 6 2" xfId="32981"/>
    <cellStyle name="Normal 14 6 7" xfId="24970"/>
    <cellStyle name="Normal 14 7" xfId="2334"/>
    <cellStyle name="Normal 14 7 2" xfId="2335"/>
    <cellStyle name="Normal 14 7 2 2" xfId="12936"/>
    <cellStyle name="Normal 14 7 2 2 2" xfId="20961"/>
    <cellStyle name="Normal 14 7 2 2 2 2" xfId="34986"/>
    <cellStyle name="Normal 14 7 2 2 3" xfId="26975"/>
    <cellStyle name="Normal 14 7 2 3" xfId="14951"/>
    <cellStyle name="Normal 14 7 2 3 2" xfId="22966"/>
    <cellStyle name="Normal 14 7 2 3 2 2" xfId="36991"/>
    <cellStyle name="Normal 14 7 2 3 3" xfId="28980"/>
    <cellStyle name="Normal 14 7 2 4" xfId="16957"/>
    <cellStyle name="Normal 14 7 2 4 2" xfId="30982"/>
    <cellStyle name="Normal 14 7 2 5" xfId="18959"/>
    <cellStyle name="Normal 14 7 2 5 2" xfId="32984"/>
    <cellStyle name="Normal 14 7 2 6" xfId="24973"/>
    <cellStyle name="Normal 14 7 3" xfId="12935"/>
    <cellStyle name="Normal 14 7 3 2" xfId="20960"/>
    <cellStyle name="Normal 14 7 3 2 2" xfId="34985"/>
    <cellStyle name="Normal 14 7 3 3" xfId="26974"/>
    <cellStyle name="Normal 14 7 4" xfId="14950"/>
    <cellStyle name="Normal 14 7 4 2" xfId="22965"/>
    <cellStyle name="Normal 14 7 4 2 2" xfId="36990"/>
    <cellStyle name="Normal 14 7 4 3" xfId="28979"/>
    <cellStyle name="Normal 14 7 5" xfId="16956"/>
    <cellStyle name="Normal 14 7 5 2" xfId="30981"/>
    <cellStyle name="Normal 14 7 6" xfId="18958"/>
    <cellStyle name="Normal 14 7 6 2" xfId="32983"/>
    <cellStyle name="Normal 14 7 7" xfId="24972"/>
    <cellStyle name="Normal 14 8" xfId="2336"/>
    <cellStyle name="Normal 14 8 2" xfId="12937"/>
    <cellStyle name="Normal 14 8 2 2" xfId="20962"/>
    <cellStyle name="Normal 14 8 2 2 2" xfId="34987"/>
    <cellStyle name="Normal 14 8 2 3" xfId="26976"/>
    <cellStyle name="Normal 14 8 3" xfId="14952"/>
    <cellStyle name="Normal 14 8 3 2" xfId="22967"/>
    <cellStyle name="Normal 14 8 3 2 2" xfId="36992"/>
    <cellStyle name="Normal 14 8 3 3" xfId="28981"/>
    <cellStyle name="Normal 14 8 4" xfId="16958"/>
    <cellStyle name="Normal 14 8 4 2" xfId="30983"/>
    <cellStyle name="Normal 14 8 5" xfId="18960"/>
    <cellStyle name="Normal 14 8 5 2" xfId="32985"/>
    <cellStyle name="Normal 14 8 6" xfId="24974"/>
    <cellStyle name="Normal 14 9" xfId="2337"/>
    <cellStyle name="Normal 14 9 2" xfId="12938"/>
    <cellStyle name="Normal 14 9 2 2" xfId="20963"/>
    <cellStyle name="Normal 14 9 2 2 2" xfId="34988"/>
    <cellStyle name="Normal 14 9 2 3" xfId="26977"/>
    <cellStyle name="Normal 14 9 3" xfId="14953"/>
    <cellStyle name="Normal 14 9 3 2" xfId="22968"/>
    <cellStyle name="Normal 14 9 3 2 2" xfId="36993"/>
    <cellStyle name="Normal 14 9 3 3" xfId="28982"/>
    <cellStyle name="Normal 14 9 4" xfId="16959"/>
    <cellStyle name="Normal 14 9 4 2" xfId="30984"/>
    <cellStyle name="Normal 14 9 5" xfId="18961"/>
    <cellStyle name="Normal 14 9 5 2" xfId="32986"/>
    <cellStyle name="Normal 14 9 6" xfId="24975"/>
    <cellStyle name="Normal 15" xfId="495"/>
    <cellStyle name="Normal 15 2" xfId="2338"/>
    <cellStyle name="Normal 15 2 2" xfId="12939"/>
    <cellStyle name="Normal 15 2 2 2" xfId="20964"/>
    <cellStyle name="Normal 15 2 2 2 2" xfId="34989"/>
    <cellStyle name="Normal 15 2 2 3" xfId="26978"/>
    <cellStyle name="Normal 15 2 3" xfId="14954"/>
    <cellStyle name="Normal 15 2 3 2" xfId="22969"/>
    <cellStyle name="Normal 15 2 3 2 2" xfId="36994"/>
    <cellStyle name="Normal 15 2 3 3" xfId="28983"/>
    <cellStyle name="Normal 15 2 4" xfId="16960"/>
    <cellStyle name="Normal 15 2 4 2" xfId="30985"/>
    <cellStyle name="Normal 15 2 5" xfId="18962"/>
    <cellStyle name="Normal 15 2 5 2" xfId="32987"/>
    <cellStyle name="Normal 15 2 6" xfId="24976"/>
    <cellStyle name="Normal 16" xfId="496"/>
    <cellStyle name="Normal 16 10" xfId="11279"/>
    <cellStyle name="Normal 16 10 2" xfId="13642"/>
    <cellStyle name="Normal 16 10 2 2" xfId="21664"/>
    <cellStyle name="Normal 16 10 2 2 2" xfId="35689"/>
    <cellStyle name="Normal 16 10 2 3" xfId="27678"/>
    <cellStyle name="Normal 16 10 3" xfId="15652"/>
    <cellStyle name="Normal 16 10 3 2" xfId="23667"/>
    <cellStyle name="Normal 16 10 3 2 2" xfId="37692"/>
    <cellStyle name="Normal 16 10 3 3" xfId="29681"/>
    <cellStyle name="Normal 16 10 4" xfId="17658"/>
    <cellStyle name="Normal 16 10 4 2" xfId="31683"/>
    <cellStyle name="Normal 16 10 5" xfId="19660"/>
    <cellStyle name="Normal 16 10 5 2" xfId="33685"/>
    <cellStyle name="Normal 16 10 6" xfId="25674"/>
    <cellStyle name="Normal 16 11" xfId="11631"/>
    <cellStyle name="Normal 16 11 2" xfId="19662"/>
    <cellStyle name="Normal 16 11 2 2" xfId="33687"/>
    <cellStyle name="Normal 16 11 3" xfId="25676"/>
    <cellStyle name="Normal 16 12" xfId="13652"/>
    <cellStyle name="Normal 16 12 2" xfId="21667"/>
    <cellStyle name="Normal 16 12 2 2" xfId="35692"/>
    <cellStyle name="Normal 16 12 3" xfId="27681"/>
    <cellStyle name="Normal 16 13" xfId="15658"/>
    <cellStyle name="Normal 16 13 2" xfId="29683"/>
    <cellStyle name="Normal 16 14" xfId="17660"/>
    <cellStyle name="Normal 16 14 2" xfId="31685"/>
    <cellStyle name="Normal 16 15" xfId="23674"/>
    <cellStyle name="Normal 16 2" xfId="2339"/>
    <cellStyle name="Normal 16 2 10" xfId="18963"/>
    <cellStyle name="Normal 16 2 10 2" xfId="32988"/>
    <cellStyle name="Normal 16 2 11" xfId="24977"/>
    <cellStyle name="Normal 16 2 2" xfId="2340"/>
    <cellStyle name="Normal 16 2 2 10" xfId="24978"/>
    <cellStyle name="Normal 16 2 2 2" xfId="2341"/>
    <cellStyle name="Normal 16 2 2 2 2" xfId="2342"/>
    <cellStyle name="Normal 16 2 2 2 2 2" xfId="2343"/>
    <cellStyle name="Normal 16 2 2 2 2 2 2" xfId="12944"/>
    <cellStyle name="Normal 16 2 2 2 2 2 2 2" xfId="20969"/>
    <cellStyle name="Normal 16 2 2 2 2 2 2 2 2" xfId="34994"/>
    <cellStyle name="Normal 16 2 2 2 2 2 2 3" xfId="26983"/>
    <cellStyle name="Normal 16 2 2 2 2 2 3" xfId="14959"/>
    <cellStyle name="Normal 16 2 2 2 2 2 3 2" xfId="22974"/>
    <cellStyle name="Normal 16 2 2 2 2 2 3 2 2" xfId="36999"/>
    <cellStyle name="Normal 16 2 2 2 2 2 3 3" xfId="28988"/>
    <cellStyle name="Normal 16 2 2 2 2 2 4" xfId="16965"/>
    <cellStyle name="Normal 16 2 2 2 2 2 4 2" xfId="30990"/>
    <cellStyle name="Normal 16 2 2 2 2 2 5" xfId="18967"/>
    <cellStyle name="Normal 16 2 2 2 2 2 5 2" xfId="32992"/>
    <cellStyle name="Normal 16 2 2 2 2 2 6" xfId="24981"/>
    <cellStyle name="Normal 16 2 2 2 2 3" xfId="12943"/>
    <cellStyle name="Normal 16 2 2 2 2 3 2" xfId="20968"/>
    <cellStyle name="Normal 16 2 2 2 2 3 2 2" xfId="34993"/>
    <cellStyle name="Normal 16 2 2 2 2 3 3" xfId="26982"/>
    <cellStyle name="Normal 16 2 2 2 2 4" xfId="14958"/>
    <cellStyle name="Normal 16 2 2 2 2 4 2" xfId="22973"/>
    <cellStyle name="Normal 16 2 2 2 2 4 2 2" xfId="36998"/>
    <cellStyle name="Normal 16 2 2 2 2 4 3" xfId="28987"/>
    <cellStyle name="Normal 16 2 2 2 2 5" xfId="16964"/>
    <cellStyle name="Normal 16 2 2 2 2 5 2" xfId="30989"/>
    <cellStyle name="Normal 16 2 2 2 2 6" xfId="18966"/>
    <cellStyle name="Normal 16 2 2 2 2 6 2" xfId="32991"/>
    <cellStyle name="Normal 16 2 2 2 2 7" xfId="24980"/>
    <cellStyle name="Normal 16 2 2 2 3" xfId="2344"/>
    <cellStyle name="Normal 16 2 2 2 3 2" xfId="12945"/>
    <cellStyle name="Normal 16 2 2 2 3 2 2" xfId="20970"/>
    <cellStyle name="Normal 16 2 2 2 3 2 2 2" xfId="34995"/>
    <cellStyle name="Normal 16 2 2 2 3 2 3" xfId="26984"/>
    <cellStyle name="Normal 16 2 2 2 3 3" xfId="14960"/>
    <cellStyle name="Normal 16 2 2 2 3 3 2" xfId="22975"/>
    <cellStyle name="Normal 16 2 2 2 3 3 2 2" xfId="37000"/>
    <cellStyle name="Normal 16 2 2 2 3 3 3" xfId="28989"/>
    <cellStyle name="Normal 16 2 2 2 3 4" xfId="16966"/>
    <cellStyle name="Normal 16 2 2 2 3 4 2" xfId="30991"/>
    <cellStyle name="Normal 16 2 2 2 3 5" xfId="18968"/>
    <cellStyle name="Normal 16 2 2 2 3 5 2" xfId="32993"/>
    <cellStyle name="Normal 16 2 2 2 3 6" xfId="24982"/>
    <cellStyle name="Normal 16 2 2 2 4" xfId="12942"/>
    <cellStyle name="Normal 16 2 2 2 4 2" xfId="20967"/>
    <cellStyle name="Normal 16 2 2 2 4 2 2" xfId="34992"/>
    <cellStyle name="Normal 16 2 2 2 4 3" xfId="26981"/>
    <cellStyle name="Normal 16 2 2 2 5" xfId="14957"/>
    <cellStyle name="Normal 16 2 2 2 5 2" xfId="22972"/>
    <cellStyle name="Normal 16 2 2 2 5 2 2" xfId="36997"/>
    <cellStyle name="Normal 16 2 2 2 5 3" xfId="28986"/>
    <cellStyle name="Normal 16 2 2 2 6" xfId="16963"/>
    <cellStyle name="Normal 16 2 2 2 6 2" xfId="30988"/>
    <cellStyle name="Normal 16 2 2 2 7" xfId="18965"/>
    <cellStyle name="Normal 16 2 2 2 7 2" xfId="32990"/>
    <cellStyle name="Normal 16 2 2 2 8" xfId="24979"/>
    <cellStyle name="Normal 16 2 2 3" xfId="2345"/>
    <cellStyle name="Normal 16 2 2 3 2" xfId="2346"/>
    <cellStyle name="Normal 16 2 2 3 2 2" xfId="12947"/>
    <cellStyle name="Normal 16 2 2 3 2 2 2" xfId="20972"/>
    <cellStyle name="Normal 16 2 2 3 2 2 2 2" xfId="34997"/>
    <cellStyle name="Normal 16 2 2 3 2 2 3" xfId="26986"/>
    <cellStyle name="Normal 16 2 2 3 2 3" xfId="14962"/>
    <cellStyle name="Normal 16 2 2 3 2 3 2" xfId="22977"/>
    <cellStyle name="Normal 16 2 2 3 2 3 2 2" xfId="37002"/>
    <cellStyle name="Normal 16 2 2 3 2 3 3" xfId="28991"/>
    <cellStyle name="Normal 16 2 2 3 2 4" xfId="16968"/>
    <cellStyle name="Normal 16 2 2 3 2 4 2" xfId="30993"/>
    <cellStyle name="Normal 16 2 2 3 2 5" xfId="18970"/>
    <cellStyle name="Normal 16 2 2 3 2 5 2" xfId="32995"/>
    <cellStyle name="Normal 16 2 2 3 2 6" xfId="24984"/>
    <cellStyle name="Normal 16 2 2 3 3" xfId="12946"/>
    <cellStyle name="Normal 16 2 2 3 3 2" xfId="20971"/>
    <cellStyle name="Normal 16 2 2 3 3 2 2" xfId="34996"/>
    <cellStyle name="Normal 16 2 2 3 3 3" xfId="26985"/>
    <cellStyle name="Normal 16 2 2 3 4" xfId="14961"/>
    <cellStyle name="Normal 16 2 2 3 4 2" xfId="22976"/>
    <cellStyle name="Normal 16 2 2 3 4 2 2" xfId="37001"/>
    <cellStyle name="Normal 16 2 2 3 4 3" xfId="28990"/>
    <cellStyle name="Normal 16 2 2 3 5" xfId="16967"/>
    <cellStyle name="Normal 16 2 2 3 5 2" xfId="30992"/>
    <cellStyle name="Normal 16 2 2 3 6" xfId="18969"/>
    <cellStyle name="Normal 16 2 2 3 6 2" xfId="32994"/>
    <cellStyle name="Normal 16 2 2 3 7" xfId="24983"/>
    <cellStyle name="Normal 16 2 2 4" xfId="2347"/>
    <cellStyle name="Normal 16 2 2 4 2" xfId="2348"/>
    <cellStyle name="Normal 16 2 2 4 2 2" xfId="12949"/>
    <cellStyle name="Normal 16 2 2 4 2 2 2" xfId="20974"/>
    <cellStyle name="Normal 16 2 2 4 2 2 2 2" xfId="34999"/>
    <cellStyle name="Normal 16 2 2 4 2 2 3" xfId="26988"/>
    <cellStyle name="Normal 16 2 2 4 2 3" xfId="14964"/>
    <cellStyle name="Normal 16 2 2 4 2 3 2" xfId="22979"/>
    <cellStyle name="Normal 16 2 2 4 2 3 2 2" xfId="37004"/>
    <cellStyle name="Normal 16 2 2 4 2 3 3" xfId="28993"/>
    <cellStyle name="Normal 16 2 2 4 2 4" xfId="16970"/>
    <cellStyle name="Normal 16 2 2 4 2 4 2" xfId="30995"/>
    <cellStyle name="Normal 16 2 2 4 2 5" xfId="18972"/>
    <cellStyle name="Normal 16 2 2 4 2 5 2" xfId="32997"/>
    <cellStyle name="Normal 16 2 2 4 2 6" xfId="24986"/>
    <cellStyle name="Normal 16 2 2 4 3" xfId="12948"/>
    <cellStyle name="Normal 16 2 2 4 3 2" xfId="20973"/>
    <cellStyle name="Normal 16 2 2 4 3 2 2" xfId="34998"/>
    <cellStyle name="Normal 16 2 2 4 3 3" xfId="26987"/>
    <cellStyle name="Normal 16 2 2 4 4" xfId="14963"/>
    <cellStyle name="Normal 16 2 2 4 4 2" xfId="22978"/>
    <cellStyle name="Normal 16 2 2 4 4 2 2" xfId="37003"/>
    <cellStyle name="Normal 16 2 2 4 4 3" xfId="28992"/>
    <cellStyle name="Normal 16 2 2 4 5" xfId="16969"/>
    <cellStyle name="Normal 16 2 2 4 5 2" xfId="30994"/>
    <cellStyle name="Normal 16 2 2 4 6" xfId="18971"/>
    <cellStyle name="Normal 16 2 2 4 6 2" xfId="32996"/>
    <cellStyle name="Normal 16 2 2 4 7" xfId="24985"/>
    <cellStyle name="Normal 16 2 2 5" xfId="2349"/>
    <cellStyle name="Normal 16 2 2 5 2" xfId="12950"/>
    <cellStyle name="Normal 16 2 2 5 2 2" xfId="20975"/>
    <cellStyle name="Normal 16 2 2 5 2 2 2" xfId="35000"/>
    <cellStyle name="Normal 16 2 2 5 2 3" xfId="26989"/>
    <cellStyle name="Normal 16 2 2 5 3" xfId="14965"/>
    <cellStyle name="Normal 16 2 2 5 3 2" xfId="22980"/>
    <cellStyle name="Normal 16 2 2 5 3 2 2" xfId="37005"/>
    <cellStyle name="Normal 16 2 2 5 3 3" xfId="28994"/>
    <cellStyle name="Normal 16 2 2 5 4" xfId="16971"/>
    <cellStyle name="Normal 16 2 2 5 4 2" xfId="30996"/>
    <cellStyle name="Normal 16 2 2 5 5" xfId="18973"/>
    <cellStyle name="Normal 16 2 2 5 5 2" xfId="32998"/>
    <cellStyle name="Normal 16 2 2 5 6" xfId="24987"/>
    <cellStyle name="Normal 16 2 2 6" xfId="12941"/>
    <cellStyle name="Normal 16 2 2 6 2" xfId="20966"/>
    <cellStyle name="Normal 16 2 2 6 2 2" xfId="34991"/>
    <cellStyle name="Normal 16 2 2 6 3" xfId="26980"/>
    <cellStyle name="Normal 16 2 2 7" xfId="14956"/>
    <cellStyle name="Normal 16 2 2 7 2" xfId="22971"/>
    <cellStyle name="Normal 16 2 2 7 2 2" xfId="36996"/>
    <cellStyle name="Normal 16 2 2 7 3" xfId="28985"/>
    <cellStyle name="Normal 16 2 2 8" xfId="16962"/>
    <cellStyle name="Normal 16 2 2 8 2" xfId="30987"/>
    <cellStyle name="Normal 16 2 2 9" xfId="18964"/>
    <cellStyle name="Normal 16 2 2 9 2" xfId="32989"/>
    <cellStyle name="Normal 16 2 3" xfId="2350"/>
    <cellStyle name="Normal 16 2 3 2" xfId="2351"/>
    <cellStyle name="Normal 16 2 3 2 2" xfId="2352"/>
    <cellStyle name="Normal 16 2 3 2 2 2" xfId="12953"/>
    <cellStyle name="Normal 16 2 3 2 2 2 2" xfId="20978"/>
    <cellStyle name="Normal 16 2 3 2 2 2 2 2" xfId="35003"/>
    <cellStyle name="Normal 16 2 3 2 2 2 3" xfId="26992"/>
    <cellStyle name="Normal 16 2 3 2 2 3" xfId="14968"/>
    <cellStyle name="Normal 16 2 3 2 2 3 2" xfId="22983"/>
    <cellStyle name="Normal 16 2 3 2 2 3 2 2" xfId="37008"/>
    <cellStyle name="Normal 16 2 3 2 2 3 3" xfId="28997"/>
    <cellStyle name="Normal 16 2 3 2 2 4" xfId="16974"/>
    <cellStyle name="Normal 16 2 3 2 2 4 2" xfId="30999"/>
    <cellStyle name="Normal 16 2 3 2 2 5" xfId="18976"/>
    <cellStyle name="Normal 16 2 3 2 2 5 2" xfId="33001"/>
    <cellStyle name="Normal 16 2 3 2 2 6" xfId="24990"/>
    <cellStyle name="Normal 16 2 3 2 3" xfId="12952"/>
    <cellStyle name="Normal 16 2 3 2 3 2" xfId="20977"/>
    <cellStyle name="Normal 16 2 3 2 3 2 2" xfId="35002"/>
    <cellStyle name="Normal 16 2 3 2 3 3" xfId="26991"/>
    <cellStyle name="Normal 16 2 3 2 4" xfId="14967"/>
    <cellStyle name="Normal 16 2 3 2 4 2" xfId="22982"/>
    <cellStyle name="Normal 16 2 3 2 4 2 2" xfId="37007"/>
    <cellStyle name="Normal 16 2 3 2 4 3" xfId="28996"/>
    <cellStyle name="Normal 16 2 3 2 5" xfId="16973"/>
    <cellStyle name="Normal 16 2 3 2 5 2" xfId="30998"/>
    <cellStyle name="Normal 16 2 3 2 6" xfId="18975"/>
    <cellStyle name="Normal 16 2 3 2 6 2" xfId="33000"/>
    <cellStyle name="Normal 16 2 3 2 7" xfId="24989"/>
    <cellStyle name="Normal 16 2 3 3" xfId="2353"/>
    <cellStyle name="Normal 16 2 3 3 2" xfId="12954"/>
    <cellStyle name="Normal 16 2 3 3 2 2" xfId="20979"/>
    <cellStyle name="Normal 16 2 3 3 2 2 2" xfId="35004"/>
    <cellStyle name="Normal 16 2 3 3 2 3" xfId="26993"/>
    <cellStyle name="Normal 16 2 3 3 3" xfId="14969"/>
    <cellStyle name="Normal 16 2 3 3 3 2" xfId="22984"/>
    <cellStyle name="Normal 16 2 3 3 3 2 2" xfId="37009"/>
    <cellStyle name="Normal 16 2 3 3 3 3" xfId="28998"/>
    <cellStyle name="Normal 16 2 3 3 4" xfId="16975"/>
    <cellStyle name="Normal 16 2 3 3 4 2" xfId="31000"/>
    <cellStyle name="Normal 16 2 3 3 5" xfId="18977"/>
    <cellStyle name="Normal 16 2 3 3 5 2" xfId="33002"/>
    <cellStyle name="Normal 16 2 3 3 6" xfId="24991"/>
    <cellStyle name="Normal 16 2 3 4" xfId="12951"/>
    <cellStyle name="Normal 16 2 3 4 2" xfId="20976"/>
    <cellStyle name="Normal 16 2 3 4 2 2" xfId="35001"/>
    <cellStyle name="Normal 16 2 3 4 3" xfId="26990"/>
    <cellStyle name="Normal 16 2 3 5" xfId="14966"/>
    <cellStyle name="Normal 16 2 3 5 2" xfId="22981"/>
    <cellStyle name="Normal 16 2 3 5 2 2" xfId="37006"/>
    <cellStyle name="Normal 16 2 3 5 3" xfId="28995"/>
    <cellStyle name="Normal 16 2 3 6" xfId="16972"/>
    <cellStyle name="Normal 16 2 3 6 2" xfId="30997"/>
    <cellStyle name="Normal 16 2 3 7" xfId="18974"/>
    <cellStyle name="Normal 16 2 3 7 2" xfId="32999"/>
    <cellStyle name="Normal 16 2 3 8" xfId="24988"/>
    <cellStyle name="Normal 16 2 4" xfId="2354"/>
    <cellStyle name="Normal 16 2 4 2" xfId="2355"/>
    <cellStyle name="Normal 16 2 4 2 2" xfId="12956"/>
    <cellStyle name="Normal 16 2 4 2 2 2" xfId="20981"/>
    <cellStyle name="Normal 16 2 4 2 2 2 2" xfId="35006"/>
    <cellStyle name="Normal 16 2 4 2 2 3" xfId="26995"/>
    <cellStyle name="Normal 16 2 4 2 3" xfId="14971"/>
    <cellStyle name="Normal 16 2 4 2 3 2" xfId="22986"/>
    <cellStyle name="Normal 16 2 4 2 3 2 2" xfId="37011"/>
    <cellStyle name="Normal 16 2 4 2 3 3" xfId="29000"/>
    <cellStyle name="Normal 16 2 4 2 4" xfId="16977"/>
    <cellStyle name="Normal 16 2 4 2 4 2" xfId="31002"/>
    <cellStyle name="Normal 16 2 4 2 5" xfId="18979"/>
    <cellStyle name="Normal 16 2 4 2 5 2" xfId="33004"/>
    <cellStyle name="Normal 16 2 4 2 6" xfId="24993"/>
    <cellStyle name="Normal 16 2 4 3" xfId="12955"/>
    <cellStyle name="Normal 16 2 4 3 2" xfId="20980"/>
    <cellStyle name="Normal 16 2 4 3 2 2" xfId="35005"/>
    <cellStyle name="Normal 16 2 4 3 3" xfId="26994"/>
    <cellStyle name="Normal 16 2 4 4" xfId="14970"/>
    <cellStyle name="Normal 16 2 4 4 2" xfId="22985"/>
    <cellStyle name="Normal 16 2 4 4 2 2" xfId="37010"/>
    <cellStyle name="Normal 16 2 4 4 3" xfId="28999"/>
    <cellStyle name="Normal 16 2 4 5" xfId="16976"/>
    <cellStyle name="Normal 16 2 4 5 2" xfId="31001"/>
    <cellStyle name="Normal 16 2 4 6" xfId="18978"/>
    <cellStyle name="Normal 16 2 4 6 2" xfId="33003"/>
    <cellStyle name="Normal 16 2 4 7" xfId="24992"/>
    <cellStyle name="Normal 16 2 5" xfId="2356"/>
    <cellStyle name="Normal 16 2 5 2" xfId="2357"/>
    <cellStyle name="Normal 16 2 5 2 2" xfId="12958"/>
    <cellStyle name="Normal 16 2 5 2 2 2" xfId="20983"/>
    <cellStyle name="Normal 16 2 5 2 2 2 2" xfId="35008"/>
    <cellStyle name="Normal 16 2 5 2 2 3" xfId="26997"/>
    <cellStyle name="Normal 16 2 5 2 3" xfId="14973"/>
    <cellStyle name="Normal 16 2 5 2 3 2" xfId="22988"/>
    <cellStyle name="Normal 16 2 5 2 3 2 2" xfId="37013"/>
    <cellStyle name="Normal 16 2 5 2 3 3" xfId="29002"/>
    <cellStyle name="Normal 16 2 5 2 4" xfId="16979"/>
    <cellStyle name="Normal 16 2 5 2 4 2" xfId="31004"/>
    <cellStyle name="Normal 16 2 5 2 5" xfId="18981"/>
    <cellStyle name="Normal 16 2 5 2 5 2" xfId="33006"/>
    <cellStyle name="Normal 16 2 5 2 6" xfId="24995"/>
    <cellStyle name="Normal 16 2 5 3" xfId="12957"/>
    <cellStyle name="Normal 16 2 5 3 2" xfId="20982"/>
    <cellStyle name="Normal 16 2 5 3 2 2" xfId="35007"/>
    <cellStyle name="Normal 16 2 5 3 3" xfId="26996"/>
    <cellStyle name="Normal 16 2 5 4" xfId="14972"/>
    <cellStyle name="Normal 16 2 5 4 2" xfId="22987"/>
    <cellStyle name="Normal 16 2 5 4 2 2" xfId="37012"/>
    <cellStyle name="Normal 16 2 5 4 3" xfId="29001"/>
    <cellStyle name="Normal 16 2 5 5" xfId="16978"/>
    <cellStyle name="Normal 16 2 5 5 2" xfId="31003"/>
    <cellStyle name="Normal 16 2 5 6" xfId="18980"/>
    <cellStyle name="Normal 16 2 5 6 2" xfId="33005"/>
    <cellStyle name="Normal 16 2 5 7" xfId="24994"/>
    <cellStyle name="Normal 16 2 6" xfId="2358"/>
    <cellStyle name="Normal 16 2 6 2" xfId="12959"/>
    <cellStyle name="Normal 16 2 6 2 2" xfId="20984"/>
    <cellStyle name="Normal 16 2 6 2 2 2" xfId="35009"/>
    <cellStyle name="Normal 16 2 6 2 3" xfId="26998"/>
    <cellStyle name="Normal 16 2 6 3" xfId="14974"/>
    <cellStyle name="Normal 16 2 6 3 2" xfId="22989"/>
    <cellStyle name="Normal 16 2 6 3 2 2" xfId="37014"/>
    <cellStyle name="Normal 16 2 6 3 3" xfId="29003"/>
    <cellStyle name="Normal 16 2 6 4" xfId="16980"/>
    <cellStyle name="Normal 16 2 6 4 2" xfId="31005"/>
    <cellStyle name="Normal 16 2 6 5" xfId="18982"/>
    <cellStyle name="Normal 16 2 6 5 2" xfId="33007"/>
    <cellStyle name="Normal 16 2 6 6" xfId="24996"/>
    <cellStyle name="Normal 16 2 7" xfId="12940"/>
    <cellStyle name="Normal 16 2 7 2" xfId="20965"/>
    <cellStyle name="Normal 16 2 7 2 2" xfId="34990"/>
    <cellStyle name="Normal 16 2 7 3" xfId="26979"/>
    <cellStyle name="Normal 16 2 8" xfId="14955"/>
    <cellStyle name="Normal 16 2 8 2" xfId="22970"/>
    <cellStyle name="Normal 16 2 8 2 2" xfId="36995"/>
    <cellStyle name="Normal 16 2 8 3" xfId="28984"/>
    <cellStyle name="Normal 16 2 9" xfId="16961"/>
    <cellStyle name="Normal 16 2 9 2" xfId="30986"/>
    <cellStyle name="Normal 16 3" xfId="2359"/>
    <cellStyle name="Normal 16 3 10" xfId="24997"/>
    <cellStyle name="Normal 16 3 2" xfId="2360"/>
    <cellStyle name="Normal 16 3 2 2" xfId="2361"/>
    <cellStyle name="Normal 16 3 2 2 2" xfId="2362"/>
    <cellStyle name="Normal 16 3 2 2 2 2" xfId="12963"/>
    <cellStyle name="Normal 16 3 2 2 2 2 2" xfId="20988"/>
    <cellStyle name="Normal 16 3 2 2 2 2 2 2" xfId="35013"/>
    <cellStyle name="Normal 16 3 2 2 2 2 3" xfId="27002"/>
    <cellStyle name="Normal 16 3 2 2 2 3" xfId="14978"/>
    <cellStyle name="Normal 16 3 2 2 2 3 2" xfId="22993"/>
    <cellStyle name="Normal 16 3 2 2 2 3 2 2" xfId="37018"/>
    <cellStyle name="Normal 16 3 2 2 2 3 3" xfId="29007"/>
    <cellStyle name="Normal 16 3 2 2 2 4" xfId="16984"/>
    <cellStyle name="Normal 16 3 2 2 2 4 2" xfId="31009"/>
    <cellStyle name="Normal 16 3 2 2 2 5" xfId="18986"/>
    <cellStyle name="Normal 16 3 2 2 2 5 2" xfId="33011"/>
    <cellStyle name="Normal 16 3 2 2 2 6" xfId="25000"/>
    <cellStyle name="Normal 16 3 2 2 3" xfId="12962"/>
    <cellStyle name="Normal 16 3 2 2 3 2" xfId="20987"/>
    <cellStyle name="Normal 16 3 2 2 3 2 2" xfId="35012"/>
    <cellStyle name="Normal 16 3 2 2 3 3" xfId="27001"/>
    <cellStyle name="Normal 16 3 2 2 4" xfId="14977"/>
    <cellStyle name="Normal 16 3 2 2 4 2" xfId="22992"/>
    <cellStyle name="Normal 16 3 2 2 4 2 2" xfId="37017"/>
    <cellStyle name="Normal 16 3 2 2 4 3" xfId="29006"/>
    <cellStyle name="Normal 16 3 2 2 5" xfId="16983"/>
    <cellStyle name="Normal 16 3 2 2 5 2" xfId="31008"/>
    <cellStyle name="Normal 16 3 2 2 6" xfId="18985"/>
    <cellStyle name="Normal 16 3 2 2 6 2" xfId="33010"/>
    <cellStyle name="Normal 16 3 2 2 7" xfId="24999"/>
    <cellStyle name="Normal 16 3 2 3" xfId="2363"/>
    <cellStyle name="Normal 16 3 2 3 2" xfId="12964"/>
    <cellStyle name="Normal 16 3 2 3 2 2" xfId="20989"/>
    <cellStyle name="Normal 16 3 2 3 2 2 2" xfId="35014"/>
    <cellStyle name="Normal 16 3 2 3 2 3" xfId="27003"/>
    <cellStyle name="Normal 16 3 2 3 3" xfId="14979"/>
    <cellStyle name="Normal 16 3 2 3 3 2" xfId="22994"/>
    <cellStyle name="Normal 16 3 2 3 3 2 2" xfId="37019"/>
    <cellStyle name="Normal 16 3 2 3 3 3" xfId="29008"/>
    <cellStyle name="Normal 16 3 2 3 4" xfId="16985"/>
    <cellStyle name="Normal 16 3 2 3 4 2" xfId="31010"/>
    <cellStyle name="Normal 16 3 2 3 5" xfId="18987"/>
    <cellStyle name="Normal 16 3 2 3 5 2" xfId="33012"/>
    <cellStyle name="Normal 16 3 2 3 6" xfId="25001"/>
    <cellStyle name="Normal 16 3 2 4" xfId="12961"/>
    <cellStyle name="Normal 16 3 2 4 2" xfId="20986"/>
    <cellStyle name="Normal 16 3 2 4 2 2" xfId="35011"/>
    <cellStyle name="Normal 16 3 2 4 3" xfId="27000"/>
    <cellStyle name="Normal 16 3 2 5" xfId="14976"/>
    <cellStyle name="Normal 16 3 2 5 2" xfId="22991"/>
    <cellStyle name="Normal 16 3 2 5 2 2" xfId="37016"/>
    <cellStyle name="Normal 16 3 2 5 3" xfId="29005"/>
    <cellStyle name="Normal 16 3 2 6" xfId="16982"/>
    <cellStyle name="Normal 16 3 2 6 2" xfId="31007"/>
    <cellStyle name="Normal 16 3 2 7" xfId="18984"/>
    <cellStyle name="Normal 16 3 2 7 2" xfId="33009"/>
    <cellStyle name="Normal 16 3 2 8" xfId="24998"/>
    <cellStyle name="Normal 16 3 3" xfId="2364"/>
    <cellStyle name="Normal 16 3 3 2" xfId="2365"/>
    <cellStyle name="Normal 16 3 3 2 2" xfId="12966"/>
    <cellStyle name="Normal 16 3 3 2 2 2" xfId="20991"/>
    <cellStyle name="Normal 16 3 3 2 2 2 2" xfId="35016"/>
    <cellStyle name="Normal 16 3 3 2 2 3" xfId="27005"/>
    <cellStyle name="Normal 16 3 3 2 3" xfId="14981"/>
    <cellStyle name="Normal 16 3 3 2 3 2" xfId="22996"/>
    <cellStyle name="Normal 16 3 3 2 3 2 2" xfId="37021"/>
    <cellStyle name="Normal 16 3 3 2 3 3" xfId="29010"/>
    <cellStyle name="Normal 16 3 3 2 4" xfId="16987"/>
    <cellStyle name="Normal 16 3 3 2 4 2" xfId="31012"/>
    <cellStyle name="Normal 16 3 3 2 5" xfId="18989"/>
    <cellStyle name="Normal 16 3 3 2 5 2" xfId="33014"/>
    <cellStyle name="Normal 16 3 3 2 6" xfId="25003"/>
    <cellStyle name="Normal 16 3 3 3" xfId="12965"/>
    <cellStyle name="Normal 16 3 3 3 2" xfId="20990"/>
    <cellStyle name="Normal 16 3 3 3 2 2" xfId="35015"/>
    <cellStyle name="Normal 16 3 3 3 3" xfId="27004"/>
    <cellStyle name="Normal 16 3 3 4" xfId="14980"/>
    <cellStyle name="Normal 16 3 3 4 2" xfId="22995"/>
    <cellStyle name="Normal 16 3 3 4 2 2" xfId="37020"/>
    <cellStyle name="Normal 16 3 3 4 3" xfId="29009"/>
    <cellStyle name="Normal 16 3 3 5" xfId="16986"/>
    <cellStyle name="Normal 16 3 3 5 2" xfId="31011"/>
    <cellStyle name="Normal 16 3 3 6" xfId="18988"/>
    <cellStyle name="Normal 16 3 3 6 2" xfId="33013"/>
    <cellStyle name="Normal 16 3 3 7" xfId="25002"/>
    <cellStyle name="Normal 16 3 4" xfId="2366"/>
    <cellStyle name="Normal 16 3 4 2" xfId="2367"/>
    <cellStyle name="Normal 16 3 4 2 2" xfId="12968"/>
    <cellStyle name="Normal 16 3 4 2 2 2" xfId="20993"/>
    <cellStyle name="Normal 16 3 4 2 2 2 2" xfId="35018"/>
    <cellStyle name="Normal 16 3 4 2 2 3" xfId="27007"/>
    <cellStyle name="Normal 16 3 4 2 3" xfId="14983"/>
    <cellStyle name="Normal 16 3 4 2 3 2" xfId="22998"/>
    <cellStyle name="Normal 16 3 4 2 3 2 2" xfId="37023"/>
    <cellStyle name="Normal 16 3 4 2 3 3" xfId="29012"/>
    <cellStyle name="Normal 16 3 4 2 4" xfId="16989"/>
    <cellStyle name="Normal 16 3 4 2 4 2" xfId="31014"/>
    <cellStyle name="Normal 16 3 4 2 5" xfId="18991"/>
    <cellStyle name="Normal 16 3 4 2 5 2" xfId="33016"/>
    <cellStyle name="Normal 16 3 4 2 6" xfId="25005"/>
    <cellStyle name="Normal 16 3 4 3" xfId="12967"/>
    <cellStyle name="Normal 16 3 4 3 2" xfId="20992"/>
    <cellStyle name="Normal 16 3 4 3 2 2" xfId="35017"/>
    <cellStyle name="Normal 16 3 4 3 3" xfId="27006"/>
    <cellStyle name="Normal 16 3 4 4" xfId="14982"/>
    <cellStyle name="Normal 16 3 4 4 2" xfId="22997"/>
    <cellStyle name="Normal 16 3 4 4 2 2" xfId="37022"/>
    <cellStyle name="Normal 16 3 4 4 3" xfId="29011"/>
    <cellStyle name="Normal 16 3 4 5" xfId="16988"/>
    <cellStyle name="Normal 16 3 4 5 2" xfId="31013"/>
    <cellStyle name="Normal 16 3 4 6" xfId="18990"/>
    <cellStyle name="Normal 16 3 4 6 2" xfId="33015"/>
    <cellStyle name="Normal 16 3 4 7" xfId="25004"/>
    <cellStyle name="Normal 16 3 5" xfId="2368"/>
    <cellStyle name="Normal 16 3 5 2" xfId="12969"/>
    <cellStyle name="Normal 16 3 5 2 2" xfId="20994"/>
    <cellStyle name="Normal 16 3 5 2 2 2" xfId="35019"/>
    <cellStyle name="Normal 16 3 5 2 3" xfId="27008"/>
    <cellStyle name="Normal 16 3 5 3" xfId="14984"/>
    <cellStyle name="Normal 16 3 5 3 2" xfId="22999"/>
    <cellStyle name="Normal 16 3 5 3 2 2" xfId="37024"/>
    <cellStyle name="Normal 16 3 5 3 3" xfId="29013"/>
    <cellStyle name="Normal 16 3 5 4" xfId="16990"/>
    <cellStyle name="Normal 16 3 5 4 2" xfId="31015"/>
    <cellStyle name="Normal 16 3 5 5" xfId="18992"/>
    <cellStyle name="Normal 16 3 5 5 2" xfId="33017"/>
    <cellStyle name="Normal 16 3 5 6" xfId="25006"/>
    <cellStyle name="Normal 16 3 6" xfId="12960"/>
    <cellStyle name="Normal 16 3 6 2" xfId="20985"/>
    <cellStyle name="Normal 16 3 6 2 2" xfId="35010"/>
    <cellStyle name="Normal 16 3 6 3" xfId="26999"/>
    <cellStyle name="Normal 16 3 7" xfId="14975"/>
    <cellStyle name="Normal 16 3 7 2" xfId="22990"/>
    <cellStyle name="Normal 16 3 7 2 2" xfId="37015"/>
    <cellStyle name="Normal 16 3 7 3" xfId="29004"/>
    <cellStyle name="Normal 16 3 8" xfId="16981"/>
    <cellStyle name="Normal 16 3 8 2" xfId="31006"/>
    <cellStyle name="Normal 16 3 9" xfId="18983"/>
    <cellStyle name="Normal 16 3 9 2" xfId="33008"/>
    <cellStyle name="Normal 16 4" xfId="2369"/>
    <cellStyle name="Normal 16 4 10" xfId="25007"/>
    <cellStyle name="Normal 16 4 2" xfId="2370"/>
    <cellStyle name="Normal 16 4 2 2" xfId="2371"/>
    <cellStyle name="Normal 16 4 2 2 2" xfId="2372"/>
    <cellStyle name="Normal 16 4 2 2 2 2" xfId="12973"/>
    <cellStyle name="Normal 16 4 2 2 2 2 2" xfId="20998"/>
    <cellStyle name="Normal 16 4 2 2 2 2 2 2" xfId="35023"/>
    <cellStyle name="Normal 16 4 2 2 2 2 3" xfId="27012"/>
    <cellStyle name="Normal 16 4 2 2 2 3" xfId="14988"/>
    <cellStyle name="Normal 16 4 2 2 2 3 2" xfId="23003"/>
    <cellStyle name="Normal 16 4 2 2 2 3 2 2" xfId="37028"/>
    <cellStyle name="Normal 16 4 2 2 2 3 3" xfId="29017"/>
    <cellStyle name="Normal 16 4 2 2 2 4" xfId="16994"/>
    <cellStyle name="Normal 16 4 2 2 2 4 2" xfId="31019"/>
    <cellStyle name="Normal 16 4 2 2 2 5" xfId="18996"/>
    <cellStyle name="Normal 16 4 2 2 2 5 2" xfId="33021"/>
    <cellStyle name="Normal 16 4 2 2 2 6" xfId="25010"/>
    <cellStyle name="Normal 16 4 2 2 3" xfId="12972"/>
    <cellStyle name="Normal 16 4 2 2 3 2" xfId="20997"/>
    <cellStyle name="Normal 16 4 2 2 3 2 2" xfId="35022"/>
    <cellStyle name="Normal 16 4 2 2 3 3" xfId="27011"/>
    <cellStyle name="Normal 16 4 2 2 4" xfId="14987"/>
    <cellStyle name="Normal 16 4 2 2 4 2" xfId="23002"/>
    <cellStyle name="Normal 16 4 2 2 4 2 2" xfId="37027"/>
    <cellStyle name="Normal 16 4 2 2 4 3" xfId="29016"/>
    <cellStyle name="Normal 16 4 2 2 5" xfId="16993"/>
    <cellStyle name="Normal 16 4 2 2 5 2" xfId="31018"/>
    <cellStyle name="Normal 16 4 2 2 6" xfId="18995"/>
    <cellStyle name="Normal 16 4 2 2 6 2" xfId="33020"/>
    <cellStyle name="Normal 16 4 2 2 7" xfId="25009"/>
    <cellStyle name="Normal 16 4 2 3" xfId="2373"/>
    <cellStyle name="Normal 16 4 2 3 2" xfId="12974"/>
    <cellStyle name="Normal 16 4 2 3 2 2" xfId="20999"/>
    <cellStyle name="Normal 16 4 2 3 2 2 2" xfId="35024"/>
    <cellStyle name="Normal 16 4 2 3 2 3" xfId="27013"/>
    <cellStyle name="Normal 16 4 2 3 3" xfId="14989"/>
    <cellStyle name="Normal 16 4 2 3 3 2" xfId="23004"/>
    <cellStyle name="Normal 16 4 2 3 3 2 2" xfId="37029"/>
    <cellStyle name="Normal 16 4 2 3 3 3" xfId="29018"/>
    <cellStyle name="Normal 16 4 2 3 4" xfId="16995"/>
    <cellStyle name="Normal 16 4 2 3 4 2" xfId="31020"/>
    <cellStyle name="Normal 16 4 2 3 5" xfId="18997"/>
    <cellStyle name="Normal 16 4 2 3 5 2" xfId="33022"/>
    <cellStyle name="Normal 16 4 2 3 6" xfId="25011"/>
    <cellStyle name="Normal 16 4 2 4" xfId="12971"/>
    <cellStyle name="Normal 16 4 2 4 2" xfId="20996"/>
    <cellStyle name="Normal 16 4 2 4 2 2" xfId="35021"/>
    <cellStyle name="Normal 16 4 2 4 3" xfId="27010"/>
    <cellStyle name="Normal 16 4 2 5" xfId="14986"/>
    <cellStyle name="Normal 16 4 2 5 2" xfId="23001"/>
    <cellStyle name="Normal 16 4 2 5 2 2" xfId="37026"/>
    <cellStyle name="Normal 16 4 2 5 3" xfId="29015"/>
    <cellStyle name="Normal 16 4 2 6" xfId="16992"/>
    <cellStyle name="Normal 16 4 2 6 2" xfId="31017"/>
    <cellStyle name="Normal 16 4 2 7" xfId="18994"/>
    <cellStyle name="Normal 16 4 2 7 2" xfId="33019"/>
    <cellStyle name="Normal 16 4 2 8" xfId="25008"/>
    <cellStyle name="Normal 16 4 3" xfId="2374"/>
    <cellStyle name="Normal 16 4 3 2" xfId="2375"/>
    <cellStyle name="Normal 16 4 3 2 2" xfId="12976"/>
    <cellStyle name="Normal 16 4 3 2 2 2" xfId="21001"/>
    <cellStyle name="Normal 16 4 3 2 2 2 2" xfId="35026"/>
    <cellStyle name="Normal 16 4 3 2 2 3" xfId="27015"/>
    <cellStyle name="Normal 16 4 3 2 3" xfId="14991"/>
    <cellStyle name="Normal 16 4 3 2 3 2" xfId="23006"/>
    <cellStyle name="Normal 16 4 3 2 3 2 2" xfId="37031"/>
    <cellStyle name="Normal 16 4 3 2 3 3" xfId="29020"/>
    <cellStyle name="Normal 16 4 3 2 4" xfId="16997"/>
    <cellStyle name="Normal 16 4 3 2 4 2" xfId="31022"/>
    <cellStyle name="Normal 16 4 3 2 5" xfId="18999"/>
    <cellStyle name="Normal 16 4 3 2 5 2" xfId="33024"/>
    <cellStyle name="Normal 16 4 3 2 6" xfId="25013"/>
    <cellStyle name="Normal 16 4 3 3" xfId="12975"/>
    <cellStyle name="Normal 16 4 3 3 2" xfId="21000"/>
    <cellStyle name="Normal 16 4 3 3 2 2" xfId="35025"/>
    <cellStyle name="Normal 16 4 3 3 3" xfId="27014"/>
    <cellStyle name="Normal 16 4 3 4" xfId="14990"/>
    <cellStyle name="Normal 16 4 3 4 2" xfId="23005"/>
    <cellStyle name="Normal 16 4 3 4 2 2" xfId="37030"/>
    <cellStyle name="Normal 16 4 3 4 3" xfId="29019"/>
    <cellStyle name="Normal 16 4 3 5" xfId="16996"/>
    <cellStyle name="Normal 16 4 3 5 2" xfId="31021"/>
    <cellStyle name="Normal 16 4 3 6" xfId="18998"/>
    <cellStyle name="Normal 16 4 3 6 2" xfId="33023"/>
    <cellStyle name="Normal 16 4 3 7" xfId="25012"/>
    <cellStyle name="Normal 16 4 4" xfId="2376"/>
    <cellStyle name="Normal 16 4 4 2" xfId="2377"/>
    <cellStyle name="Normal 16 4 4 2 2" xfId="12978"/>
    <cellStyle name="Normal 16 4 4 2 2 2" xfId="21003"/>
    <cellStyle name="Normal 16 4 4 2 2 2 2" xfId="35028"/>
    <cellStyle name="Normal 16 4 4 2 2 3" xfId="27017"/>
    <cellStyle name="Normal 16 4 4 2 3" xfId="14993"/>
    <cellStyle name="Normal 16 4 4 2 3 2" xfId="23008"/>
    <cellStyle name="Normal 16 4 4 2 3 2 2" xfId="37033"/>
    <cellStyle name="Normal 16 4 4 2 3 3" xfId="29022"/>
    <cellStyle name="Normal 16 4 4 2 4" xfId="16999"/>
    <cellStyle name="Normal 16 4 4 2 4 2" xfId="31024"/>
    <cellStyle name="Normal 16 4 4 2 5" xfId="19001"/>
    <cellStyle name="Normal 16 4 4 2 5 2" xfId="33026"/>
    <cellStyle name="Normal 16 4 4 2 6" xfId="25015"/>
    <cellStyle name="Normal 16 4 4 3" xfId="12977"/>
    <cellStyle name="Normal 16 4 4 3 2" xfId="21002"/>
    <cellStyle name="Normal 16 4 4 3 2 2" xfId="35027"/>
    <cellStyle name="Normal 16 4 4 3 3" xfId="27016"/>
    <cellStyle name="Normal 16 4 4 4" xfId="14992"/>
    <cellStyle name="Normal 16 4 4 4 2" xfId="23007"/>
    <cellStyle name="Normal 16 4 4 4 2 2" xfId="37032"/>
    <cellStyle name="Normal 16 4 4 4 3" xfId="29021"/>
    <cellStyle name="Normal 16 4 4 5" xfId="16998"/>
    <cellStyle name="Normal 16 4 4 5 2" xfId="31023"/>
    <cellStyle name="Normal 16 4 4 6" xfId="19000"/>
    <cellStyle name="Normal 16 4 4 6 2" xfId="33025"/>
    <cellStyle name="Normal 16 4 4 7" xfId="25014"/>
    <cellStyle name="Normal 16 4 5" xfId="2378"/>
    <cellStyle name="Normal 16 4 5 2" xfId="12979"/>
    <cellStyle name="Normal 16 4 5 2 2" xfId="21004"/>
    <cellStyle name="Normal 16 4 5 2 2 2" xfId="35029"/>
    <cellStyle name="Normal 16 4 5 2 3" xfId="27018"/>
    <cellStyle name="Normal 16 4 5 3" xfId="14994"/>
    <cellStyle name="Normal 16 4 5 3 2" xfId="23009"/>
    <cellStyle name="Normal 16 4 5 3 2 2" xfId="37034"/>
    <cellStyle name="Normal 16 4 5 3 3" xfId="29023"/>
    <cellStyle name="Normal 16 4 5 4" xfId="17000"/>
    <cellStyle name="Normal 16 4 5 4 2" xfId="31025"/>
    <cellStyle name="Normal 16 4 5 5" xfId="19002"/>
    <cellStyle name="Normal 16 4 5 5 2" xfId="33027"/>
    <cellStyle name="Normal 16 4 5 6" xfId="25016"/>
    <cellStyle name="Normal 16 4 6" xfId="12970"/>
    <cellStyle name="Normal 16 4 6 2" xfId="20995"/>
    <cellStyle name="Normal 16 4 6 2 2" xfId="35020"/>
    <cellStyle name="Normal 16 4 6 3" xfId="27009"/>
    <cellStyle name="Normal 16 4 7" xfId="14985"/>
    <cellStyle name="Normal 16 4 7 2" xfId="23000"/>
    <cellStyle name="Normal 16 4 7 2 2" xfId="37025"/>
    <cellStyle name="Normal 16 4 7 3" xfId="29014"/>
    <cellStyle name="Normal 16 4 8" xfId="16991"/>
    <cellStyle name="Normal 16 4 8 2" xfId="31016"/>
    <cellStyle name="Normal 16 4 9" xfId="18993"/>
    <cellStyle name="Normal 16 4 9 2" xfId="33018"/>
    <cellStyle name="Normal 16 5" xfId="2379"/>
    <cellStyle name="Normal 16 5 2" xfId="2380"/>
    <cellStyle name="Normal 16 5 2 2" xfId="2381"/>
    <cellStyle name="Normal 16 5 2 2 2" xfId="12982"/>
    <cellStyle name="Normal 16 5 2 2 2 2" xfId="21007"/>
    <cellStyle name="Normal 16 5 2 2 2 2 2" xfId="35032"/>
    <cellStyle name="Normal 16 5 2 2 2 3" xfId="27021"/>
    <cellStyle name="Normal 16 5 2 2 3" xfId="14997"/>
    <cellStyle name="Normal 16 5 2 2 3 2" xfId="23012"/>
    <cellStyle name="Normal 16 5 2 2 3 2 2" xfId="37037"/>
    <cellStyle name="Normal 16 5 2 2 3 3" xfId="29026"/>
    <cellStyle name="Normal 16 5 2 2 4" xfId="17003"/>
    <cellStyle name="Normal 16 5 2 2 4 2" xfId="31028"/>
    <cellStyle name="Normal 16 5 2 2 5" xfId="19005"/>
    <cellStyle name="Normal 16 5 2 2 5 2" xfId="33030"/>
    <cellStyle name="Normal 16 5 2 2 6" xfId="25019"/>
    <cellStyle name="Normal 16 5 2 3" xfId="12981"/>
    <cellStyle name="Normal 16 5 2 3 2" xfId="21006"/>
    <cellStyle name="Normal 16 5 2 3 2 2" xfId="35031"/>
    <cellStyle name="Normal 16 5 2 3 3" xfId="27020"/>
    <cellStyle name="Normal 16 5 2 4" xfId="14996"/>
    <cellStyle name="Normal 16 5 2 4 2" xfId="23011"/>
    <cellStyle name="Normal 16 5 2 4 2 2" xfId="37036"/>
    <cellStyle name="Normal 16 5 2 4 3" xfId="29025"/>
    <cellStyle name="Normal 16 5 2 5" xfId="17002"/>
    <cellStyle name="Normal 16 5 2 5 2" xfId="31027"/>
    <cellStyle name="Normal 16 5 2 6" xfId="19004"/>
    <cellStyle name="Normal 16 5 2 6 2" xfId="33029"/>
    <cellStyle name="Normal 16 5 2 7" xfId="25018"/>
    <cellStyle name="Normal 16 5 3" xfId="2382"/>
    <cellStyle name="Normal 16 5 3 2" xfId="12983"/>
    <cellStyle name="Normal 16 5 3 2 2" xfId="21008"/>
    <cellStyle name="Normal 16 5 3 2 2 2" xfId="35033"/>
    <cellStyle name="Normal 16 5 3 2 3" xfId="27022"/>
    <cellStyle name="Normal 16 5 3 3" xfId="14998"/>
    <cellStyle name="Normal 16 5 3 3 2" xfId="23013"/>
    <cellStyle name="Normal 16 5 3 3 2 2" xfId="37038"/>
    <cellStyle name="Normal 16 5 3 3 3" xfId="29027"/>
    <cellStyle name="Normal 16 5 3 4" xfId="17004"/>
    <cellStyle name="Normal 16 5 3 4 2" xfId="31029"/>
    <cellStyle name="Normal 16 5 3 5" xfId="19006"/>
    <cellStyle name="Normal 16 5 3 5 2" xfId="33031"/>
    <cellStyle name="Normal 16 5 3 6" xfId="25020"/>
    <cellStyle name="Normal 16 5 4" xfId="12980"/>
    <cellStyle name="Normal 16 5 4 2" xfId="21005"/>
    <cellStyle name="Normal 16 5 4 2 2" xfId="35030"/>
    <cellStyle name="Normal 16 5 4 3" xfId="27019"/>
    <cellStyle name="Normal 16 5 5" xfId="14995"/>
    <cellStyle name="Normal 16 5 5 2" xfId="23010"/>
    <cellStyle name="Normal 16 5 5 2 2" xfId="37035"/>
    <cellStyle name="Normal 16 5 5 3" xfId="29024"/>
    <cellStyle name="Normal 16 5 6" xfId="17001"/>
    <cellStyle name="Normal 16 5 6 2" xfId="31026"/>
    <cellStyle name="Normal 16 5 7" xfId="19003"/>
    <cellStyle name="Normal 16 5 7 2" xfId="33028"/>
    <cellStyle name="Normal 16 5 8" xfId="25017"/>
    <cellStyle name="Normal 16 6" xfId="2383"/>
    <cellStyle name="Normal 16 6 2" xfId="2384"/>
    <cellStyle name="Normal 16 6 2 2" xfId="12985"/>
    <cellStyle name="Normal 16 6 2 2 2" xfId="21010"/>
    <cellStyle name="Normal 16 6 2 2 2 2" xfId="35035"/>
    <cellStyle name="Normal 16 6 2 2 3" xfId="27024"/>
    <cellStyle name="Normal 16 6 2 3" xfId="15000"/>
    <cellStyle name="Normal 16 6 2 3 2" xfId="23015"/>
    <cellStyle name="Normal 16 6 2 3 2 2" xfId="37040"/>
    <cellStyle name="Normal 16 6 2 3 3" xfId="29029"/>
    <cellStyle name="Normal 16 6 2 4" xfId="17006"/>
    <cellStyle name="Normal 16 6 2 4 2" xfId="31031"/>
    <cellStyle name="Normal 16 6 2 5" xfId="19008"/>
    <cellStyle name="Normal 16 6 2 5 2" xfId="33033"/>
    <cellStyle name="Normal 16 6 2 6" xfId="25022"/>
    <cellStyle name="Normal 16 6 3" xfId="12984"/>
    <cellStyle name="Normal 16 6 3 2" xfId="21009"/>
    <cellStyle name="Normal 16 6 3 2 2" xfId="35034"/>
    <cellStyle name="Normal 16 6 3 3" xfId="27023"/>
    <cellStyle name="Normal 16 6 4" xfId="14999"/>
    <cellStyle name="Normal 16 6 4 2" xfId="23014"/>
    <cellStyle name="Normal 16 6 4 2 2" xfId="37039"/>
    <cellStyle name="Normal 16 6 4 3" xfId="29028"/>
    <cellStyle name="Normal 16 6 5" xfId="17005"/>
    <cellStyle name="Normal 16 6 5 2" xfId="31030"/>
    <cellStyle name="Normal 16 6 6" xfId="19007"/>
    <cellStyle name="Normal 16 6 6 2" xfId="33032"/>
    <cellStyle name="Normal 16 6 7" xfId="25021"/>
    <cellStyle name="Normal 16 7" xfId="2385"/>
    <cellStyle name="Normal 16 7 2" xfId="2386"/>
    <cellStyle name="Normal 16 7 2 2" xfId="12987"/>
    <cellStyle name="Normal 16 7 2 2 2" xfId="21012"/>
    <cellStyle name="Normal 16 7 2 2 2 2" xfId="35037"/>
    <cellStyle name="Normal 16 7 2 2 3" xfId="27026"/>
    <cellStyle name="Normal 16 7 2 3" xfId="15002"/>
    <cellStyle name="Normal 16 7 2 3 2" xfId="23017"/>
    <cellStyle name="Normal 16 7 2 3 2 2" xfId="37042"/>
    <cellStyle name="Normal 16 7 2 3 3" xfId="29031"/>
    <cellStyle name="Normal 16 7 2 4" xfId="17008"/>
    <cellStyle name="Normal 16 7 2 4 2" xfId="31033"/>
    <cellStyle name="Normal 16 7 2 5" xfId="19010"/>
    <cellStyle name="Normal 16 7 2 5 2" xfId="33035"/>
    <cellStyle name="Normal 16 7 2 6" xfId="25024"/>
    <cellStyle name="Normal 16 7 3" xfId="12986"/>
    <cellStyle name="Normal 16 7 3 2" xfId="21011"/>
    <cellStyle name="Normal 16 7 3 2 2" xfId="35036"/>
    <cellStyle name="Normal 16 7 3 3" xfId="27025"/>
    <cellStyle name="Normal 16 7 4" xfId="15001"/>
    <cellStyle name="Normal 16 7 4 2" xfId="23016"/>
    <cellStyle name="Normal 16 7 4 2 2" xfId="37041"/>
    <cellStyle name="Normal 16 7 4 3" xfId="29030"/>
    <cellStyle name="Normal 16 7 5" xfId="17007"/>
    <cellStyle name="Normal 16 7 5 2" xfId="31032"/>
    <cellStyle name="Normal 16 7 6" xfId="19009"/>
    <cellStyle name="Normal 16 7 6 2" xfId="33034"/>
    <cellStyle name="Normal 16 7 7" xfId="25023"/>
    <cellStyle name="Normal 16 8" xfId="2387"/>
    <cellStyle name="Normal 16 8 2" xfId="12988"/>
    <cellStyle name="Normal 16 8 2 2" xfId="21013"/>
    <cellStyle name="Normal 16 8 2 2 2" xfId="35038"/>
    <cellStyle name="Normal 16 8 2 3" xfId="27027"/>
    <cellStyle name="Normal 16 8 3" xfId="15003"/>
    <cellStyle name="Normal 16 8 3 2" xfId="23018"/>
    <cellStyle name="Normal 16 8 3 2 2" xfId="37043"/>
    <cellStyle name="Normal 16 8 3 3" xfId="29032"/>
    <cellStyle name="Normal 16 8 4" xfId="17009"/>
    <cellStyle name="Normal 16 8 4 2" xfId="31034"/>
    <cellStyle name="Normal 16 8 5" xfId="19011"/>
    <cellStyle name="Normal 16 8 5 2" xfId="33036"/>
    <cellStyle name="Normal 16 8 6" xfId="25025"/>
    <cellStyle name="Normal 16 9" xfId="11274"/>
    <cellStyle name="Normal 16 9 2" xfId="13639"/>
    <cellStyle name="Normal 16 9 2 2" xfId="21661"/>
    <cellStyle name="Normal 16 9 2 2 2" xfId="35686"/>
    <cellStyle name="Normal 16 9 2 3" xfId="27675"/>
    <cellStyle name="Normal 16 9 3" xfId="15649"/>
    <cellStyle name="Normal 16 9 3 2" xfId="23664"/>
    <cellStyle name="Normal 16 9 3 2 2" xfId="37689"/>
    <cellStyle name="Normal 16 9 3 3" xfId="29678"/>
    <cellStyle name="Normal 16 9 4" xfId="17655"/>
    <cellStyle name="Normal 16 9 4 2" xfId="31680"/>
    <cellStyle name="Normal 16 9 5" xfId="19657"/>
    <cellStyle name="Normal 16 9 5 2" xfId="33682"/>
    <cellStyle name="Normal 16 9 6" xfId="25671"/>
    <cellStyle name="Normal 17" xfId="497"/>
    <cellStyle name="Normal 17 10" xfId="15659"/>
    <cellStyle name="Normal 17 10 2" xfId="29684"/>
    <cellStyle name="Normal 17 11" xfId="17661"/>
    <cellStyle name="Normal 17 11 2" xfId="31686"/>
    <cellStyle name="Normal 17 12" xfId="23675"/>
    <cellStyle name="Normal 17 2" xfId="498"/>
    <cellStyle name="Normal 17 2 2" xfId="2388"/>
    <cellStyle name="Normal 17 2 2 10" xfId="25026"/>
    <cellStyle name="Normal 17 2 2 2" xfId="2389"/>
    <cellStyle name="Normal 17 2 2 2 2" xfId="2390"/>
    <cellStyle name="Normal 17 2 2 2 2 2" xfId="2391"/>
    <cellStyle name="Normal 17 2 2 2 2 2 2" xfId="12992"/>
    <cellStyle name="Normal 17 2 2 2 2 2 2 2" xfId="21017"/>
    <cellStyle name="Normal 17 2 2 2 2 2 2 2 2" xfId="35042"/>
    <cellStyle name="Normal 17 2 2 2 2 2 2 3" xfId="27031"/>
    <cellStyle name="Normal 17 2 2 2 2 2 3" xfId="15007"/>
    <cellStyle name="Normal 17 2 2 2 2 2 3 2" xfId="23022"/>
    <cellStyle name="Normal 17 2 2 2 2 2 3 2 2" xfId="37047"/>
    <cellStyle name="Normal 17 2 2 2 2 2 3 3" xfId="29036"/>
    <cellStyle name="Normal 17 2 2 2 2 2 4" xfId="17013"/>
    <cellStyle name="Normal 17 2 2 2 2 2 4 2" xfId="31038"/>
    <cellStyle name="Normal 17 2 2 2 2 2 5" xfId="19015"/>
    <cellStyle name="Normal 17 2 2 2 2 2 5 2" xfId="33040"/>
    <cellStyle name="Normal 17 2 2 2 2 2 6" xfId="25029"/>
    <cellStyle name="Normal 17 2 2 2 2 3" xfId="12991"/>
    <cellStyle name="Normal 17 2 2 2 2 3 2" xfId="21016"/>
    <cellStyle name="Normal 17 2 2 2 2 3 2 2" xfId="35041"/>
    <cellStyle name="Normal 17 2 2 2 2 3 3" xfId="27030"/>
    <cellStyle name="Normal 17 2 2 2 2 4" xfId="15006"/>
    <cellStyle name="Normal 17 2 2 2 2 4 2" xfId="23021"/>
    <cellStyle name="Normal 17 2 2 2 2 4 2 2" xfId="37046"/>
    <cellStyle name="Normal 17 2 2 2 2 4 3" xfId="29035"/>
    <cellStyle name="Normal 17 2 2 2 2 5" xfId="17012"/>
    <cellStyle name="Normal 17 2 2 2 2 5 2" xfId="31037"/>
    <cellStyle name="Normal 17 2 2 2 2 6" xfId="19014"/>
    <cellStyle name="Normal 17 2 2 2 2 6 2" xfId="33039"/>
    <cellStyle name="Normal 17 2 2 2 2 7" xfId="25028"/>
    <cellStyle name="Normal 17 2 2 2 3" xfId="2392"/>
    <cellStyle name="Normal 17 2 2 2 3 2" xfId="12993"/>
    <cellStyle name="Normal 17 2 2 2 3 2 2" xfId="21018"/>
    <cellStyle name="Normal 17 2 2 2 3 2 2 2" xfId="35043"/>
    <cellStyle name="Normal 17 2 2 2 3 2 3" xfId="27032"/>
    <cellStyle name="Normal 17 2 2 2 3 3" xfId="15008"/>
    <cellStyle name="Normal 17 2 2 2 3 3 2" xfId="23023"/>
    <cellStyle name="Normal 17 2 2 2 3 3 2 2" xfId="37048"/>
    <cellStyle name="Normal 17 2 2 2 3 3 3" xfId="29037"/>
    <cellStyle name="Normal 17 2 2 2 3 4" xfId="17014"/>
    <cellStyle name="Normal 17 2 2 2 3 4 2" xfId="31039"/>
    <cellStyle name="Normal 17 2 2 2 3 5" xfId="19016"/>
    <cellStyle name="Normal 17 2 2 2 3 5 2" xfId="33041"/>
    <cellStyle name="Normal 17 2 2 2 3 6" xfId="25030"/>
    <cellStyle name="Normal 17 2 2 2 4" xfId="12990"/>
    <cellStyle name="Normal 17 2 2 2 4 2" xfId="21015"/>
    <cellStyle name="Normal 17 2 2 2 4 2 2" xfId="35040"/>
    <cellStyle name="Normal 17 2 2 2 4 3" xfId="27029"/>
    <cellStyle name="Normal 17 2 2 2 5" xfId="15005"/>
    <cellStyle name="Normal 17 2 2 2 5 2" xfId="23020"/>
    <cellStyle name="Normal 17 2 2 2 5 2 2" xfId="37045"/>
    <cellStyle name="Normal 17 2 2 2 5 3" xfId="29034"/>
    <cellStyle name="Normal 17 2 2 2 6" xfId="17011"/>
    <cellStyle name="Normal 17 2 2 2 6 2" xfId="31036"/>
    <cellStyle name="Normal 17 2 2 2 7" xfId="19013"/>
    <cellStyle name="Normal 17 2 2 2 7 2" xfId="33038"/>
    <cellStyle name="Normal 17 2 2 2 8" xfId="25027"/>
    <cellStyle name="Normal 17 2 2 3" xfId="2393"/>
    <cellStyle name="Normal 17 2 2 3 2" xfId="2394"/>
    <cellStyle name="Normal 17 2 2 3 2 2" xfId="12995"/>
    <cellStyle name="Normal 17 2 2 3 2 2 2" xfId="21020"/>
    <cellStyle name="Normal 17 2 2 3 2 2 2 2" xfId="35045"/>
    <cellStyle name="Normal 17 2 2 3 2 2 3" xfId="27034"/>
    <cellStyle name="Normal 17 2 2 3 2 3" xfId="15010"/>
    <cellStyle name="Normal 17 2 2 3 2 3 2" xfId="23025"/>
    <cellStyle name="Normal 17 2 2 3 2 3 2 2" xfId="37050"/>
    <cellStyle name="Normal 17 2 2 3 2 3 3" xfId="29039"/>
    <cellStyle name="Normal 17 2 2 3 2 4" xfId="17016"/>
    <cellStyle name="Normal 17 2 2 3 2 4 2" xfId="31041"/>
    <cellStyle name="Normal 17 2 2 3 2 5" xfId="19018"/>
    <cellStyle name="Normal 17 2 2 3 2 5 2" xfId="33043"/>
    <cellStyle name="Normal 17 2 2 3 2 6" xfId="25032"/>
    <cellStyle name="Normal 17 2 2 3 3" xfId="12994"/>
    <cellStyle name="Normal 17 2 2 3 3 2" xfId="21019"/>
    <cellStyle name="Normal 17 2 2 3 3 2 2" xfId="35044"/>
    <cellStyle name="Normal 17 2 2 3 3 3" xfId="27033"/>
    <cellStyle name="Normal 17 2 2 3 4" xfId="15009"/>
    <cellStyle name="Normal 17 2 2 3 4 2" xfId="23024"/>
    <cellStyle name="Normal 17 2 2 3 4 2 2" xfId="37049"/>
    <cellStyle name="Normal 17 2 2 3 4 3" xfId="29038"/>
    <cellStyle name="Normal 17 2 2 3 5" xfId="17015"/>
    <cellStyle name="Normal 17 2 2 3 5 2" xfId="31040"/>
    <cellStyle name="Normal 17 2 2 3 6" xfId="19017"/>
    <cellStyle name="Normal 17 2 2 3 6 2" xfId="33042"/>
    <cellStyle name="Normal 17 2 2 3 7" xfId="25031"/>
    <cellStyle name="Normal 17 2 2 4" xfId="2395"/>
    <cellStyle name="Normal 17 2 2 4 2" xfId="2396"/>
    <cellStyle name="Normal 17 2 2 4 2 2" xfId="12997"/>
    <cellStyle name="Normal 17 2 2 4 2 2 2" xfId="21022"/>
    <cellStyle name="Normal 17 2 2 4 2 2 2 2" xfId="35047"/>
    <cellStyle name="Normal 17 2 2 4 2 2 3" xfId="27036"/>
    <cellStyle name="Normal 17 2 2 4 2 3" xfId="15012"/>
    <cellStyle name="Normal 17 2 2 4 2 3 2" xfId="23027"/>
    <cellStyle name="Normal 17 2 2 4 2 3 2 2" xfId="37052"/>
    <cellStyle name="Normal 17 2 2 4 2 3 3" xfId="29041"/>
    <cellStyle name="Normal 17 2 2 4 2 4" xfId="17018"/>
    <cellStyle name="Normal 17 2 2 4 2 4 2" xfId="31043"/>
    <cellStyle name="Normal 17 2 2 4 2 5" xfId="19020"/>
    <cellStyle name="Normal 17 2 2 4 2 5 2" xfId="33045"/>
    <cellStyle name="Normal 17 2 2 4 2 6" xfId="25034"/>
    <cellStyle name="Normal 17 2 2 4 3" xfId="12996"/>
    <cellStyle name="Normal 17 2 2 4 3 2" xfId="21021"/>
    <cellStyle name="Normal 17 2 2 4 3 2 2" xfId="35046"/>
    <cellStyle name="Normal 17 2 2 4 3 3" xfId="27035"/>
    <cellStyle name="Normal 17 2 2 4 4" xfId="15011"/>
    <cellStyle name="Normal 17 2 2 4 4 2" xfId="23026"/>
    <cellStyle name="Normal 17 2 2 4 4 2 2" xfId="37051"/>
    <cellStyle name="Normal 17 2 2 4 4 3" xfId="29040"/>
    <cellStyle name="Normal 17 2 2 4 5" xfId="17017"/>
    <cellStyle name="Normal 17 2 2 4 5 2" xfId="31042"/>
    <cellStyle name="Normal 17 2 2 4 6" xfId="19019"/>
    <cellStyle name="Normal 17 2 2 4 6 2" xfId="33044"/>
    <cellStyle name="Normal 17 2 2 4 7" xfId="25033"/>
    <cellStyle name="Normal 17 2 2 5" xfId="2397"/>
    <cellStyle name="Normal 17 2 2 5 2" xfId="12998"/>
    <cellStyle name="Normal 17 2 2 5 2 2" xfId="21023"/>
    <cellStyle name="Normal 17 2 2 5 2 2 2" xfId="35048"/>
    <cellStyle name="Normal 17 2 2 5 2 3" xfId="27037"/>
    <cellStyle name="Normal 17 2 2 5 3" xfId="15013"/>
    <cellStyle name="Normal 17 2 2 5 3 2" xfId="23028"/>
    <cellStyle name="Normal 17 2 2 5 3 2 2" xfId="37053"/>
    <cellStyle name="Normal 17 2 2 5 3 3" xfId="29042"/>
    <cellStyle name="Normal 17 2 2 5 4" xfId="17019"/>
    <cellStyle name="Normal 17 2 2 5 4 2" xfId="31044"/>
    <cellStyle name="Normal 17 2 2 5 5" xfId="19021"/>
    <cellStyle name="Normal 17 2 2 5 5 2" xfId="33046"/>
    <cellStyle name="Normal 17 2 2 5 6" xfId="25035"/>
    <cellStyle name="Normal 17 2 2 6" xfId="12989"/>
    <cellStyle name="Normal 17 2 2 6 2" xfId="21014"/>
    <cellStyle name="Normal 17 2 2 6 2 2" xfId="35039"/>
    <cellStyle name="Normal 17 2 2 6 3" xfId="27028"/>
    <cellStyle name="Normal 17 2 2 7" xfId="15004"/>
    <cellStyle name="Normal 17 2 2 7 2" xfId="23019"/>
    <cellStyle name="Normal 17 2 2 7 2 2" xfId="37044"/>
    <cellStyle name="Normal 17 2 2 7 3" xfId="29033"/>
    <cellStyle name="Normal 17 2 2 8" xfId="17010"/>
    <cellStyle name="Normal 17 2 2 8 2" xfId="31035"/>
    <cellStyle name="Normal 17 2 2 9" xfId="19012"/>
    <cellStyle name="Normal 17 2 2 9 2" xfId="33037"/>
    <cellStyle name="Normal 17 2 3" xfId="2398"/>
    <cellStyle name="Normal 17 2 3 2" xfId="2399"/>
    <cellStyle name="Normal 17 2 3 2 2" xfId="2400"/>
    <cellStyle name="Normal 17 2 3 2 2 2" xfId="13001"/>
    <cellStyle name="Normal 17 2 3 2 2 2 2" xfId="21026"/>
    <cellStyle name="Normal 17 2 3 2 2 2 2 2" xfId="35051"/>
    <cellStyle name="Normal 17 2 3 2 2 2 3" xfId="27040"/>
    <cellStyle name="Normal 17 2 3 2 2 3" xfId="15016"/>
    <cellStyle name="Normal 17 2 3 2 2 3 2" xfId="23031"/>
    <cellStyle name="Normal 17 2 3 2 2 3 2 2" xfId="37056"/>
    <cellStyle name="Normal 17 2 3 2 2 3 3" xfId="29045"/>
    <cellStyle name="Normal 17 2 3 2 2 4" xfId="17022"/>
    <cellStyle name="Normal 17 2 3 2 2 4 2" xfId="31047"/>
    <cellStyle name="Normal 17 2 3 2 2 5" xfId="19024"/>
    <cellStyle name="Normal 17 2 3 2 2 5 2" xfId="33049"/>
    <cellStyle name="Normal 17 2 3 2 2 6" xfId="25038"/>
    <cellStyle name="Normal 17 2 3 2 3" xfId="13000"/>
    <cellStyle name="Normal 17 2 3 2 3 2" xfId="21025"/>
    <cellStyle name="Normal 17 2 3 2 3 2 2" xfId="35050"/>
    <cellStyle name="Normal 17 2 3 2 3 3" xfId="27039"/>
    <cellStyle name="Normal 17 2 3 2 4" xfId="15015"/>
    <cellStyle name="Normal 17 2 3 2 4 2" xfId="23030"/>
    <cellStyle name="Normal 17 2 3 2 4 2 2" xfId="37055"/>
    <cellStyle name="Normal 17 2 3 2 4 3" xfId="29044"/>
    <cellStyle name="Normal 17 2 3 2 5" xfId="17021"/>
    <cellStyle name="Normal 17 2 3 2 5 2" xfId="31046"/>
    <cellStyle name="Normal 17 2 3 2 6" xfId="19023"/>
    <cellStyle name="Normal 17 2 3 2 6 2" xfId="33048"/>
    <cellStyle name="Normal 17 2 3 2 7" xfId="25037"/>
    <cellStyle name="Normal 17 2 3 3" xfId="2401"/>
    <cellStyle name="Normal 17 2 3 3 2" xfId="13002"/>
    <cellStyle name="Normal 17 2 3 3 2 2" xfId="21027"/>
    <cellStyle name="Normal 17 2 3 3 2 2 2" xfId="35052"/>
    <cellStyle name="Normal 17 2 3 3 2 3" xfId="27041"/>
    <cellStyle name="Normal 17 2 3 3 3" xfId="15017"/>
    <cellStyle name="Normal 17 2 3 3 3 2" xfId="23032"/>
    <cellStyle name="Normal 17 2 3 3 3 2 2" xfId="37057"/>
    <cellStyle name="Normal 17 2 3 3 3 3" xfId="29046"/>
    <cellStyle name="Normal 17 2 3 3 4" xfId="17023"/>
    <cellStyle name="Normal 17 2 3 3 4 2" xfId="31048"/>
    <cellStyle name="Normal 17 2 3 3 5" xfId="19025"/>
    <cellStyle name="Normal 17 2 3 3 5 2" xfId="33050"/>
    <cellStyle name="Normal 17 2 3 3 6" xfId="25039"/>
    <cellStyle name="Normal 17 2 3 4" xfId="12999"/>
    <cellStyle name="Normal 17 2 3 4 2" xfId="21024"/>
    <cellStyle name="Normal 17 2 3 4 2 2" xfId="35049"/>
    <cellStyle name="Normal 17 2 3 4 3" xfId="27038"/>
    <cellStyle name="Normal 17 2 3 5" xfId="15014"/>
    <cellStyle name="Normal 17 2 3 5 2" xfId="23029"/>
    <cellStyle name="Normal 17 2 3 5 2 2" xfId="37054"/>
    <cellStyle name="Normal 17 2 3 5 3" xfId="29043"/>
    <cellStyle name="Normal 17 2 3 6" xfId="17020"/>
    <cellStyle name="Normal 17 2 3 6 2" xfId="31045"/>
    <cellStyle name="Normal 17 2 3 7" xfId="19022"/>
    <cellStyle name="Normal 17 2 3 7 2" xfId="33047"/>
    <cellStyle name="Normal 17 2 3 8" xfId="25036"/>
    <cellStyle name="Normal 17 2 4" xfId="2402"/>
    <cellStyle name="Normal 17 2 4 2" xfId="2403"/>
    <cellStyle name="Normal 17 2 4 2 2" xfId="13004"/>
    <cellStyle name="Normal 17 2 4 2 2 2" xfId="21029"/>
    <cellStyle name="Normal 17 2 4 2 2 2 2" xfId="35054"/>
    <cellStyle name="Normal 17 2 4 2 2 3" xfId="27043"/>
    <cellStyle name="Normal 17 2 4 2 3" xfId="15019"/>
    <cellStyle name="Normal 17 2 4 2 3 2" xfId="23034"/>
    <cellStyle name="Normal 17 2 4 2 3 2 2" xfId="37059"/>
    <cellStyle name="Normal 17 2 4 2 3 3" xfId="29048"/>
    <cellStyle name="Normal 17 2 4 2 4" xfId="17025"/>
    <cellStyle name="Normal 17 2 4 2 4 2" xfId="31050"/>
    <cellStyle name="Normal 17 2 4 2 5" xfId="19027"/>
    <cellStyle name="Normal 17 2 4 2 5 2" xfId="33052"/>
    <cellStyle name="Normal 17 2 4 2 6" xfId="25041"/>
    <cellStyle name="Normal 17 2 4 3" xfId="13003"/>
    <cellStyle name="Normal 17 2 4 3 2" xfId="21028"/>
    <cellStyle name="Normal 17 2 4 3 2 2" xfId="35053"/>
    <cellStyle name="Normal 17 2 4 3 3" xfId="27042"/>
    <cellStyle name="Normal 17 2 4 4" xfId="15018"/>
    <cellStyle name="Normal 17 2 4 4 2" xfId="23033"/>
    <cellStyle name="Normal 17 2 4 4 2 2" xfId="37058"/>
    <cellStyle name="Normal 17 2 4 4 3" xfId="29047"/>
    <cellStyle name="Normal 17 2 4 5" xfId="17024"/>
    <cellStyle name="Normal 17 2 4 5 2" xfId="31049"/>
    <cellStyle name="Normal 17 2 4 6" xfId="19026"/>
    <cellStyle name="Normal 17 2 4 6 2" xfId="33051"/>
    <cellStyle name="Normal 17 2 4 7" xfId="25040"/>
    <cellStyle name="Normal 17 2 5" xfId="2404"/>
    <cellStyle name="Normal 17 2 5 2" xfId="2405"/>
    <cellStyle name="Normal 17 2 5 2 2" xfId="13006"/>
    <cellStyle name="Normal 17 2 5 2 2 2" xfId="21031"/>
    <cellStyle name="Normal 17 2 5 2 2 2 2" xfId="35056"/>
    <cellStyle name="Normal 17 2 5 2 2 3" xfId="27045"/>
    <cellStyle name="Normal 17 2 5 2 3" xfId="15021"/>
    <cellStyle name="Normal 17 2 5 2 3 2" xfId="23036"/>
    <cellStyle name="Normal 17 2 5 2 3 2 2" xfId="37061"/>
    <cellStyle name="Normal 17 2 5 2 3 3" xfId="29050"/>
    <cellStyle name="Normal 17 2 5 2 4" xfId="17027"/>
    <cellStyle name="Normal 17 2 5 2 4 2" xfId="31052"/>
    <cellStyle name="Normal 17 2 5 2 5" xfId="19029"/>
    <cellStyle name="Normal 17 2 5 2 5 2" xfId="33054"/>
    <cellStyle name="Normal 17 2 5 2 6" xfId="25043"/>
    <cellStyle name="Normal 17 2 5 3" xfId="13005"/>
    <cellStyle name="Normal 17 2 5 3 2" xfId="21030"/>
    <cellStyle name="Normal 17 2 5 3 2 2" xfId="35055"/>
    <cellStyle name="Normal 17 2 5 3 3" xfId="27044"/>
    <cellStyle name="Normal 17 2 5 4" xfId="15020"/>
    <cellStyle name="Normal 17 2 5 4 2" xfId="23035"/>
    <cellStyle name="Normal 17 2 5 4 2 2" xfId="37060"/>
    <cellStyle name="Normal 17 2 5 4 3" xfId="29049"/>
    <cellStyle name="Normal 17 2 5 5" xfId="17026"/>
    <cellStyle name="Normal 17 2 5 5 2" xfId="31051"/>
    <cellStyle name="Normal 17 2 5 6" xfId="19028"/>
    <cellStyle name="Normal 17 2 5 6 2" xfId="33053"/>
    <cellStyle name="Normal 17 2 5 7" xfId="25042"/>
    <cellStyle name="Normal 17 2 6" xfId="2406"/>
    <cellStyle name="Normal 17 2 6 2" xfId="13007"/>
    <cellStyle name="Normal 17 2 6 2 2" xfId="21032"/>
    <cellStyle name="Normal 17 2 6 2 2 2" xfId="35057"/>
    <cellStyle name="Normal 17 2 6 2 3" xfId="27046"/>
    <cellStyle name="Normal 17 2 6 3" xfId="15022"/>
    <cellStyle name="Normal 17 2 6 3 2" xfId="23037"/>
    <cellStyle name="Normal 17 2 6 3 2 2" xfId="37062"/>
    <cellStyle name="Normal 17 2 6 3 3" xfId="29051"/>
    <cellStyle name="Normal 17 2 6 4" xfId="17028"/>
    <cellStyle name="Normal 17 2 6 4 2" xfId="31053"/>
    <cellStyle name="Normal 17 2 6 5" xfId="19030"/>
    <cellStyle name="Normal 17 2 6 5 2" xfId="33055"/>
    <cellStyle name="Normal 17 2 6 6" xfId="25044"/>
    <cellStyle name="Normal 17 3" xfId="2407"/>
    <cellStyle name="Normal 17 3 10" xfId="25045"/>
    <cellStyle name="Normal 17 3 2" xfId="2408"/>
    <cellStyle name="Normal 17 3 2 2" xfId="2409"/>
    <cellStyle name="Normal 17 3 2 2 2" xfId="2410"/>
    <cellStyle name="Normal 17 3 2 2 2 2" xfId="13011"/>
    <cellStyle name="Normal 17 3 2 2 2 2 2" xfId="21036"/>
    <cellStyle name="Normal 17 3 2 2 2 2 2 2" xfId="35061"/>
    <cellStyle name="Normal 17 3 2 2 2 2 3" xfId="27050"/>
    <cellStyle name="Normal 17 3 2 2 2 3" xfId="15026"/>
    <cellStyle name="Normal 17 3 2 2 2 3 2" xfId="23041"/>
    <cellStyle name="Normal 17 3 2 2 2 3 2 2" xfId="37066"/>
    <cellStyle name="Normal 17 3 2 2 2 3 3" xfId="29055"/>
    <cellStyle name="Normal 17 3 2 2 2 4" xfId="17032"/>
    <cellStyle name="Normal 17 3 2 2 2 4 2" xfId="31057"/>
    <cellStyle name="Normal 17 3 2 2 2 5" xfId="19034"/>
    <cellStyle name="Normal 17 3 2 2 2 5 2" xfId="33059"/>
    <cellStyle name="Normal 17 3 2 2 2 6" xfId="25048"/>
    <cellStyle name="Normal 17 3 2 2 3" xfId="13010"/>
    <cellStyle name="Normal 17 3 2 2 3 2" xfId="21035"/>
    <cellStyle name="Normal 17 3 2 2 3 2 2" xfId="35060"/>
    <cellStyle name="Normal 17 3 2 2 3 3" xfId="27049"/>
    <cellStyle name="Normal 17 3 2 2 4" xfId="15025"/>
    <cellStyle name="Normal 17 3 2 2 4 2" xfId="23040"/>
    <cellStyle name="Normal 17 3 2 2 4 2 2" xfId="37065"/>
    <cellStyle name="Normal 17 3 2 2 4 3" xfId="29054"/>
    <cellStyle name="Normal 17 3 2 2 5" xfId="17031"/>
    <cellStyle name="Normal 17 3 2 2 5 2" xfId="31056"/>
    <cellStyle name="Normal 17 3 2 2 6" xfId="19033"/>
    <cellStyle name="Normal 17 3 2 2 6 2" xfId="33058"/>
    <cellStyle name="Normal 17 3 2 2 7" xfId="25047"/>
    <cellStyle name="Normal 17 3 2 3" xfId="2411"/>
    <cellStyle name="Normal 17 3 2 3 2" xfId="13012"/>
    <cellStyle name="Normal 17 3 2 3 2 2" xfId="21037"/>
    <cellStyle name="Normal 17 3 2 3 2 2 2" xfId="35062"/>
    <cellStyle name="Normal 17 3 2 3 2 3" xfId="27051"/>
    <cellStyle name="Normal 17 3 2 3 3" xfId="15027"/>
    <cellStyle name="Normal 17 3 2 3 3 2" xfId="23042"/>
    <cellStyle name="Normal 17 3 2 3 3 2 2" xfId="37067"/>
    <cellStyle name="Normal 17 3 2 3 3 3" xfId="29056"/>
    <cellStyle name="Normal 17 3 2 3 4" xfId="17033"/>
    <cellStyle name="Normal 17 3 2 3 4 2" xfId="31058"/>
    <cellStyle name="Normal 17 3 2 3 5" xfId="19035"/>
    <cellStyle name="Normal 17 3 2 3 5 2" xfId="33060"/>
    <cellStyle name="Normal 17 3 2 3 6" xfId="25049"/>
    <cellStyle name="Normal 17 3 2 4" xfId="13009"/>
    <cellStyle name="Normal 17 3 2 4 2" xfId="21034"/>
    <cellStyle name="Normal 17 3 2 4 2 2" xfId="35059"/>
    <cellStyle name="Normal 17 3 2 4 3" xfId="27048"/>
    <cellStyle name="Normal 17 3 2 5" xfId="15024"/>
    <cellStyle name="Normal 17 3 2 5 2" xfId="23039"/>
    <cellStyle name="Normal 17 3 2 5 2 2" xfId="37064"/>
    <cellStyle name="Normal 17 3 2 5 3" xfId="29053"/>
    <cellStyle name="Normal 17 3 2 6" xfId="17030"/>
    <cellStyle name="Normal 17 3 2 6 2" xfId="31055"/>
    <cellStyle name="Normal 17 3 2 7" xfId="19032"/>
    <cellStyle name="Normal 17 3 2 7 2" xfId="33057"/>
    <cellStyle name="Normal 17 3 2 8" xfId="25046"/>
    <cellStyle name="Normal 17 3 3" xfId="2412"/>
    <cellStyle name="Normal 17 3 3 2" xfId="2413"/>
    <cellStyle name="Normal 17 3 3 2 2" xfId="13014"/>
    <cellStyle name="Normal 17 3 3 2 2 2" xfId="21039"/>
    <cellStyle name="Normal 17 3 3 2 2 2 2" xfId="35064"/>
    <cellStyle name="Normal 17 3 3 2 2 3" xfId="27053"/>
    <cellStyle name="Normal 17 3 3 2 3" xfId="15029"/>
    <cellStyle name="Normal 17 3 3 2 3 2" xfId="23044"/>
    <cellStyle name="Normal 17 3 3 2 3 2 2" xfId="37069"/>
    <cellStyle name="Normal 17 3 3 2 3 3" xfId="29058"/>
    <cellStyle name="Normal 17 3 3 2 4" xfId="17035"/>
    <cellStyle name="Normal 17 3 3 2 4 2" xfId="31060"/>
    <cellStyle name="Normal 17 3 3 2 5" xfId="19037"/>
    <cellStyle name="Normal 17 3 3 2 5 2" xfId="33062"/>
    <cellStyle name="Normal 17 3 3 2 6" xfId="25051"/>
    <cellStyle name="Normal 17 3 3 3" xfId="13013"/>
    <cellStyle name="Normal 17 3 3 3 2" xfId="21038"/>
    <cellStyle name="Normal 17 3 3 3 2 2" xfId="35063"/>
    <cellStyle name="Normal 17 3 3 3 3" xfId="27052"/>
    <cellStyle name="Normal 17 3 3 4" xfId="15028"/>
    <cellStyle name="Normal 17 3 3 4 2" xfId="23043"/>
    <cellStyle name="Normal 17 3 3 4 2 2" xfId="37068"/>
    <cellStyle name="Normal 17 3 3 4 3" xfId="29057"/>
    <cellStyle name="Normal 17 3 3 5" xfId="17034"/>
    <cellStyle name="Normal 17 3 3 5 2" xfId="31059"/>
    <cellStyle name="Normal 17 3 3 6" xfId="19036"/>
    <cellStyle name="Normal 17 3 3 6 2" xfId="33061"/>
    <cellStyle name="Normal 17 3 3 7" xfId="25050"/>
    <cellStyle name="Normal 17 3 4" xfId="2414"/>
    <cellStyle name="Normal 17 3 4 2" xfId="2415"/>
    <cellStyle name="Normal 17 3 4 2 2" xfId="13016"/>
    <cellStyle name="Normal 17 3 4 2 2 2" xfId="21041"/>
    <cellStyle name="Normal 17 3 4 2 2 2 2" xfId="35066"/>
    <cellStyle name="Normal 17 3 4 2 2 3" xfId="27055"/>
    <cellStyle name="Normal 17 3 4 2 3" xfId="15031"/>
    <cellStyle name="Normal 17 3 4 2 3 2" xfId="23046"/>
    <cellStyle name="Normal 17 3 4 2 3 2 2" xfId="37071"/>
    <cellStyle name="Normal 17 3 4 2 3 3" xfId="29060"/>
    <cellStyle name="Normal 17 3 4 2 4" xfId="17037"/>
    <cellStyle name="Normal 17 3 4 2 4 2" xfId="31062"/>
    <cellStyle name="Normal 17 3 4 2 5" xfId="19039"/>
    <cellStyle name="Normal 17 3 4 2 5 2" xfId="33064"/>
    <cellStyle name="Normal 17 3 4 2 6" xfId="25053"/>
    <cellStyle name="Normal 17 3 4 3" xfId="13015"/>
    <cellStyle name="Normal 17 3 4 3 2" xfId="21040"/>
    <cellStyle name="Normal 17 3 4 3 2 2" xfId="35065"/>
    <cellStyle name="Normal 17 3 4 3 3" xfId="27054"/>
    <cellStyle name="Normal 17 3 4 4" xfId="15030"/>
    <cellStyle name="Normal 17 3 4 4 2" xfId="23045"/>
    <cellStyle name="Normal 17 3 4 4 2 2" xfId="37070"/>
    <cellStyle name="Normal 17 3 4 4 3" xfId="29059"/>
    <cellStyle name="Normal 17 3 4 5" xfId="17036"/>
    <cellStyle name="Normal 17 3 4 5 2" xfId="31061"/>
    <cellStyle name="Normal 17 3 4 6" xfId="19038"/>
    <cellStyle name="Normal 17 3 4 6 2" xfId="33063"/>
    <cellStyle name="Normal 17 3 4 7" xfId="25052"/>
    <cellStyle name="Normal 17 3 5" xfId="2416"/>
    <cellStyle name="Normal 17 3 5 2" xfId="13017"/>
    <cellStyle name="Normal 17 3 5 2 2" xfId="21042"/>
    <cellStyle name="Normal 17 3 5 2 2 2" xfId="35067"/>
    <cellStyle name="Normal 17 3 5 2 3" xfId="27056"/>
    <cellStyle name="Normal 17 3 5 3" xfId="15032"/>
    <cellStyle name="Normal 17 3 5 3 2" xfId="23047"/>
    <cellStyle name="Normal 17 3 5 3 2 2" xfId="37072"/>
    <cellStyle name="Normal 17 3 5 3 3" xfId="29061"/>
    <cellStyle name="Normal 17 3 5 4" xfId="17038"/>
    <cellStyle name="Normal 17 3 5 4 2" xfId="31063"/>
    <cellStyle name="Normal 17 3 5 5" xfId="19040"/>
    <cellStyle name="Normal 17 3 5 5 2" xfId="33065"/>
    <cellStyle name="Normal 17 3 5 6" xfId="25054"/>
    <cellStyle name="Normal 17 3 6" xfId="13008"/>
    <cellStyle name="Normal 17 3 6 2" xfId="21033"/>
    <cellStyle name="Normal 17 3 6 2 2" xfId="35058"/>
    <cellStyle name="Normal 17 3 6 3" xfId="27047"/>
    <cellStyle name="Normal 17 3 7" xfId="15023"/>
    <cellStyle name="Normal 17 3 7 2" xfId="23038"/>
    <cellStyle name="Normal 17 3 7 2 2" xfId="37063"/>
    <cellStyle name="Normal 17 3 7 3" xfId="29052"/>
    <cellStyle name="Normal 17 3 8" xfId="17029"/>
    <cellStyle name="Normal 17 3 8 2" xfId="31054"/>
    <cellStyle name="Normal 17 3 9" xfId="19031"/>
    <cellStyle name="Normal 17 3 9 2" xfId="33056"/>
    <cellStyle name="Normal 17 4" xfId="2417"/>
    <cellStyle name="Normal 17 4 2" xfId="2418"/>
    <cellStyle name="Normal 17 4 2 2" xfId="2419"/>
    <cellStyle name="Normal 17 4 2 2 2" xfId="13020"/>
    <cellStyle name="Normal 17 4 2 2 2 2" xfId="21045"/>
    <cellStyle name="Normal 17 4 2 2 2 2 2" xfId="35070"/>
    <cellStyle name="Normal 17 4 2 2 2 3" xfId="27059"/>
    <cellStyle name="Normal 17 4 2 2 3" xfId="15035"/>
    <cellStyle name="Normal 17 4 2 2 3 2" xfId="23050"/>
    <cellStyle name="Normal 17 4 2 2 3 2 2" xfId="37075"/>
    <cellStyle name="Normal 17 4 2 2 3 3" xfId="29064"/>
    <cellStyle name="Normal 17 4 2 2 4" xfId="17041"/>
    <cellStyle name="Normal 17 4 2 2 4 2" xfId="31066"/>
    <cellStyle name="Normal 17 4 2 2 5" xfId="19043"/>
    <cellStyle name="Normal 17 4 2 2 5 2" xfId="33068"/>
    <cellStyle name="Normal 17 4 2 2 6" xfId="25057"/>
    <cellStyle name="Normal 17 4 2 3" xfId="13019"/>
    <cellStyle name="Normal 17 4 2 3 2" xfId="21044"/>
    <cellStyle name="Normal 17 4 2 3 2 2" xfId="35069"/>
    <cellStyle name="Normal 17 4 2 3 3" xfId="27058"/>
    <cellStyle name="Normal 17 4 2 4" xfId="15034"/>
    <cellStyle name="Normal 17 4 2 4 2" xfId="23049"/>
    <cellStyle name="Normal 17 4 2 4 2 2" xfId="37074"/>
    <cellStyle name="Normal 17 4 2 4 3" xfId="29063"/>
    <cellStyle name="Normal 17 4 2 5" xfId="17040"/>
    <cellStyle name="Normal 17 4 2 5 2" xfId="31065"/>
    <cellStyle name="Normal 17 4 2 6" xfId="19042"/>
    <cellStyle name="Normal 17 4 2 6 2" xfId="33067"/>
    <cellStyle name="Normal 17 4 2 7" xfId="25056"/>
    <cellStyle name="Normal 17 4 3" xfId="2420"/>
    <cellStyle name="Normal 17 4 3 2" xfId="13021"/>
    <cellStyle name="Normal 17 4 3 2 2" xfId="21046"/>
    <cellStyle name="Normal 17 4 3 2 2 2" xfId="35071"/>
    <cellStyle name="Normal 17 4 3 2 3" xfId="27060"/>
    <cellStyle name="Normal 17 4 3 3" xfId="15036"/>
    <cellStyle name="Normal 17 4 3 3 2" xfId="23051"/>
    <cellStyle name="Normal 17 4 3 3 2 2" xfId="37076"/>
    <cellStyle name="Normal 17 4 3 3 3" xfId="29065"/>
    <cellStyle name="Normal 17 4 3 4" xfId="17042"/>
    <cellStyle name="Normal 17 4 3 4 2" xfId="31067"/>
    <cellStyle name="Normal 17 4 3 5" xfId="19044"/>
    <cellStyle name="Normal 17 4 3 5 2" xfId="33069"/>
    <cellStyle name="Normal 17 4 3 6" xfId="25058"/>
    <cellStyle name="Normal 17 4 4" xfId="13018"/>
    <cellStyle name="Normal 17 4 4 2" xfId="21043"/>
    <cellStyle name="Normal 17 4 4 2 2" xfId="35068"/>
    <cellStyle name="Normal 17 4 4 3" xfId="27057"/>
    <cellStyle name="Normal 17 4 5" xfId="15033"/>
    <cellStyle name="Normal 17 4 5 2" xfId="23048"/>
    <cellStyle name="Normal 17 4 5 2 2" xfId="37073"/>
    <cellStyle name="Normal 17 4 5 3" xfId="29062"/>
    <cellStyle name="Normal 17 4 6" xfId="17039"/>
    <cellStyle name="Normal 17 4 6 2" xfId="31064"/>
    <cellStyle name="Normal 17 4 7" xfId="19041"/>
    <cellStyle name="Normal 17 4 7 2" xfId="33066"/>
    <cellStyle name="Normal 17 4 8" xfId="25055"/>
    <cellStyle name="Normal 17 5" xfId="2421"/>
    <cellStyle name="Normal 17 5 2" xfId="2422"/>
    <cellStyle name="Normal 17 5 2 2" xfId="13023"/>
    <cellStyle name="Normal 17 5 2 2 2" xfId="21048"/>
    <cellStyle name="Normal 17 5 2 2 2 2" xfId="35073"/>
    <cellStyle name="Normal 17 5 2 2 3" xfId="27062"/>
    <cellStyle name="Normal 17 5 2 3" xfId="15038"/>
    <cellStyle name="Normal 17 5 2 3 2" xfId="23053"/>
    <cellStyle name="Normal 17 5 2 3 2 2" xfId="37078"/>
    <cellStyle name="Normal 17 5 2 3 3" xfId="29067"/>
    <cellStyle name="Normal 17 5 2 4" xfId="17044"/>
    <cellStyle name="Normal 17 5 2 4 2" xfId="31069"/>
    <cellStyle name="Normal 17 5 2 5" xfId="19046"/>
    <cellStyle name="Normal 17 5 2 5 2" xfId="33071"/>
    <cellStyle name="Normal 17 5 2 6" xfId="25060"/>
    <cellStyle name="Normal 17 5 3" xfId="13022"/>
    <cellStyle name="Normal 17 5 3 2" xfId="21047"/>
    <cellStyle name="Normal 17 5 3 2 2" xfId="35072"/>
    <cellStyle name="Normal 17 5 3 3" xfId="27061"/>
    <cellStyle name="Normal 17 5 4" xfId="15037"/>
    <cellStyle name="Normal 17 5 4 2" xfId="23052"/>
    <cellStyle name="Normal 17 5 4 2 2" xfId="37077"/>
    <cellStyle name="Normal 17 5 4 3" xfId="29066"/>
    <cellStyle name="Normal 17 5 5" xfId="17043"/>
    <cellStyle name="Normal 17 5 5 2" xfId="31068"/>
    <cellStyle name="Normal 17 5 6" xfId="19045"/>
    <cellStyle name="Normal 17 5 6 2" xfId="33070"/>
    <cellStyle name="Normal 17 5 7" xfId="25059"/>
    <cellStyle name="Normal 17 6" xfId="2423"/>
    <cellStyle name="Normal 17 6 2" xfId="2424"/>
    <cellStyle name="Normal 17 6 2 2" xfId="13025"/>
    <cellStyle name="Normal 17 6 2 2 2" xfId="21050"/>
    <cellStyle name="Normal 17 6 2 2 2 2" xfId="35075"/>
    <cellStyle name="Normal 17 6 2 2 3" xfId="27064"/>
    <cellStyle name="Normal 17 6 2 3" xfId="15040"/>
    <cellStyle name="Normal 17 6 2 3 2" xfId="23055"/>
    <cellStyle name="Normal 17 6 2 3 2 2" xfId="37080"/>
    <cellStyle name="Normal 17 6 2 3 3" xfId="29069"/>
    <cellStyle name="Normal 17 6 2 4" xfId="17046"/>
    <cellStyle name="Normal 17 6 2 4 2" xfId="31071"/>
    <cellStyle name="Normal 17 6 2 5" xfId="19048"/>
    <cellStyle name="Normal 17 6 2 5 2" xfId="33073"/>
    <cellStyle name="Normal 17 6 2 6" xfId="25062"/>
    <cellStyle name="Normal 17 6 3" xfId="13024"/>
    <cellStyle name="Normal 17 6 3 2" xfId="21049"/>
    <cellStyle name="Normal 17 6 3 2 2" xfId="35074"/>
    <cellStyle name="Normal 17 6 3 3" xfId="27063"/>
    <cellStyle name="Normal 17 6 4" xfId="15039"/>
    <cellStyle name="Normal 17 6 4 2" xfId="23054"/>
    <cellStyle name="Normal 17 6 4 2 2" xfId="37079"/>
    <cellStyle name="Normal 17 6 4 3" xfId="29068"/>
    <cellStyle name="Normal 17 6 5" xfId="17045"/>
    <cellStyle name="Normal 17 6 5 2" xfId="31070"/>
    <cellStyle name="Normal 17 6 6" xfId="19047"/>
    <cellStyle name="Normal 17 6 6 2" xfId="33072"/>
    <cellStyle name="Normal 17 6 7" xfId="25061"/>
    <cellStyle name="Normal 17 7" xfId="2425"/>
    <cellStyle name="Normal 17 7 2" xfId="13026"/>
    <cellStyle name="Normal 17 7 2 2" xfId="21051"/>
    <cellStyle name="Normal 17 7 2 2 2" xfId="35076"/>
    <cellStyle name="Normal 17 7 2 3" xfId="27065"/>
    <cellStyle name="Normal 17 7 3" xfId="15041"/>
    <cellStyle name="Normal 17 7 3 2" xfId="23056"/>
    <cellStyle name="Normal 17 7 3 2 2" xfId="37081"/>
    <cellStyle name="Normal 17 7 3 3" xfId="29070"/>
    <cellStyle name="Normal 17 7 4" xfId="17047"/>
    <cellStyle name="Normal 17 7 4 2" xfId="31072"/>
    <cellStyle name="Normal 17 7 5" xfId="19049"/>
    <cellStyle name="Normal 17 7 5 2" xfId="33074"/>
    <cellStyle name="Normal 17 7 6" xfId="25063"/>
    <cellStyle name="Normal 17 8" xfId="11632"/>
    <cellStyle name="Normal 17 8 2" xfId="19663"/>
    <cellStyle name="Normal 17 8 2 2" xfId="33688"/>
    <cellStyle name="Normal 17 8 3" xfId="25677"/>
    <cellStyle name="Normal 17 9" xfId="13653"/>
    <cellStyle name="Normal 17 9 2" xfId="21668"/>
    <cellStyle name="Normal 17 9 2 2" xfId="35693"/>
    <cellStyle name="Normal 17 9 3" xfId="27682"/>
    <cellStyle name="Normal 17_EAI Workpapers" xfId="499"/>
    <cellStyle name="Normal 18" xfId="500"/>
    <cellStyle name="Normal 18 10" xfId="15660"/>
    <cellStyle name="Normal 18 10 2" xfId="29685"/>
    <cellStyle name="Normal 18 11" xfId="17662"/>
    <cellStyle name="Normal 18 11 2" xfId="31687"/>
    <cellStyle name="Normal 18 12" xfId="23676"/>
    <cellStyle name="Normal 18 2" xfId="2426"/>
    <cellStyle name="Normal 18 2 10" xfId="19050"/>
    <cellStyle name="Normal 18 2 10 2" xfId="33075"/>
    <cellStyle name="Normal 18 2 11" xfId="25064"/>
    <cellStyle name="Normal 18 2 2" xfId="2427"/>
    <cellStyle name="Normal 18 2 2 10" xfId="25065"/>
    <cellStyle name="Normal 18 2 2 2" xfId="2428"/>
    <cellStyle name="Normal 18 2 2 2 2" xfId="2429"/>
    <cellStyle name="Normal 18 2 2 2 2 2" xfId="2430"/>
    <cellStyle name="Normal 18 2 2 2 2 2 2" xfId="13031"/>
    <cellStyle name="Normal 18 2 2 2 2 2 2 2" xfId="21056"/>
    <cellStyle name="Normal 18 2 2 2 2 2 2 2 2" xfId="35081"/>
    <cellStyle name="Normal 18 2 2 2 2 2 2 3" xfId="27070"/>
    <cellStyle name="Normal 18 2 2 2 2 2 3" xfId="15046"/>
    <cellStyle name="Normal 18 2 2 2 2 2 3 2" xfId="23061"/>
    <cellStyle name="Normal 18 2 2 2 2 2 3 2 2" xfId="37086"/>
    <cellStyle name="Normal 18 2 2 2 2 2 3 3" xfId="29075"/>
    <cellStyle name="Normal 18 2 2 2 2 2 4" xfId="17052"/>
    <cellStyle name="Normal 18 2 2 2 2 2 4 2" xfId="31077"/>
    <cellStyle name="Normal 18 2 2 2 2 2 5" xfId="19054"/>
    <cellStyle name="Normal 18 2 2 2 2 2 5 2" xfId="33079"/>
    <cellStyle name="Normal 18 2 2 2 2 2 6" xfId="25068"/>
    <cellStyle name="Normal 18 2 2 2 2 3" xfId="13030"/>
    <cellStyle name="Normal 18 2 2 2 2 3 2" xfId="21055"/>
    <cellStyle name="Normal 18 2 2 2 2 3 2 2" xfId="35080"/>
    <cellStyle name="Normal 18 2 2 2 2 3 3" xfId="27069"/>
    <cellStyle name="Normal 18 2 2 2 2 4" xfId="15045"/>
    <cellStyle name="Normal 18 2 2 2 2 4 2" xfId="23060"/>
    <cellStyle name="Normal 18 2 2 2 2 4 2 2" xfId="37085"/>
    <cellStyle name="Normal 18 2 2 2 2 4 3" xfId="29074"/>
    <cellStyle name="Normal 18 2 2 2 2 5" xfId="17051"/>
    <cellStyle name="Normal 18 2 2 2 2 5 2" xfId="31076"/>
    <cellStyle name="Normal 18 2 2 2 2 6" xfId="19053"/>
    <cellStyle name="Normal 18 2 2 2 2 6 2" xfId="33078"/>
    <cellStyle name="Normal 18 2 2 2 2 7" xfId="25067"/>
    <cellStyle name="Normal 18 2 2 2 3" xfId="2431"/>
    <cellStyle name="Normal 18 2 2 2 3 2" xfId="13032"/>
    <cellStyle name="Normal 18 2 2 2 3 2 2" xfId="21057"/>
    <cellStyle name="Normal 18 2 2 2 3 2 2 2" xfId="35082"/>
    <cellStyle name="Normal 18 2 2 2 3 2 3" xfId="27071"/>
    <cellStyle name="Normal 18 2 2 2 3 3" xfId="15047"/>
    <cellStyle name="Normal 18 2 2 2 3 3 2" xfId="23062"/>
    <cellStyle name="Normal 18 2 2 2 3 3 2 2" xfId="37087"/>
    <cellStyle name="Normal 18 2 2 2 3 3 3" xfId="29076"/>
    <cellStyle name="Normal 18 2 2 2 3 4" xfId="17053"/>
    <cellStyle name="Normal 18 2 2 2 3 4 2" xfId="31078"/>
    <cellStyle name="Normal 18 2 2 2 3 5" xfId="19055"/>
    <cellStyle name="Normal 18 2 2 2 3 5 2" xfId="33080"/>
    <cellStyle name="Normal 18 2 2 2 3 6" xfId="25069"/>
    <cellStyle name="Normal 18 2 2 2 4" xfId="13029"/>
    <cellStyle name="Normal 18 2 2 2 4 2" xfId="21054"/>
    <cellStyle name="Normal 18 2 2 2 4 2 2" xfId="35079"/>
    <cellStyle name="Normal 18 2 2 2 4 3" xfId="27068"/>
    <cellStyle name="Normal 18 2 2 2 5" xfId="15044"/>
    <cellStyle name="Normal 18 2 2 2 5 2" xfId="23059"/>
    <cellStyle name="Normal 18 2 2 2 5 2 2" xfId="37084"/>
    <cellStyle name="Normal 18 2 2 2 5 3" xfId="29073"/>
    <cellStyle name="Normal 18 2 2 2 6" xfId="17050"/>
    <cellStyle name="Normal 18 2 2 2 6 2" xfId="31075"/>
    <cellStyle name="Normal 18 2 2 2 7" xfId="19052"/>
    <cellStyle name="Normal 18 2 2 2 7 2" xfId="33077"/>
    <cellStyle name="Normal 18 2 2 2 8" xfId="25066"/>
    <cellStyle name="Normal 18 2 2 3" xfId="2432"/>
    <cellStyle name="Normal 18 2 2 3 2" xfId="2433"/>
    <cellStyle name="Normal 18 2 2 3 2 2" xfId="13034"/>
    <cellStyle name="Normal 18 2 2 3 2 2 2" xfId="21059"/>
    <cellStyle name="Normal 18 2 2 3 2 2 2 2" xfId="35084"/>
    <cellStyle name="Normal 18 2 2 3 2 2 3" xfId="27073"/>
    <cellStyle name="Normal 18 2 2 3 2 3" xfId="15049"/>
    <cellStyle name="Normal 18 2 2 3 2 3 2" xfId="23064"/>
    <cellStyle name="Normal 18 2 2 3 2 3 2 2" xfId="37089"/>
    <cellStyle name="Normal 18 2 2 3 2 3 3" xfId="29078"/>
    <cellStyle name="Normal 18 2 2 3 2 4" xfId="17055"/>
    <cellStyle name="Normal 18 2 2 3 2 4 2" xfId="31080"/>
    <cellStyle name="Normal 18 2 2 3 2 5" xfId="19057"/>
    <cellStyle name="Normal 18 2 2 3 2 5 2" xfId="33082"/>
    <cellStyle name="Normal 18 2 2 3 2 6" xfId="25071"/>
    <cellStyle name="Normal 18 2 2 3 3" xfId="13033"/>
    <cellStyle name="Normal 18 2 2 3 3 2" xfId="21058"/>
    <cellStyle name="Normal 18 2 2 3 3 2 2" xfId="35083"/>
    <cellStyle name="Normal 18 2 2 3 3 3" xfId="27072"/>
    <cellStyle name="Normal 18 2 2 3 4" xfId="15048"/>
    <cellStyle name="Normal 18 2 2 3 4 2" xfId="23063"/>
    <cellStyle name="Normal 18 2 2 3 4 2 2" xfId="37088"/>
    <cellStyle name="Normal 18 2 2 3 4 3" xfId="29077"/>
    <cellStyle name="Normal 18 2 2 3 5" xfId="17054"/>
    <cellStyle name="Normal 18 2 2 3 5 2" xfId="31079"/>
    <cellStyle name="Normal 18 2 2 3 6" xfId="19056"/>
    <cellStyle name="Normal 18 2 2 3 6 2" xfId="33081"/>
    <cellStyle name="Normal 18 2 2 3 7" xfId="25070"/>
    <cellStyle name="Normal 18 2 2 4" xfId="2434"/>
    <cellStyle name="Normal 18 2 2 4 2" xfId="2435"/>
    <cellStyle name="Normal 18 2 2 4 2 2" xfId="13036"/>
    <cellStyle name="Normal 18 2 2 4 2 2 2" xfId="21061"/>
    <cellStyle name="Normal 18 2 2 4 2 2 2 2" xfId="35086"/>
    <cellStyle name="Normal 18 2 2 4 2 2 3" xfId="27075"/>
    <cellStyle name="Normal 18 2 2 4 2 3" xfId="15051"/>
    <cellStyle name="Normal 18 2 2 4 2 3 2" xfId="23066"/>
    <cellStyle name="Normal 18 2 2 4 2 3 2 2" xfId="37091"/>
    <cellStyle name="Normal 18 2 2 4 2 3 3" xfId="29080"/>
    <cellStyle name="Normal 18 2 2 4 2 4" xfId="17057"/>
    <cellStyle name="Normal 18 2 2 4 2 4 2" xfId="31082"/>
    <cellStyle name="Normal 18 2 2 4 2 5" xfId="19059"/>
    <cellStyle name="Normal 18 2 2 4 2 5 2" xfId="33084"/>
    <cellStyle name="Normal 18 2 2 4 2 6" xfId="25073"/>
    <cellStyle name="Normal 18 2 2 4 3" xfId="13035"/>
    <cellStyle name="Normal 18 2 2 4 3 2" xfId="21060"/>
    <cellStyle name="Normal 18 2 2 4 3 2 2" xfId="35085"/>
    <cellStyle name="Normal 18 2 2 4 3 3" xfId="27074"/>
    <cellStyle name="Normal 18 2 2 4 4" xfId="15050"/>
    <cellStyle name="Normal 18 2 2 4 4 2" xfId="23065"/>
    <cellStyle name="Normal 18 2 2 4 4 2 2" xfId="37090"/>
    <cellStyle name="Normal 18 2 2 4 4 3" xfId="29079"/>
    <cellStyle name="Normal 18 2 2 4 5" xfId="17056"/>
    <cellStyle name="Normal 18 2 2 4 5 2" xfId="31081"/>
    <cellStyle name="Normal 18 2 2 4 6" xfId="19058"/>
    <cellStyle name="Normal 18 2 2 4 6 2" xfId="33083"/>
    <cellStyle name="Normal 18 2 2 4 7" xfId="25072"/>
    <cellStyle name="Normal 18 2 2 5" xfId="2436"/>
    <cellStyle name="Normal 18 2 2 5 2" xfId="13037"/>
    <cellStyle name="Normal 18 2 2 5 2 2" xfId="21062"/>
    <cellStyle name="Normal 18 2 2 5 2 2 2" xfId="35087"/>
    <cellStyle name="Normal 18 2 2 5 2 3" xfId="27076"/>
    <cellStyle name="Normal 18 2 2 5 3" xfId="15052"/>
    <cellStyle name="Normal 18 2 2 5 3 2" xfId="23067"/>
    <cellStyle name="Normal 18 2 2 5 3 2 2" xfId="37092"/>
    <cellStyle name="Normal 18 2 2 5 3 3" xfId="29081"/>
    <cellStyle name="Normal 18 2 2 5 4" xfId="17058"/>
    <cellStyle name="Normal 18 2 2 5 4 2" xfId="31083"/>
    <cellStyle name="Normal 18 2 2 5 5" xfId="19060"/>
    <cellStyle name="Normal 18 2 2 5 5 2" xfId="33085"/>
    <cellStyle name="Normal 18 2 2 5 6" xfId="25074"/>
    <cellStyle name="Normal 18 2 2 6" xfId="13028"/>
    <cellStyle name="Normal 18 2 2 6 2" xfId="21053"/>
    <cellStyle name="Normal 18 2 2 6 2 2" xfId="35078"/>
    <cellStyle name="Normal 18 2 2 6 3" xfId="27067"/>
    <cellStyle name="Normal 18 2 2 7" xfId="15043"/>
    <cellStyle name="Normal 18 2 2 7 2" xfId="23058"/>
    <cellStyle name="Normal 18 2 2 7 2 2" xfId="37083"/>
    <cellStyle name="Normal 18 2 2 7 3" xfId="29072"/>
    <cellStyle name="Normal 18 2 2 8" xfId="17049"/>
    <cellStyle name="Normal 18 2 2 8 2" xfId="31074"/>
    <cellStyle name="Normal 18 2 2 9" xfId="19051"/>
    <cellStyle name="Normal 18 2 2 9 2" xfId="33076"/>
    <cellStyle name="Normal 18 2 3" xfId="2437"/>
    <cellStyle name="Normal 18 2 3 2" xfId="2438"/>
    <cellStyle name="Normal 18 2 3 2 2" xfId="2439"/>
    <cellStyle name="Normal 18 2 3 2 2 2" xfId="13040"/>
    <cellStyle name="Normal 18 2 3 2 2 2 2" xfId="21065"/>
    <cellStyle name="Normal 18 2 3 2 2 2 2 2" xfId="35090"/>
    <cellStyle name="Normal 18 2 3 2 2 2 3" xfId="27079"/>
    <cellStyle name="Normal 18 2 3 2 2 3" xfId="15055"/>
    <cellStyle name="Normal 18 2 3 2 2 3 2" xfId="23070"/>
    <cellStyle name="Normal 18 2 3 2 2 3 2 2" xfId="37095"/>
    <cellStyle name="Normal 18 2 3 2 2 3 3" xfId="29084"/>
    <cellStyle name="Normal 18 2 3 2 2 4" xfId="17061"/>
    <cellStyle name="Normal 18 2 3 2 2 4 2" xfId="31086"/>
    <cellStyle name="Normal 18 2 3 2 2 5" xfId="19063"/>
    <cellStyle name="Normal 18 2 3 2 2 5 2" xfId="33088"/>
    <cellStyle name="Normal 18 2 3 2 2 6" xfId="25077"/>
    <cellStyle name="Normal 18 2 3 2 3" xfId="13039"/>
    <cellStyle name="Normal 18 2 3 2 3 2" xfId="21064"/>
    <cellStyle name="Normal 18 2 3 2 3 2 2" xfId="35089"/>
    <cellStyle name="Normal 18 2 3 2 3 3" xfId="27078"/>
    <cellStyle name="Normal 18 2 3 2 4" xfId="15054"/>
    <cellStyle name="Normal 18 2 3 2 4 2" xfId="23069"/>
    <cellStyle name="Normal 18 2 3 2 4 2 2" xfId="37094"/>
    <cellStyle name="Normal 18 2 3 2 4 3" xfId="29083"/>
    <cellStyle name="Normal 18 2 3 2 5" xfId="17060"/>
    <cellStyle name="Normal 18 2 3 2 5 2" xfId="31085"/>
    <cellStyle name="Normal 18 2 3 2 6" xfId="19062"/>
    <cellStyle name="Normal 18 2 3 2 6 2" xfId="33087"/>
    <cellStyle name="Normal 18 2 3 2 7" xfId="25076"/>
    <cellStyle name="Normal 18 2 3 3" xfId="2440"/>
    <cellStyle name="Normal 18 2 3 3 2" xfId="13041"/>
    <cellStyle name="Normal 18 2 3 3 2 2" xfId="21066"/>
    <cellStyle name="Normal 18 2 3 3 2 2 2" xfId="35091"/>
    <cellStyle name="Normal 18 2 3 3 2 3" xfId="27080"/>
    <cellStyle name="Normal 18 2 3 3 3" xfId="15056"/>
    <cellStyle name="Normal 18 2 3 3 3 2" xfId="23071"/>
    <cellStyle name="Normal 18 2 3 3 3 2 2" xfId="37096"/>
    <cellStyle name="Normal 18 2 3 3 3 3" xfId="29085"/>
    <cellStyle name="Normal 18 2 3 3 4" xfId="17062"/>
    <cellStyle name="Normal 18 2 3 3 4 2" xfId="31087"/>
    <cellStyle name="Normal 18 2 3 3 5" xfId="19064"/>
    <cellStyle name="Normal 18 2 3 3 5 2" xfId="33089"/>
    <cellStyle name="Normal 18 2 3 3 6" xfId="25078"/>
    <cellStyle name="Normal 18 2 3 4" xfId="13038"/>
    <cellStyle name="Normal 18 2 3 4 2" xfId="21063"/>
    <cellStyle name="Normal 18 2 3 4 2 2" xfId="35088"/>
    <cellStyle name="Normal 18 2 3 4 3" xfId="27077"/>
    <cellStyle name="Normal 18 2 3 5" xfId="15053"/>
    <cellStyle name="Normal 18 2 3 5 2" xfId="23068"/>
    <cellStyle name="Normal 18 2 3 5 2 2" xfId="37093"/>
    <cellStyle name="Normal 18 2 3 5 3" xfId="29082"/>
    <cellStyle name="Normal 18 2 3 6" xfId="17059"/>
    <cellStyle name="Normal 18 2 3 6 2" xfId="31084"/>
    <cellStyle name="Normal 18 2 3 7" xfId="19061"/>
    <cellStyle name="Normal 18 2 3 7 2" xfId="33086"/>
    <cellStyle name="Normal 18 2 3 8" xfId="25075"/>
    <cellStyle name="Normal 18 2 4" xfId="2441"/>
    <cellStyle name="Normal 18 2 4 2" xfId="2442"/>
    <cellStyle name="Normal 18 2 4 2 2" xfId="13043"/>
    <cellStyle name="Normal 18 2 4 2 2 2" xfId="21068"/>
    <cellStyle name="Normal 18 2 4 2 2 2 2" xfId="35093"/>
    <cellStyle name="Normal 18 2 4 2 2 3" xfId="27082"/>
    <cellStyle name="Normal 18 2 4 2 3" xfId="15058"/>
    <cellStyle name="Normal 18 2 4 2 3 2" xfId="23073"/>
    <cellStyle name="Normal 18 2 4 2 3 2 2" xfId="37098"/>
    <cellStyle name="Normal 18 2 4 2 3 3" xfId="29087"/>
    <cellStyle name="Normal 18 2 4 2 4" xfId="17064"/>
    <cellStyle name="Normal 18 2 4 2 4 2" xfId="31089"/>
    <cellStyle name="Normal 18 2 4 2 5" xfId="19066"/>
    <cellStyle name="Normal 18 2 4 2 5 2" xfId="33091"/>
    <cellStyle name="Normal 18 2 4 2 6" xfId="25080"/>
    <cellStyle name="Normal 18 2 4 3" xfId="13042"/>
    <cellStyle name="Normal 18 2 4 3 2" xfId="21067"/>
    <cellStyle name="Normal 18 2 4 3 2 2" xfId="35092"/>
    <cellStyle name="Normal 18 2 4 3 3" xfId="27081"/>
    <cellStyle name="Normal 18 2 4 4" xfId="15057"/>
    <cellStyle name="Normal 18 2 4 4 2" xfId="23072"/>
    <cellStyle name="Normal 18 2 4 4 2 2" xfId="37097"/>
    <cellStyle name="Normal 18 2 4 4 3" xfId="29086"/>
    <cellStyle name="Normal 18 2 4 5" xfId="17063"/>
    <cellStyle name="Normal 18 2 4 5 2" xfId="31088"/>
    <cellStyle name="Normal 18 2 4 6" xfId="19065"/>
    <cellStyle name="Normal 18 2 4 6 2" xfId="33090"/>
    <cellStyle name="Normal 18 2 4 7" xfId="25079"/>
    <cellStyle name="Normal 18 2 5" xfId="2443"/>
    <cellStyle name="Normal 18 2 5 2" xfId="2444"/>
    <cellStyle name="Normal 18 2 5 2 2" xfId="13045"/>
    <cellStyle name="Normal 18 2 5 2 2 2" xfId="21070"/>
    <cellStyle name="Normal 18 2 5 2 2 2 2" xfId="35095"/>
    <cellStyle name="Normal 18 2 5 2 2 3" xfId="27084"/>
    <cellStyle name="Normal 18 2 5 2 3" xfId="15060"/>
    <cellStyle name="Normal 18 2 5 2 3 2" xfId="23075"/>
    <cellStyle name="Normal 18 2 5 2 3 2 2" xfId="37100"/>
    <cellStyle name="Normal 18 2 5 2 3 3" xfId="29089"/>
    <cellStyle name="Normal 18 2 5 2 4" xfId="17066"/>
    <cellStyle name="Normal 18 2 5 2 4 2" xfId="31091"/>
    <cellStyle name="Normal 18 2 5 2 5" xfId="19068"/>
    <cellStyle name="Normal 18 2 5 2 5 2" xfId="33093"/>
    <cellStyle name="Normal 18 2 5 2 6" xfId="25082"/>
    <cellStyle name="Normal 18 2 5 3" xfId="13044"/>
    <cellStyle name="Normal 18 2 5 3 2" xfId="21069"/>
    <cellStyle name="Normal 18 2 5 3 2 2" xfId="35094"/>
    <cellStyle name="Normal 18 2 5 3 3" xfId="27083"/>
    <cellStyle name="Normal 18 2 5 4" xfId="15059"/>
    <cellStyle name="Normal 18 2 5 4 2" xfId="23074"/>
    <cellStyle name="Normal 18 2 5 4 2 2" xfId="37099"/>
    <cellStyle name="Normal 18 2 5 4 3" xfId="29088"/>
    <cellStyle name="Normal 18 2 5 5" xfId="17065"/>
    <cellStyle name="Normal 18 2 5 5 2" xfId="31090"/>
    <cellStyle name="Normal 18 2 5 6" xfId="19067"/>
    <cellStyle name="Normal 18 2 5 6 2" xfId="33092"/>
    <cellStyle name="Normal 18 2 5 7" xfId="25081"/>
    <cellStyle name="Normal 18 2 6" xfId="2445"/>
    <cellStyle name="Normal 18 2 6 2" xfId="13046"/>
    <cellStyle name="Normal 18 2 6 2 2" xfId="21071"/>
    <cellStyle name="Normal 18 2 6 2 2 2" xfId="35096"/>
    <cellStyle name="Normal 18 2 6 2 3" xfId="27085"/>
    <cellStyle name="Normal 18 2 6 3" xfId="15061"/>
    <cellStyle name="Normal 18 2 6 3 2" xfId="23076"/>
    <cellStyle name="Normal 18 2 6 3 2 2" xfId="37101"/>
    <cellStyle name="Normal 18 2 6 3 3" xfId="29090"/>
    <cellStyle name="Normal 18 2 6 4" xfId="17067"/>
    <cellStyle name="Normal 18 2 6 4 2" xfId="31092"/>
    <cellStyle name="Normal 18 2 6 5" xfId="19069"/>
    <cellStyle name="Normal 18 2 6 5 2" xfId="33094"/>
    <cellStyle name="Normal 18 2 6 6" xfId="25083"/>
    <cellStyle name="Normal 18 2 7" xfId="13027"/>
    <cellStyle name="Normal 18 2 7 2" xfId="21052"/>
    <cellStyle name="Normal 18 2 7 2 2" xfId="35077"/>
    <cellStyle name="Normal 18 2 7 3" xfId="27066"/>
    <cellStyle name="Normal 18 2 8" xfId="15042"/>
    <cellStyle name="Normal 18 2 8 2" xfId="23057"/>
    <cellStyle name="Normal 18 2 8 2 2" xfId="37082"/>
    <cellStyle name="Normal 18 2 8 3" xfId="29071"/>
    <cellStyle name="Normal 18 2 9" xfId="17048"/>
    <cellStyle name="Normal 18 2 9 2" xfId="31073"/>
    <cellStyle name="Normal 18 3" xfId="2446"/>
    <cellStyle name="Normal 18 3 10" xfId="25084"/>
    <cellStyle name="Normal 18 3 2" xfId="2447"/>
    <cellStyle name="Normal 18 3 2 2" xfId="2448"/>
    <cellStyle name="Normal 18 3 2 2 2" xfId="2449"/>
    <cellStyle name="Normal 18 3 2 2 2 2" xfId="13050"/>
    <cellStyle name="Normal 18 3 2 2 2 2 2" xfId="21075"/>
    <cellStyle name="Normal 18 3 2 2 2 2 2 2" xfId="35100"/>
    <cellStyle name="Normal 18 3 2 2 2 2 3" xfId="27089"/>
    <cellStyle name="Normal 18 3 2 2 2 3" xfId="15065"/>
    <cellStyle name="Normal 18 3 2 2 2 3 2" xfId="23080"/>
    <cellStyle name="Normal 18 3 2 2 2 3 2 2" xfId="37105"/>
    <cellStyle name="Normal 18 3 2 2 2 3 3" xfId="29094"/>
    <cellStyle name="Normal 18 3 2 2 2 4" xfId="17071"/>
    <cellStyle name="Normal 18 3 2 2 2 4 2" xfId="31096"/>
    <cellStyle name="Normal 18 3 2 2 2 5" xfId="19073"/>
    <cellStyle name="Normal 18 3 2 2 2 5 2" xfId="33098"/>
    <cellStyle name="Normal 18 3 2 2 2 6" xfId="25087"/>
    <cellStyle name="Normal 18 3 2 2 3" xfId="13049"/>
    <cellStyle name="Normal 18 3 2 2 3 2" xfId="21074"/>
    <cellStyle name="Normal 18 3 2 2 3 2 2" xfId="35099"/>
    <cellStyle name="Normal 18 3 2 2 3 3" xfId="27088"/>
    <cellStyle name="Normal 18 3 2 2 4" xfId="15064"/>
    <cellStyle name="Normal 18 3 2 2 4 2" xfId="23079"/>
    <cellStyle name="Normal 18 3 2 2 4 2 2" xfId="37104"/>
    <cellStyle name="Normal 18 3 2 2 4 3" xfId="29093"/>
    <cellStyle name="Normal 18 3 2 2 5" xfId="17070"/>
    <cellStyle name="Normal 18 3 2 2 5 2" xfId="31095"/>
    <cellStyle name="Normal 18 3 2 2 6" xfId="19072"/>
    <cellStyle name="Normal 18 3 2 2 6 2" xfId="33097"/>
    <cellStyle name="Normal 18 3 2 2 7" xfId="25086"/>
    <cellStyle name="Normal 18 3 2 3" xfId="2450"/>
    <cellStyle name="Normal 18 3 2 3 2" xfId="13051"/>
    <cellStyle name="Normal 18 3 2 3 2 2" xfId="21076"/>
    <cellStyle name="Normal 18 3 2 3 2 2 2" xfId="35101"/>
    <cellStyle name="Normal 18 3 2 3 2 3" xfId="27090"/>
    <cellStyle name="Normal 18 3 2 3 3" xfId="15066"/>
    <cellStyle name="Normal 18 3 2 3 3 2" xfId="23081"/>
    <cellStyle name="Normal 18 3 2 3 3 2 2" xfId="37106"/>
    <cellStyle name="Normal 18 3 2 3 3 3" xfId="29095"/>
    <cellStyle name="Normal 18 3 2 3 4" xfId="17072"/>
    <cellStyle name="Normal 18 3 2 3 4 2" xfId="31097"/>
    <cellStyle name="Normal 18 3 2 3 5" xfId="19074"/>
    <cellStyle name="Normal 18 3 2 3 5 2" xfId="33099"/>
    <cellStyle name="Normal 18 3 2 3 6" xfId="25088"/>
    <cellStyle name="Normal 18 3 2 4" xfId="13048"/>
    <cellStyle name="Normal 18 3 2 4 2" xfId="21073"/>
    <cellStyle name="Normal 18 3 2 4 2 2" xfId="35098"/>
    <cellStyle name="Normal 18 3 2 4 3" xfId="27087"/>
    <cellStyle name="Normal 18 3 2 5" xfId="15063"/>
    <cellStyle name="Normal 18 3 2 5 2" xfId="23078"/>
    <cellStyle name="Normal 18 3 2 5 2 2" xfId="37103"/>
    <cellStyle name="Normal 18 3 2 5 3" xfId="29092"/>
    <cellStyle name="Normal 18 3 2 6" xfId="17069"/>
    <cellStyle name="Normal 18 3 2 6 2" xfId="31094"/>
    <cellStyle name="Normal 18 3 2 7" xfId="19071"/>
    <cellStyle name="Normal 18 3 2 7 2" xfId="33096"/>
    <cellStyle name="Normal 18 3 2 8" xfId="25085"/>
    <cellStyle name="Normal 18 3 3" xfId="2451"/>
    <cellStyle name="Normal 18 3 3 2" xfId="2452"/>
    <cellStyle name="Normal 18 3 3 2 2" xfId="13053"/>
    <cellStyle name="Normal 18 3 3 2 2 2" xfId="21078"/>
    <cellStyle name="Normal 18 3 3 2 2 2 2" xfId="35103"/>
    <cellStyle name="Normal 18 3 3 2 2 3" xfId="27092"/>
    <cellStyle name="Normal 18 3 3 2 3" xfId="15068"/>
    <cellStyle name="Normal 18 3 3 2 3 2" xfId="23083"/>
    <cellStyle name="Normal 18 3 3 2 3 2 2" xfId="37108"/>
    <cellStyle name="Normal 18 3 3 2 3 3" xfId="29097"/>
    <cellStyle name="Normal 18 3 3 2 4" xfId="17074"/>
    <cellStyle name="Normal 18 3 3 2 4 2" xfId="31099"/>
    <cellStyle name="Normal 18 3 3 2 5" xfId="19076"/>
    <cellStyle name="Normal 18 3 3 2 5 2" xfId="33101"/>
    <cellStyle name="Normal 18 3 3 2 6" xfId="25090"/>
    <cellStyle name="Normal 18 3 3 3" xfId="13052"/>
    <cellStyle name="Normal 18 3 3 3 2" xfId="21077"/>
    <cellStyle name="Normal 18 3 3 3 2 2" xfId="35102"/>
    <cellStyle name="Normal 18 3 3 3 3" xfId="27091"/>
    <cellStyle name="Normal 18 3 3 4" xfId="15067"/>
    <cellStyle name="Normal 18 3 3 4 2" xfId="23082"/>
    <cellStyle name="Normal 18 3 3 4 2 2" xfId="37107"/>
    <cellStyle name="Normal 18 3 3 4 3" xfId="29096"/>
    <cellStyle name="Normal 18 3 3 5" xfId="17073"/>
    <cellStyle name="Normal 18 3 3 5 2" xfId="31098"/>
    <cellStyle name="Normal 18 3 3 6" xfId="19075"/>
    <cellStyle name="Normal 18 3 3 6 2" xfId="33100"/>
    <cellStyle name="Normal 18 3 3 7" xfId="25089"/>
    <cellStyle name="Normal 18 3 4" xfId="2453"/>
    <cellStyle name="Normal 18 3 4 2" xfId="2454"/>
    <cellStyle name="Normal 18 3 4 2 2" xfId="13055"/>
    <cellStyle name="Normal 18 3 4 2 2 2" xfId="21080"/>
    <cellStyle name="Normal 18 3 4 2 2 2 2" xfId="35105"/>
    <cellStyle name="Normal 18 3 4 2 2 3" xfId="27094"/>
    <cellStyle name="Normal 18 3 4 2 3" xfId="15070"/>
    <cellStyle name="Normal 18 3 4 2 3 2" xfId="23085"/>
    <cellStyle name="Normal 18 3 4 2 3 2 2" xfId="37110"/>
    <cellStyle name="Normal 18 3 4 2 3 3" xfId="29099"/>
    <cellStyle name="Normal 18 3 4 2 4" xfId="17076"/>
    <cellStyle name="Normal 18 3 4 2 4 2" xfId="31101"/>
    <cellStyle name="Normal 18 3 4 2 5" xfId="19078"/>
    <cellStyle name="Normal 18 3 4 2 5 2" xfId="33103"/>
    <cellStyle name="Normal 18 3 4 2 6" xfId="25092"/>
    <cellStyle name="Normal 18 3 4 3" xfId="13054"/>
    <cellStyle name="Normal 18 3 4 3 2" xfId="21079"/>
    <cellStyle name="Normal 18 3 4 3 2 2" xfId="35104"/>
    <cellStyle name="Normal 18 3 4 3 3" xfId="27093"/>
    <cellStyle name="Normal 18 3 4 4" xfId="15069"/>
    <cellStyle name="Normal 18 3 4 4 2" xfId="23084"/>
    <cellStyle name="Normal 18 3 4 4 2 2" xfId="37109"/>
    <cellStyle name="Normal 18 3 4 4 3" xfId="29098"/>
    <cellStyle name="Normal 18 3 4 5" xfId="17075"/>
    <cellStyle name="Normal 18 3 4 5 2" xfId="31100"/>
    <cellStyle name="Normal 18 3 4 6" xfId="19077"/>
    <cellStyle name="Normal 18 3 4 6 2" xfId="33102"/>
    <cellStyle name="Normal 18 3 4 7" xfId="25091"/>
    <cellStyle name="Normal 18 3 5" xfId="2455"/>
    <cellStyle name="Normal 18 3 5 2" xfId="13056"/>
    <cellStyle name="Normal 18 3 5 2 2" xfId="21081"/>
    <cellStyle name="Normal 18 3 5 2 2 2" xfId="35106"/>
    <cellStyle name="Normal 18 3 5 2 3" xfId="27095"/>
    <cellStyle name="Normal 18 3 5 3" xfId="15071"/>
    <cellStyle name="Normal 18 3 5 3 2" xfId="23086"/>
    <cellStyle name="Normal 18 3 5 3 2 2" xfId="37111"/>
    <cellStyle name="Normal 18 3 5 3 3" xfId="29100"/>
    <cellStyle name="Normal 18 3 5 4" xfId="17077"/>
    <cellStyle name="Normal 18 3 5 4 2" xfId="31102"/>
    <cellStyle name="Normal 18 3 5 5" xfId="19079"/>
    <cellStyle name="Normal 18 3 5 5 2" xfId="33104"/>
    <cellStyle name="Normal 18 3 5 6" xfId="25093"/>
    <cellStyle name="Normal 18 3 6" xfId="13047"/>
    <cellStyle name="Normal 18 3 6 2" xfId="21072"/>
    <cellStyle name="Normal 18 3 6 2 2" xfId="35097"/>
    <cellStyle name="Normal 18 3 6 3" xfId="27086"/>
    <cellStyle name="Normal 18 3 7" xfId="15062"/>
    <cellStyle name="Normal 18 3 7 2" xfId="23077"/>
    <cellStyle name="Normal 18 3 7 2 2" xfId="37102"/>
    <cellStyle name="Normal 18 3 7 3" xfId="29091"/>
    <cellStyle name="Normal 18 3 8" xfId="17068"/>
    <cellStyle name="Normal 18 3 8 2" xfId="31093"/>
    <cellStyle name="Normal 18 3 9" xfId="19070"/>
    <cellStyle name="Normal 18 3 9 2" xfId="33095"/>
    <cellStyle name="Normal 18 4" xfId="2456"/>
    <cellStyle name="Normal 18 4 2" xfId="2457"/>
    <cellStyle name="Normal 18 4 2 2" xfId="2458"/>
    <cellStyle name="Normal 18 4 2 2 2" xfId="13059"/>
    <cellStyle name="Normal 18 4 2 2 2 2" xfId="21084"/>
    <cellStyle name="Normal 18 4 2 2 2 2 2" xfId="35109"/>
    <cellStyle name="Normal 18 4 2 2 2 3" xfId="27098"/>
    <cellStyle name="Normal 18 4 2 2 3" xfId="15074"/>
    <cellStyle name="Normal 18 4 2 2 3 2" xfId="23089"/>
    <cellStyle name="Normal 18 4 2 2 3 2 2" xfId="37114"/>
    <cellStyle name="Normal 18 4 2 2 3 3" xfId="29103"/>
    <cellStyle name="Normal 18 4 2 2 4" xfId="17080"/>
    <cellStyle name="Normal 18 4 2 2 4 2" xfId="31105"/>
    <cellStyle name="Normal 18 4 2 2 5" xfId="19082"/>
    <cellStyle name="Normal 18 4 2 2 5 2" xfId="33107"/>
    <cellStyle name="Normal 18 4 2 2 6" xfId="25096"/>
    <cellStyle name="Normal 18 4 2 3" xfId="13058"/>
    <cellStyle name="Normal 18 4 2 3 2" xfId="21083"/>
    <cellStyle name="Normal 18 4 2 3 2 2" xfId="35108"/>
    <cellStyle name="Normal 18 4 2 3 3" xfId="27097"/>
    <cellStyle name="Normal 18 4 2 4" xfId="15073"/>
    <cellStyle name="Normal 18 4 2 4 2" xfId="23088"/>
    <cellStyle name="Normal 18 4 2 4 2 2" xfId="37113"/>
    <cellStyle name="Normal 18 4 2 4 3" xfId="29102"/>
    <cellStyle name="Normal 18 4 2 5" xfId="17079"/>
    <cellStyle name="Normal 18 4 2 5 2" xfId="31104"/>
    <cellStyle name="Normal 18 4 2 6" xfId="19081"/>
    <cellStyle name="Normal 18 4 2 6 2" xfId="33106"/>
    <cellStyle name="Normal 18 4 2 7" xfId="25095"/>
    <cellStyle name="Normal 18 4 3" xfId="2459"/>
    <cellStyle name="Normal 18 4 3 2" xfId="13060"/>
    <cellStyle name="Normal 18 4 3 2 2" xfId="21085"/>
    <cellStyle name="Normal 18 4 3 2 2 2" xfId="35110"/>
    <cellStyle name="Normal 18 4 3 2 3" xfId="27099"/>
    <cellStyle name="Normal 18 4 3 3" xfId="15075"/>
    <cellStyle name="Normal 18 4 3 3 2" xfId="23090"/>
    <cellStyle name="Normal 18 4 3 3 2 2" xfId="37115"/>
    <cellStyle name="Normal 18 4 3 3 3" xfId="29104"/>
    <cellStyle name="Normal 18 4 3 4" xfId="17081"/>
    <cellStyle name="Normal 18 4 3 4 2" xfId="31106"/>
    <cellStyle name="Normal 18 4 3 5" xfId="19083"/>
    <cellStyle name="Normal 18 4 3 5 2" xfId="33108"/>
    <cellStyle name="Normal 18 4 3 6" xfId="25097"/>
    <cellStyle name="Normal 18 4 4" xfId="13057"/>
    <cellStyle name="Normal 18 4 4 2" xfId="21082"/>
    <cellStyle name="Normal 18 4 4 2 2" xfId="35107"/>
    <cellStyle name="Normal 18 4 4 3" xfId="27096"/>
    <cellStyle name="Normal 18 4 5" xfId="15072"/>
    <cellStyle name="Normal 18 4 5 2" xfId="23087"/>
    <cellStyle name="Normal 18 4 5 2 2" xfId="37112"/>
    <cellStyle name="Normal 18 4 5 3" xfId="29101"/>
    <cellStyle name="Normal 18 4 6" xfId="17078"/>
    <cellStyle name="Normal 18 4 6 2" xfId="31103"/>
    <cellStyle name="Normal 18 4 7" xfId="19080"/>
    <cellStyle name="Normal 18 4 7 2" xfId="33105"/>
    <cellStyle name="Normal 18 4 8" xfId="25094"/>
    <cellStyle name="Normal 18 5" xfId="2460"/>
    <cellStyle name="Normal 18 5 2" xfId="2461"/>
    <cellStyle name="Normal 18 5 2 2" xfId="13062"/>
    <cellStyle name="Normal 18 5 2 2 2" xfId="21087"/>
    <cellStyle name="Normal 18 5 2 2 2 2" xfId="35112"/>
    <cellStyle name="Normal 18 5 2 2 3" xfId="27101"/>
    <cellStyle name="Normal 18 5 2 3" xfId="15077"/>
    <cellStyle name="Normal 18 5 2 3 2" xfId="23092"/>
    <cellStyle name="Normal 18 5 2 3 2 2" xfId="37117"/>
    <cellStyle name="Normal 18 5 2 3 3" xfId="29106"/>
    <cellStyle name="Normal 18 5 2 4" xfId="17083"/>
    <cellStyle name="Normal 18 5 2 4 2" xfId="31108"/>
    <cellStyle name="Normal 18 5 2 5" xfId="19085"/>
    <cellStyle name="Normal 18 5 2 5 2" xfId="33110"/>
    <cellStyle name="Normal 18 5 2 6" xfId="25099"/>
    <cellStyle name="Normal 18 5 3" xfId="13061"/>
    <cellStyle name="Normal 18 5 3 2" xfId="21086"/>
    <cellStyle name="Normal 18 5 3 2 2" xfId="35111"/>
    <cellStyle name="Normal 18 5 3 3" xfId="27100"/>
    <cellStyle name="Normal 18 5 4" xfId="15076"/>
    <cellStyle name="Normal 18 5 4 2" xfId="23091"/>
    <cellStyle name="Normal 18 5 4 2 2" xfId="37116"/>
    <cellStyle name="Normal 18 5 4 3" xfId="29105"/>
    <cellStyle name="Normal 18 5 5" xfId="17082"/>
    <cellStyle name="Normal 18 5 5 2" xfId="31107"/>
    <cellStyle name="Normal 18 5 6" xfId="19084"/>
    <cellStyle name="Normal 18 5 6 2" xfId="33109"/>
    <cellStyle name="Normal 18 5 7" xfId="25098"/>
    <cellStyle name="Normal 18 6" xfId="2462"/>
    <cellStyle name="Normal 18 6 2" xfId="2463"/>
    <cellStyle name="Normal 18 6 2 2" xfId="13064"/>
    <cellStyle name="Normal 18 6 2 2 2" xfId="21089"/>
    <cellStyle name="Normal 18 6 2 2 2 2" xfId="35114"/>
    <cellStyle name="Normal 18 6 2 2 3" xfId="27103"/>
    <cellStyle name="Normal 18 6 2 3" xfId="15079"/>
    <cellStyle name="Normal 18 6 2 3 2" xfId="23094"/>
    <cellStyle name="Normal 18 6 2 3 2 2" xfId="37119"/>
    <cellStyle name="Normal 18 6 2 3 3" xfId="29108"/>
    <cellStyle name="Normal 18 6 2 4" xfId="17085"/>
    <cellStyle name="Normal 18 6 2 4 2" xfId="31110"/>
    <cellStyle name="Normal 18 6 2 5" xfId="19087"/>
    <cellStyle name="Normal 18 6 2 5 2" xfId="33112"/>
    <cellStyle name="Normal 18 6 2 6" xfId="25101"/>
    <cellStyle name="Normal 18 6 3" xfId="13063"/>
    <cellStyle name="Normal 18 6 3 2" xfId="21088"/>
    <cellStyle name="Normal 18 6 3 2 2" xfId="35113"/>
    <cellStyle name="Normal 18 6 3 3" xfId="27102"/>
    <cellStyle name="Normal 18 6 4" xfId="15078"/>
    <cellStyle name="Normal 18 6 4 2" xfId="23093"/>
    <cellStyle name="Normal 18 6 4 2 2" xfId="37118"/>
    <cellStyle name="Normal 18 6 4 3" xfId="29107"/>
    <cellStyle name="Normal 18 6 5" xfId="17084"/>
    <cellStyle name="Normal 18 6 5 2" xfId="31109"/>
    <cellStyle name="Normal 18 6 6" xfId="19086"/>
    <cellStyle name="Normal 18 6 6 2" xfId="33111"/>
    <cellStyle name="Normal 18 6 7" xfId="25100"/>
    <cellStyle name="Normal 18 7" xfId="2464"/>
    <cellStyle name="Normal 18 7 2" xfId="13065"/>
    <cellStyle name="Normal 18 7 2 2" xfId="21090"/>
    <cellStyle name="Normal 18 7 2 2 2" xfId="35115"/>
    <cellStyle name="Normal 18 7 2 3" xfId="27104"/>
    <cellStyle name="Normal 18 7 3" xfId="15080"/>
    <cellStyle name="Normal 18 7 3 2" xfId="23095"/>
    <cellStyle name="Normal 18 7 3 2 2" xfId="37120"/>
    <cellStyle name="Normal 18 7 3 3" xfId="29109"/>
    <cellStyle name="Normal 18 7 4" xfId="17086"/>
    <cellStyle name="Normal 18 7 4 2" xfId="31111"/>
    <cellStyle name="Normal 18 7 5" xfId="19088"/>
    <cellStyle name="Normal 18 7 5 2" xfId="33113"/>
    <cellStyle name="Normal 18 7 6" xfId="25102"/>
    <cellStyle name="Normal 18 8" xfId="11633"/>
    <cellStyle name="Normal 18 8 2" xfId="19664"/>
    <cellStyle name="Normal 18 8 2 2" xfId="33689"/>
    <cellStyle name="Normal 18 8 3" xfId="25678"/>
    <cellStyle name="Normal 18 9" xfId="13654"/>
    <cellStyle name="Normal 18 9 2" xfId="21669"/>
    <cellStyle name="Normal 18 9 2 2" xfId="35694"/>
    <cellStyle name="Normal 18 9 3" xfId="27683"/>
    <cellStyle name="Normal 19" xfId="501"/>
    <cellStyle name="Normal 19 2" xfId="11634"/>
    <cellStyle name="Normal 19 2 2" xfId="19665"/>
    <cellStyle name="Normal 19 2 2 2" xfId="33690"/>
    <cellStyle name="Normal 19 2 3" xfId="25679"/>
    <cellStyle name="Normal 19 3" xfId="13655"/>
    <cellStyle name="Normal 19 3 2" xfId="21670"/>
    <cellStyle name="Normal 19 3 2 2" xfId="35695"/>
    <cellStyle name="Normal 19 3 3" xfId="27684"/>
    <cellStyle name="Normal 19 4" xfId="15661"/>
    <cellStyle name="Normal 19 4 2" xfId="29686"/>
    <cellStyle name="Normal 19 5" xfId="17663"/>
    <cellStyle name="Normal 19 5 2" xfId="31688"/>
    <cellStyle name="Normal 19 6" xfId="23677"/>
    <cellStyle name="Normal 2" xfId="502"/>
    <cellStyle name="Normal 2 2" xfId="503"/>
    <cellStyle name="Normal 2 2 2" xfId="504"/>
    <cellStyle name="Normal 2 2 2 2" xfId="2465"/>
    <cellStyle name="Normal 2 2 2 2 2" xfId="2466"/>
    <cellStyle name="Normal 2 2 3" xfId="11268"/>
    <cellStyle name="Normal 2 2 3 2" xfId="13637"/>
    <cellStyle name="Normal 2 2 3 2 2" xfId="21659"/>
    <cellStyle name="Normal 2 2 3 2 2 2" xfId="35684"/>
    <cellStyle name="Normal 2 2 3 2 3" xfId="27673"/>
    <cellStyle name="Normal 2 2 3 3" xfId="15647"/>
    <cellStyle name="Normal 2 2 3 3 2" xfId="23662"/>
    <cellStyle name="Normal 2 2 3 3 2 2" xfId="37687"/>
    <cellStyle name="Normal 2 2 3 3 3" xfId="29676"/>
    <cellStyle name="Normal 2 2 3 4" xfId="17653"/>
    <cellStyle name="Normal 2 2 3 4 2" xfId="31678"/>
    <cellStyle name="Normal 2 2 3 5" xfId="19655"/>
    <cellStyle name="Normal 2 2 3 5 2" xfId="33680"/>
    <cellStyle name="Normal 2 2 3 6" xfId="25669"/>
    <cellStyle name="Normal 2 2_1 - ADIT" xfId="505"/>
    <cellStyle name="Normal 2 3" xfId="506"/>
    <cellStyle name="Normal 2 3 2" xfId="507"/>
    <cellStyle name="Normal 2 4" xfId="508"/>
    <cellStyle name="Normal 2 5" xfId="2467"/>
    <cellStyle name="Normal 2 5 10" xfId="17087"/>
    <cellStyle name="Normal 2 5 10 2" xfId="31112"/>
    <cellStyle name="Normal 2 5 11" xfId="19089"/>
    <cellStyle name="Normal 2 5 11 2" xfId="33114"/>
    <cellStyle name="Normal 2 5 12" xfId="25103"/>
    <cellStyle name="Normal 2 5 2" xfId="2468"/>
    <cellStyle name="Normal 2 5 2 10" xfId="19090"/>
    <cellStyle name="Normal 2 5 2 10 2" xfId="33115"/>
    <cellStyle name="Normal 2 5 2 11" xfId="25104"/>
    <cellStyle name="Normal 2 5 2 2" xfId="2469"/>
    <cellStyle name="Normal 2 5 2 2 10" xfId="25105"/>
    <cellStyle name="Normal 2 5 2 2 2" xfId="2470"/>
    <cellStyle name="Normal 2 5 2 2 2 2" xfId="2471"/>
    <cellStyle name="Normal 2 5 2 2 2 2 2" xfId="2472"/>
    <cellStyle name="Normal 2 5 2 2 2 2 2 2" xfId="13071"/>
    <cellStyle name="Normal 2 5 2 2 2 2 2 2 2" xfId="21096"/>
    <cellStyle name="Normal 2 5 2 2 2 2 2 2 2 2" xfId="35121"/>
    <cellStyle name="Normal 2 5 2 2 2 2 2 2 3" xfId="27110"/>
    <cellStyle name="Normal 2 5 2 2 2 2 2 3" xfId="15086"/>
    <cellStyle name="Normal 2 5 2 2 2 2 2 3 2" xfId="23101"/>
    <cellStyle name="Normal 2 5 2 2 2 2 2 3 2 2" xfId="37126"/>
    <cellStyle name="Normal 2 5 2 2 2 2 2 3 3" xfId="29115"/>
    <cellStyle name="Normal 2 5 2 2 2 2 2 4" xfId="17092"/>
    <cellStyle name="Normal 2 5 2 2 2 2 2 4 2" xfId="31117"/>
    <cellStyle name="Normal 2 5 2 2 2 2 2 5" xfId="19094"/>
    <cellStyle name="Normal 2 5 2 2 2 2 2 5 2" xfId="33119"/>
    <cellStyle name="Normal 2 5 2 2 2 2 2 6" xfId="25108"/>
    <cellStyle name="Normal 2 5 2 2 2 2 3" xfId="13070"/>
    <cellStyle name="Normal 2 5 2 2 2 2 3 2" xfId="21095"/>
    <cellStyle name="Normal 2 5 2 2 2 2 3 2 2" xfId="35120"/>
    <cellStyle name="Normal 2 5 2 2 2 2 3 3" xfId="27109"/>
    <cellStyle name="Normal 2 5 2 2 2 2 4" xfId="15085"/>
    <cellStyle name="Normal 2 5 2 2 2 2 4 2" xfId="23100"/>
    <cellStyle name="Normal 2 5 2 2 2 2 4 2 2" xfId="37125"/>
    <cellStyle name="Normal 2 5 2 2 2 2 4 3" xfId="29114"/>
    <cellStyle name="Normal 2 5 2 2 2 2 5" xfId="17091"/>
    <cellStyle name="Normal 2 5 2 2 2 2 5 2" xfId="31116"/>
    <cellStyle name="Normal 2 5 2 2 2 2 6" xfId="19093"/>
    <cellStyle name="Normal 2 5 2 2 2 2 6 2" xfId="33118"/>
    <cellStyle name="Normal 2 5 2 2 2 2 7" xfId="25107"/>
    <cellStyle name="Normal 2 5 2 2 2 3" xfId="2473"/>
    <cellStyle name="Normal 2 5 2 2 2 3 2" xfId="13072"/>
    <cellStyle name="Normal 2 5 2 2 2 3 2 2" xfId="21097"/>
    <cellStyle name="Normal 2 5 2 2 2 3 2 2 2" xfId="35122"/>
    <cellStyle name="Normal 2 5 2 2 2 3 2 3" xfId="27111"/>
    <cellStyle name="Normal 2 5 2 2 2 3 3" xfId="15087"/>
    <cellStyle name="Normal 2 5 2 2 2 3 3 2" xfId="23102"/>
    <cellStyle name="Normal 2 5 2 2 2 3 3 2 2" xfId="37127"/>
    <cellStyle name="Normal 2 5 2 2 2 3 3 3" xfId="29116"/>
    <cellStyle name="Normal 2 5 2 2 2 3 4" xfId="17093"/>
    <cellStyle name="Normal 2 5 2 2 2 3 4 2" xfId="31118"/>
    <cellStyle name="Normal 2 5 2 2 2 3 5" xfId="19095"/>
    <cellStyle name="Normal 2 5 2 2 2 3 5 2" xfId="33120"/>
    <cellStyle name="Normal 2 5 2 2 2 3 6" xfId="25109"/>
    <cellStyle name="Normal 2 5 2 2 2 4" xfId="13069"/>
    <cellStyle name="Normal 2 5 2 2 2 4 2" xfId="21094"/>
    <cellStyle name="Normal 2 5 2 2 2 4 2 2" xfId="35119"/>
    <cellStyle name="Normal 2 5 2 2 2 4 3" xfId="27108"/>
    <cellStyle name="Normal 2 5 2 2 2 5" xfId="15084"/>
    <cellStyle name="Normal 2 5 2 2 2 5 2" xfId="23099"/>
    <cellStyle name="Normal 2 5 2 2 2 5 2 2" xfId="37124"/>
    <cellStyle name="Normal 2 5 2 2 2 5 3" xfId="29113"/>
    <cellStyle name="Normal 2 5 2 2 2 6" xfId="17090"/>
    <cellStyle name="Normal 2 5 2 2 2 6 2" xfId="31115"/>
    <cellStyle name="Normal 2 5 2 2 2 7" xfId="19092"/>
    <cellStyle name="Normal 2 5 2 2 2 7 2" xfId="33117"/>
    <cellStyle name="Normal 2 5 2 2 2 8" xfId="25106"/>
    <cellStyle name="Normal 2 5 2 2 3" xfId="2474"/>
    <cellStyle name="Normal 2 5 2 2 3 2" xfId="2475"/>
    <cellStyle name="Normal 2 5 2 2 3 2 2" xfId="13074"/>
    <cellStyle name="Normal 2 5 2 2 3 2 2 2" xfId="21099"/>
    <cellStyle name="Normal 2 5 2 2 3 2 2 2 2" xfId="35124"/>
    <cellStyle name="Normal 2 5 2 2 3 2 2 3" xfId="27113"/>
    <cellStyle name="Normal 2 5 2 2 3 2 3" xfId="15089"/>
    <cellStyle name="Normal 2 5 2 2 3 2 3 2" xfId="23104"/>
    <cellStyle name="Normal 2 5 2 2 3 2 3 2 2" xfId="37129"/>
    <cellStyle name="Normal 2 5 2 2 3 2 3 3" xfId="29118"/>
    <cellStyle name="Normal 2 5 2 2 3 2 4" xfId="17095"/>
    <cellStyle name="Normal 2 5 2 2 3 2 4 2" xfId="31120"/>
    <cellStyle name="Normal 2 5 2 2 3 2 5" xfId="19097"/>
    <cellStyle name="Normal 2 5 2 2 3 2 5 2" xfId="33122"/>
    <cellStyle name="Normal 2 5 2 2 3 2 6" xfId="25111"/>
    <cellStyle name="Normal 2 5 2 2 3 3" xfId="13073"/>
    <cellStyle name="Normal 2 5 2 2 3 3 2" xfId="21098"/>
    <cellStyle name="Normal 2 5 2 2 3 3 2 2" xfId="35123"/>
    <cellStyle name="Normal 2 5 2 2 3 3 3" xfId="27112"/>
    <cellStyle name="Normal 2 5 2 2 3 4" xfId="15088"/>
    <cellStyle name="Normal 2 5 2 2 3 4 2" xfId="23103"/>
    <cellStyle name="Normal 2 5 2 2 3 4 2 2" xfId="37128"/>
    <cellStyle name="Normal 2 5 2 2 3 4 3" xfId="29117"/>
    <cellStyle name="Normal 2 5 2 2 3 5" xfId="17094"/>
    <cellStyle name="Normal 2 5 2 2 3 5 2" xfId="31119"/>
    <cellStyle name="Normal 2 5 2 2 3 6" xfId="19096"/>
    <cellStyle name="Normal 2 5 2 2 3 6 2" xfId="33121"/>
    <cellStyle name="Normal 2 5 2 2 3 7" xfId="25110"/>
    <cellStyle name="Normal 2 5 2 2 4" xfId="2476"/>
    <cellStyle name="Normal 2 5 2 2 4 2" xfId="2477"/>
    <cellStyle name="Normal 2 5 2 2 4 2 2" xfId="13076"/>
    <cellStyle name="Normal 2 5 2 2 4 2 2 2" xfId="21101"/>
    <cellStyle name="Normal 2 5 2 2 4 2 2 2 2" xfId="35126"/>
    <cellStyle name="Normal 2 5 2 2 4 2 2 3" xfId="27115"/>
    <cellStyle name="Normal 2 5 2 2 4 2 3" xfId="15091"/>
    <cellStyle name="Normal 2 5 2 2 4 2 3 2" xfId="23106"/>
    <cellStyle name="Normal 2 5 2 2 4 2 3 2 2" xfId="37131"/>
    <cellStyle name="Normal 2 5 2 2 4 2 3 3" xfId="29120"/>
    <cellStyle name="Normal 2 5 2 2 4 2 4" xfId="17097"/>
    <cellStyle name="Normal 2 5 2 2 4 2 4 2" xfId="31122"/>
    <cellStyle name="Normal 2 5 2 2 4 2 5" xfId="19099"/>
    <cellStyle name="Normal 2 5 2 2 4 2 5 2" xfId="33124"/>
    <cellStyle name="Normal 2 5 2 2 4 2 6" xfId="25113"/>
    <cellStyle name="Normal 2 5 2 2 4 3" xfId="13075"/>
    <cellStyle name="Normal 2 5 2 2 4 3 2" xfId="21100"/>
    <cellStyle name="Normal 2 5 2 2 4 3 2 2" xfId="35125"/>
    <cellStyle name="Normal 2 5 2 2 4 3 3" xfId="27114"/>
    <cellStyle name="Normal 2 5 2 2 4 4" xfId="15090"/>
    <cellStyle name="Normal 2 5 2 2 4 4 2" xfId="23105"/>
    <cellStyle name="Normal 2 5 2 2 4 4 2 2" xfId="37130"/>
    <cellStyle name="Normal 2 5 2 2 4 4 3" xfId="29119"/>
    <cellStyle name="Normal 2 5 2 2 4 5" xfId="17096"/>
    <cellStyle name="Normal 2 5 2 2 4 5 2" xfId="31121"/>
    <cellStyle name="Normal 2 5 2 2 4 6" xfId="19098"/>
    <cellStyle name="Normal 2 5 2 2 4 6 2" xfId="33123"/>
    <cellStyle name="Normal 2 5 2 2 4 7" xfId="25112"/>
    <cellStyle name="Normal 2 5 2 2 5" xfId="2478"/>
    <cellStyle name="Normal 2 5 2 2 5 2" xfId="13077"/>
    <cellStyle name="Normal 2 5 2 2 5 2 2" xfId="21102"/>
    <cellStyle name="Normal 2 5 2 2 5 2 2 2" xfId="35127"/>
    <cellStyle name="Normal 2 5 2 2 5 2 3" xfId="27116"/>
    <cellStyle name="Normal 2 5 2 2 5 3" xfId="15092"/>
    <cellStyle name="Normal 2 5 2 2 5 3 2" xfId="23107"/>
    <cellStyle name="Normal 2 5 2 2 5 3 2 2" xfId="37132"/>
    <cellStyle name="Normal 2 5 2 2 5 3 3" xfId="29121"/>
    <cellStyle name="Normal 2 5 2 2 5 4" xfId="17098"/>
    <cellStyle name="Normal 2 5 2 2 5 4 2" xfId="31123"/>
    <cellStyle name="Normal 2 5 2 2 5 5" xfId="19100"/>
    <cellStyle name="Normal 2 5 2 2 5 5 2" xfId="33125"/>
    <cellStyle name="Normal 2 5 2 2 5 6" xfId="25114"/>
    <cellStyle name="Normal 2 5 2 2 6" xfId="13068"/>
    <cellStyle name="Normal 2 5 2 2 6 2" xfId="21093"/>
    <cellStyle name="Normal 2 5 2 2 6 2 2" xfId="35118"/>
    <cellStyle name="Normal 2 5 2 2 6 3" xfId="27107"/>
    <cellStyle name="Normal 2 5 2 2 7" xfId="15083"/>
    <cellStyle name="Normal 2 5 2 2 7 2" xfId="23098"/>
    <cellStyle name="Normal 2 5 2 2 7 2 2" xfId="37123"/>
    <cellStyle name="Normal 2 5 2 2 7 3" xfId="29112"/>
    <cellStyle name="Normal 2 5 2 2 8" xfId="17089"/>
    <cellStyle name="Normal 2 5 2 2 8 2" xfId="31114"/>
    <cellStyle name="Normal 2 5 2 2 9" xfId="19091"/>
    <cellStyle name="Normal 2 5 2 2 9 2" xfId="33116"/>
    <cellStyle name="Normal 2 5 2 3" xfId="2479"/>
    <cellStyle name="Normal 2 5 2 3 2" xfId="2480"/>
    <cellStyle name="Normal 2 5 2 3 2 2" xfId="2481"/>
    <cellStyle name="Normal 2 5 2 3 2 2 2" xfId="13080"/>
    <cellStyle name="Normal 2 5 2 3 2 2 2 2" xfId="21105"/>
    <cellStyle name="Normal 2 5 2 3 2 2 2 2 2" xfId="35130"/>
    <cellStyle name="Normal 2 5 2 3 2 2 2 3" xfId="27119"/>
    <cellStyle name="Normal 2 5 2 3 2 2 3" xfId="15095"/>
    <cellStyle name="Normal 2 5 2 3 2 2 3 2" xfId="23110"/>
    <cellStyle name="Normal 2 5 2 3 2 2 3 2 2" xfId="37135"/>
    <cellStyle name="Normal 2 5 2 3 2 2 3 3" xfId="29124"/>
    <cellStyle name="Normal 2 5 2 3 2 2 4" xfId="17101"/>
    <cellStyle name="Normal 2 5 2 3 2 2 4 2" xfId="31126"/>
    <cellStyle name="Normal 2 5 2 3 2 2 5" xfId="19103"/>
    <cellStyle name="Normal 2 5 2 3 2 2 5 2" xfId="33128"/>
    <cellStyle name="Normal 2 5 2 3 2 2 6" xfId="25117"/>
    <cellStyle name="Normal 2 5 2 3 2 3" xfId="13079"/>
    <cellStyle name="Normal 2 5 2 3 2 3 2" xfId="21104"/>
    <cellStyle name="Normal 2 5 2 3 2 3 2 2" xfId="35129"/>
    <cellStyle name="Normal 2 5 2 3 2 3 3" xfId="27118"/>
    <cellStyle name="Normal 2 5 2 3 2 4" xfId="15094"/>
    <cellStyle name="Normal 2 5 2 3 2 4 2" xfId="23109"/>
    <cellStyle name="Normal 2 5 2 3 2 4 2 2" xfId="37134"/>
    <cellStyle name="Normal 2 5 2 3 2 4 3" xfId="29123"/>
    <cellStyle name="Normal 2 5 2 3 2 5" xfId="17100"/>
    <cellStyle name="Normal 2 5 2 3 2 5 2" xfId="31125"/>
    <cellStyle name="Normal 2 5 2 3 2 6" xfId="19102"/>
    <cellStyle name="Normal 2 5 2 3 2 6 2" xfId="33127"/>
    <cellStyle name="Normal 2 5 2 3 2 7" xfId="25116"/>
    <cellStyle name="Normal 2 5 2 3 3" xfId="2482"/>
    <cellStyle name="Normal 2 5 2 3 3 2" xfId="13081"/>
    <cellStyle name="Normal 2 5 2 3 3 2 2" xfId="21106"/>
    <cellStyle name="Normal 2 5 2 3 3 2 2 2" xfId="35131"/>
    <cellStyle name="Normal 2 5 2 3 3 2 3" xfId="27120"/>
    <cellStyle name="Normal 2 5 2 3 3 3" xfId="15096"/>
    <cellStyle name="Normal 2 5 2 3 3 3 2" xfId="23111"/>
    <cellStyle name="Normal 2 5 2 3 3 3 2 2" xfId="37136"/>
    <cellStyle name="Normal 2 5 2 3 3 3 3" xfId="29125"/>
    <cellStyle name="Normal 2 5 2 3 3 4" xfId="17102"/>
    <cellStyle name="Normal 2 5 2 3 3 4 2" xfId="31127"/>
    <cellStyle name="Normal 2 5 2 3 3 5" xfId="19104"/>
    <cellStyle name="Normal 2 5 2 3 3 5 2" xfId="33129"/>
    <cellStyle name="Normal 2 5 2 3 3 6" xfId="25118"/>
    <cellStyle name="Normal 2 5 2 3 4" xfId="13078"/>
    <cellStyle name="Normal 2 5 2 3 4 2" xfId="21103"/>
    <cellStyle name="Normal 2 5 2 3 4 2 2" xfId="35128"/>
    <cellStyle name="Normal 2 5 2 3 4 3" xfId="27117"/>
    <cellStyle name="Normal 2 5 2 3 5" xfId="15093"/>
    <cellStyle name="Normal 2 5 2 3 5 2" xfId="23108"/>
    <cellStyle name="Normal 2 5 2 3 5 2 2" xfId="37133"/>
    <cellStyle name="Normal 2 5 2 3 5 3" xfId="29122"/>
    <cellStyle name="Normal 2 5 2 3 6" xfId="17099"/>
    <cellStyle name="Normal 2 5 2 3 6 2" xfId="31124"/>
    <cellStyle name="Normal 2 5 2 3 7" xfId="19101"/>
    <cellStyle name="Normal 2 5 2 3 7 2" xfId="33126"/>
    <cellStyle name="Normal 2 5 2 3 8" xfId="25115"/>
    <cellStyle name="Normal 2 5 2 4" xfId="2483"/>
    <cellStyle name="Normal 2 5 2 4 2" xfId="2484"/>
    <cellStyle name="Normal 2 5 2 4 2 2" xfId="13083"/>
    <cellStyle name="Normal 2 5 2 4 2 2 2" xfId="21108"/>
    <cellStyle name="Normal 2 5 2 4 2 2 2 2" xfId="35133"/>
    <cellStyle name="Normal 2 5 2 4 2 2 3" xfId="27122"/>
    <cellStyle name="Normal 2 5 2 4 2 3" xfId="15098"/>
    <cellStyle name="Normal 2 5 2 4 2 3 2" xfId="23113"/>
    <cellStyle name="Normal 2 5 2 4 2 3 2 2" xfId="37138"/>
    <cellStyle name="Normal 2 5 2 4 2 3 3" xfId="29127"/>
    <cellStyle name="Normal 2 5 2 4 2 4" xfId="17104"/>
    <cellStyle name="Normal 2 5 2 4 2 4 2" xfId="31129"/>
    <cellStyle name="Normal 2 5 2 4 2 5" xfId="19106"/>
    <cellStyle name="Normal 2 5 2 4 2 5 2" xfId="33131"/>
    <cellStyle name="Normal 2 5 2 4 2 6" xfId="25120"/>
    <cellStyle name="Normal 2 5 2 4 3" xfId="13082"/>
    <cellStyle name="Normal 2 5 2 4 3 2" xfId="21107"/>
    <cellStyle name="Normal 2 5 2 4 3 2 2" xfId="35132"/>
    <cellStyle name="Normal 2 5 2 4 3 3" xfId="27121"/>
    <cellStyle name="Normal 2 5 2 4 4" xfId="15097"/>
    <cellStyle name="Normal 2 5 2 4 4 2" xfId="23112"/>
    <cellStyle name="Normal 2 5 2 4 4 2 2" xfId="37137"/>
    <cellStyle name="Normal 2 5 2 4 4 3" xfId="29126"/>
    <cellStyle name="Normal 2 5 2 4 5" xfId="17103"/>
    <cellStyle name="Normal 2 5 2 4 5 2" xfId="31128"/>
    <cellStyle name="Normal 2 5 2 4 6" xfId="19105"/>
    <cellStyle name="Normal 2 5 2 4 6 2" xfId="33130"/>
    <cellStyle name="Normal 2 5 2 4 7" xfId="25119"/>
    <cellStyle name="Normal 2 5 2 5" xfId="2485"/>
    <cellStyle name="Normal 2 5 2 5 2" xfId="2486"/>
    <cellStyle name="Normal 2 5 2 5 2 2" xfId="13085"/>
    <cellStyle name="Normal 2 5 2 5 2 2 2" xfId="21110"/>
    <cellStyle name="Normal 2 5 2 5 2 2 2 2" xfId="35135"/>
    <cellStyle name="Normal 2 5 2 5 2 2 3" xfId="27124"/>
    <cellStyle name="Normal 2 5 2 5 2 3" xfId="15100"/>
    <cellStyle name="Normal 2 5 2 5 2 3 2" xfId="23115"/>
    <cellStyle name="Normal 2 5 2 5 2 3 2 2" xfId="37140"/>
    <cellStyle name="Normal 2 5 2 5 2 3 3" xfId="29129"/>
    <cellStyle name="Normal 2 5 2 5 2 4" xfId="17106"/>
    <cellStyle name="Normal 2 5 2 5 2 4 2" xfId="31131"/>
    <cellStyle name="Normal 2 5 2 5 2 5" xfId="19108"/>
    <cellStyle name="Normal 2 5 2 5 2 5 2" xfId="33133"/>
    <cellStyle name="Normal 2 5 2 5 2 6" xfId="25122"/>
    <cellStyle name="Normal 2 5 2 5 3" xfId="13084"/>
    <cellStyle name="Normal 2 5 2 5 3 2" xfId="21109"/>
    <cellStyle name="Normal 2 5 2 5 3 2 2" xfId="35134"/>
    <cellStyle name="Normal 2 5 2 5 3 3" xfId="27123"/>
    <cellStyle name="Normal 2 5 2 5 4" xfId="15099"/>
    <cellStyle name="Normal 2 5 2 5 4 2" xfId="23114"/>
    <cellStyle name="Normal 2 5 2 5 4 2 2" xfId="37139"/>
    <cellStyle name="Normal 2 5 2 5 4 3" xfId="29128"/>
    <cellStyle name="Normal 2 5 2 5 5" xfId="17105"/>
    <cellStyle name="Normal 2 5 2 5 5 2" xfId="31130"/>
    <cellStyle name="Normal 2 5 2 5 6" xfId="19107"/>
    <cellStyle name="Normal 2 5 2 5 6 2" xfId="33132"/>
    <cellStyle name="Normal 2 5 2 5 7" xfId="25121"/>
    <cellStyle name="Normal 2 5 2 6" xfId="2487"/>
    <cellStyle name="Normal 2 5 2 6 2" xfId="13086"/>
    <cellStyle name="Normal 2 5 2 6 2 2" xfId="21111"/>
    <cellStyle name="Normal 2 5 2 6 2 2 2" xfId="35136"/>
    <cellStyle name="Normal 2 5 2 6 2 3" xfId="27125"/>
    <cellStyle name="Normal 2 5 2 6 3" xfId="15101"/>
    <cellStyle name="Normal 2 5 2 6 3 2" xfId="23116"/>
    <cellStyle name="Normal 2 5 2 6 3 2 2" xfId="37141"/>
    <cellStyle name="Normal 2 5 2 6 3 3" xfId="29130"/>
    <cellStyle name="Normal 2 5 2 6 4" xfId="17107"/>
    <cellStyle name="Normal 2 5 2 6 4 2" xfId="31132"/>
    <cellStyle name="Normal 2 5 2 6 5" xfId="19109"/>
    <cellStyle name="Normal 2 5 2 6 5 2" xfId="33134"/>
    <cellStyle name="Normal 2 5 2 6 6" xfId="25123"/>
    <cellStyle name="Normal 2 5 2 7" xfId="13067"/>
    <cellStyle name="Normal 2 5 2 7 2" xfId="21092"/>
    <cellStyle name="Normal 2 5 2 7 2 2" xfId="35117"/>
    <cellStyle name="Normal 2 5 2 7 3" xfId="27106"/>
    <cellStyle name="Normal 2 5 2 8" xfId="15082"/>
    <cellStyle name="Normal 2 5 2 8 2" xfId="23097"/>
    <cellStyle name="Normal 2 5 2 8 2 2" xfId="37122"/>
    <cellStyle name="Normal 2 5 2 8 3" xfId="29111"/>
    <cellStyle name="Normal 2 5 2 9" xfId="17088"/>
    <cellStyle name="Normal 2 5 2 9 2" xfId="31113"/>
    <cellStyle name="Normal 2 5 3" xfId="2488"/>
    <cellStyle name="Normal 2 5 3 10" xfId="25124"/>
    <cellStyle name="Normal 2 5 3 2" xfId="2489"/>
    <cellStyle name="Normal 2 5 3 2 2" xfId="2490"/>
    <cellStyle name="Normal 2 5 3 2 2 2" xfId="2491"/>
    <cellStyle name="Normal 2 5 3 2 2 2 2" xfId="13090"/>
    <cellStyle name="Normal 2 5 3 2 2 2 2 2" xfId="21115"/>
    <cellStyle name="Normal 2 5 3 2 2 2 2 2 2" xfId="35140"/>
    <cellStyle name="Normal 2 5 3 2 2 2 2 3" xfId="27129"/>
    <cellStyle name="Normal 2 5 3 2 2 2 3" xfId="15105"/>
    <cellStyle name="Normal 2 5 3 2 2 2 3 2" xfId="23120"/>
    <cellStyle name="Normal 2 5 3 2 2 2 3 2 2" xfId="37145"/>
    <cellStyle name="Normal 2 5 3 2 2 2 3 3" xfId="29134"/>
    <cellStyle name="Normal 2 5 3 2 2 2 4" xfId="17111"/>
    <cellStyle name="Normal 2 5 3 2 2 2 4 2" xfId="31136"/>
    <cellStyle name="Normal 2 5 3 2 2 2 5" xfId="19113"/>
    <cellStyle name="Normal 2 5 3 2 2 2 5 2" xfId="33138"/>
    <cellStyle name="Normal 2 5 3 2 2 2 6" xfId="25127"/>
    <cellStyle name="Normal 2 5 3 2 2 3" xfId="13089"/>
    <cellStyle name="Normal 2 5 3 2 2 3 2" xfId="21114"/>
    <cellStyle name="Normal 2 5 3 2 2 3 2 2" xfId="35139"/>
    <cellStyle name="Normal 2 5 3 2 2 3 3" xfId="27128"/>
    <cellStyle name="Normal 2 5 3 2 2 4" xfId="15104"/>
    <cellStyle name="Normal 2 5 3 2 2 4 2" xfId="23119"/>
    <cellStyle name="Normal 2 5 3 2 2 4 2 2" xfId="37144"/>
    <cellStyle name="Normal 2 5 3 2 2 4 3" xfId="29133"/>
    <cellStyle name="Normal 2 5 3 2 2 5" xfId="17110"/>
    <cellStyle name="Normal 2 5 3 2 2 5 2" xfId="31135"/>
    <cellStyle name="Normal 2 5 3 2 2 6" xfId="19112"/>
    <cellStyle name="Normal 2 5 3 2 2 6 2" xfId="33137"/>
    <cellStyle name="Normal 2 5 3 2 2 7" xfId="25126"/>
    <cellStyle name="Normal 2 5 3 2 3" xfId="2492"/>
    <cellStyle name="Normal 2 5 3 2 3 2" xfId="13091"/>
    <cellStyle name="Normal 2 5 3 2 3 2 2" xfId="21116"/>
    <cellStyle name="Normal 2 5 3 2 3 2 2 2" xfId="35141"/>
    <cellStyle name="Normal 2 5 3 2 3 2 3" xfId="27130"/>
    <cellStyle name="Normal 2 5 3 2 3 3" xfId="15106"/>
    <cellStyle name="Normal 2 5 3 2 3 3 2" xfId="23121"/>
    <cellStyle name="Normal 2 5 3 2 3 3 2 2" xfId="37146"/>
    <cellStyle name="Normal 2 5 3 2 3 3 3" xfId="29135"/>
    <cellStyle name="Normal 2 5 3 2 3 4" xfId="17112"/>
    <cellStyle name="Normal 2 5 3 2 3 4 2" xfId="31137"/>
    <cellStyle name="Normal 2 5 3 2 3 5" xfId="19114"/>
    <cellStyle name="Normal 2 5 3 2 3 5 2" xfId="33139"/>
    <cellStyle name="Normal 2 5 3 2 3 6" xfId="25128"/>
    <cellStyle name="Normal 2 5 3 2 4" xfId="13088"/>
    <cellStyle name="Normal 2 5 3 2 4 2" xfId="21113"/>
    <cellStyle name="Normal 2 5 3 2 4 2 2" xfId="35138"/>
    <cellStyle name="Normal 2 5 3 2 4 3" xfId="27127"/>
    <cellStyle name="Normal 2 5 3 2 5" xfId="15103"/>
    <cellStyle name="Normal 2 5 3 2 5 2" xfId="23118"/>
    <cellStyle name="Normal 2 5 3 2 5 2 2" xfId="37143"/>
    <cellStyle name="Normal 2 5 3 2 5 3" xfId="29132"/>
    <cellStyle name="Normal 2 5 3 2 6" xfId="17109"/>
    <cellStyle name="Normal 2 5 3 2 6 2" xfId="31134"/>
    <cellStyle name="Normal 2 5 3 2 7" xfId="19111"/>
    <cellStyle name="Normal 2 5 3 2 7 2" xfId="33136"/>
    <cellStyle name="Normal 2 5 3 2 8" xfId="25125"/>
    <cellStyle name="Normal 2 5 3 3" xfId="2493"/>
    <cellStyle name="Normal 2 5 3 3 2" xfId="2494"/>
    <cellStyle name="Normal 2 5 3 3 2 2" xfId="13093"/>
    <cellStyle name="Normal 2 5 3 3 2 2 2" xfId="21118"/>
    <cellStyle name="Normal 2 5 3 3 2 2 2 2" xfId="35143"/>
    <cellStyle name="Normal 2 5 3 3 2 2 3" xfId="27132"/>
    <cellStyle name="Normal 2 5 3 3 2 3" xfId="15108"/>
    <cellStyle name="Normal 2 5 3 3 2 3 2" xfId="23123"/>
    <cellStyle name="Normal 2 5 3 3 2 3 2 2" xfId="37148"/>
    <cellStyle name="Normal 2 5 3 3 2 3 3" xfId="29137"/>
    <cellStyle name="Normal 2 5 3 3 2 4" xfId="17114"/>
    <cellStyle name="Normal 2 5 3 3 2 4 2" xfId="31139"/>
    <cellStyle name="Normal 2 5 3 3 2 5" xfId="19116"/>
    <cellStyle name="Normal 2 5 3 3 2 5 2" xfId="33141"/>
    <cellStyle name="Normal 2 5 3 3 2 6" xfId="25130"/>
    <cellStyle name="Normal 2 5 3 3 3" xfId="13092"/>
    <cellStyle name="Normal 2 5 3 3 3 2" xfId="21117"/>
    <cellStyle name="Normal 2 5 3 3 3 2 2" xfId="35142"/>
    <cellStyle name="Normal 2 5 3 3 3 3" xfId="27131"/>
    <cellStyle name="Normal 2 5 3 3 4" xfId="15107"/>
    <cellStyle name="Normal 2 5 3 3 4 2" xfId="23122"/>
    <cellStyle name="Normal 2 5 3 3 4 2 2" xfId="37147"/>
    <cellStyle name="Normal 2 5 3 3 4 3" xfId="29136"/>
    <cellStyle name="Normal 2 5 3 3 5" xfId="17113"/>
    <cellStyle name="Normal 2 5 3 3 5 2" xfId="31138"/>
    <cellStyle name="Normal 2 5 3 3 6" xfId="19115"/>
    <cellStyle name="Normal 2 5 3 3 6 2" xfId="33140"/>
    <cellStyle name="Normal 2 5 3 3 7" xfId="25129"/>
    <cellStyle name="Normal 2 5 3 4" xfId="2495"/>
    <cellStyle name="Normal 2 5 3 4 2" xfId="2496"/>
    <cellStyle name="Normal 2 5 3 4 2 2" xfId="13095"/>
    <cellStyle name="Normal 2 5 3 4 2 2 2" xfId="21120"/>
    <cellStyle name="Normal 2 5 3 4 2 2 2 2" xfId="35145"/>
    <cellStyle name="Normal 2 5 3 4 2 2 3" xfId="27134"/>
    <cellStyle name="Normal 2 5 3 4 2 3" xfId="15110"/>
    <cellStyle name="Normal 2 5 3 4 2 3 2" xfId="23125"/>
    <cellStyle name="Normal 2 5 3 4 2 3 2 2" xfId="37150"/>
    <cellStyle name="Normal 2 5 3 4 2 3 3" xfId="29139"/>
    <cellStyle name="Normal 2 5 3 4 2 4" xfId="17116"/>
    <cellStyle name="Normal 2 5 3 4 2 4 2" xfId="31141"/>
    <cellStyle name="Normal 2 5 3 4 2 5" xfId="19118"/>
    <cellStyle name="Normal 2 5 3 4 2 5 2" xfId="33143"/>
    <cellStyle name="Normal 2 5 3 4 2 6" xfId="25132"/>
    <cellStyle name="Normal 2 5 3 4 3" xfId="13094"/>
    <cellStyle name="Normal 2 5 3 4 3 2" xfId="21119"/>
    <cellStyle name="Normal 2 5 3 4 3 2 2" xfId="35144"/>
    <cellStyle name="Normal 2 5 3 4 3 3" xfId="27133"/>
    <cellStyle name="Normal 2 5 3 4 4" xfId="15109"/>
    <cellStyle name="Normal 2 5 3 4 4 2" xfId="23124"/>
    <cellStyle name="Normal 2 5 3 4 4 2 2" xfId="37149"/>
    <cellStyle name="Normal 2 5 3 4 4 3" xfId="29138"/>
    <cellStyle name="Normal 2 5 3 4 5" xfId="17115"/>
    <cellStyle name="Normal 2 5 3 4 5 2" xfId="31140"/>
    <cellStyle name="Normal 2 5 3 4 6" xfId="19117"/>
    <cellStyle name="Normal 2 5 3 4 6 2" xfId="33142"/>
    <cellStyle name="Normal 2 5 3 4 7" xfId="25131"/>
    <cellStyle name="Normal 2 5 3 5" xfId="2497"/>
    <cellStyle name="Normal 2 5 3 5 2" xfId="13096"/>
    <cellStyle name="Normal 2 5 3 5 2 2" xfId="21121"/>
    <cellStyle name="Normal 2 5 3 5 2 2 2" xfId="35146"/>
    <cellStyle name="Normal 2 5 3 5 2 3" xfId="27135"/>
    <cellStyle name="Normal 2 5 3 5 3" xfId="15111"/>
    <cellStyle name="Normal 2 5 3 5 3 2" xfId="23126"/>
    <cellStyle name="Normal 2 5 3 5 3 2 2" xfId="37151"/>
    <cellStyle name="Normal 2 5 3 5 3 3" xfId="29140"/>
    <cellStyle name="Normal 2 5 3 5 4" xfId="17117"/>
    <cellStyle name="Normal 2 5 3 5 4 2" xfId="31142"/>
    <cellStyle name="Normal 2 5 3 5 5" xfId="19119"/>
    <cellStyle name="Normal 2 5 3 5 5 2" xfId="33144"/>
    <cellStyle name="Normal 2 5 3 5 6" xfId="25133"/>
    <cellStyle name="Normal 2 5 3 6" xfId="13087"/>
    <cellStyle name="Normal 2 5 3 6 2" xfId="21112"/>
    <cellStyle name="Normal 2 5 3 6 2 2" xfId="35137"/>
    <cellStyle name="Normal 2 5 3 6 3" xfId="27126"/>
    <cellStyle name="Normal 2 5 3 7" xfId="15102"/>
    <cellStyle name="Normal 2 5 3 7 2" xfId="23117"/>
    <cellStyle name="Normal 2 5 3 7 2 2" xfId="37142"/>
    <cellStyle name="Normal 2 5 3 7 3" xfId="29131"/>
    <cellStyle name="Normal 2 5 3 8" xfId="17108"/>
    <cellStyle name="Normal 2 5 3 8 2" xfId="31133"/>
    <cellStyle name="Normal 2 5 3 9" xfId="19110"/>
    <cellStyle name="Normal 2 5 3 9 2" xfId="33135"/>
    <cellStyle name="Normal 2 5 4" xfId="2498"/>
    <cellStyle name="Normal 2 5 4 2" xfId="2499"/>
    <cellStyle name="Normal 2 5 4 2 2" xfId="2500"/>
    <cellStyle name="Normal 2 5 4 2 2 2" xfId="13099"/>
    <cellStyle name="Normal 2 5 4 2 2 2 2" xfId="21124"/>
    <cellStyle name="Normal 2 5 4 2 2 2 2 2" xfId="35149"/>
    <cellStyle name="Normal 2 5 4 2 2 2 3" xfId="27138"/>
    <cellStyle name="Normal 2 5 4 2 2 3" xfId="15114"/>
    <cellStyle name="Normal 2 5 4 2 2 3 2" xfId="23129"/>
    <cellStyle name="Normal 2 5 4 2 2 3 2 2" xfId="37154"/>
    <cellStyle name="Normal 2 5 4 2 2 3 3" xfId="29143"/>
    <cellStyle name="Normal 2 5 4 2 2 4" xfId="17120"/>
    <cellStyle name="Normal 2 5 4 2 2 4 2" xfId="31145"/>
    <cellStyle name="Normal 2 5 4 2 2 5" xfId="19122"/>
    <cellStyle name="Normal 2 5 4 2 2 5 2" xfId="33147"/>
    <cellStyle name="Normal 2 5 4 2 2 6" xfId="25136"/>
    <cellStyle name="Normal 2 5 4 2 3" xfId="13098"/>
    <cellStyle name="Normal 2 5 4 2 3 2" xfId="21123"/>
    <cellStyle name="Normal 2 5 4 2 3 2 2" xfId="35148"/>
    <cellStyle name="Normal 2 5 4 2 3 3" xfId="27137"/>
    <cellStyle name="Normal 2 5 4 2 4" xfId="15113"/>
    <cellStyle name="Normal 2 5 4 2 4 2" xfId="23128"/>
    <cellStyle name="Normal 2 5 4 2 4 2 2" xfId="37153"/>
    <cellStyle name="Normal 2 5 4 2 4 3" xfId="29142"/>
    <cellStyle name="Normal 2 5 4 2 5" xfId="17119"/>
    <cellStyle name="Normal 2 5 4 2 5 2" xfId="31144"/>
    <cellStyle name="Normal 2 5 4 2 6" xfId="19121"/>
    <cellStyle name="Normal 2 5 4 2 6 2" xfId="33146"/>
    <cellStyle name="Normal 2 5 4 2 7" xfId="25135"/>
    <cellStyle name="Normal 2 5 4 3" xfId="2501"/>
    <cellStyle name="Normal 2 5 4 3 2" xfId="13100"/>
    <cellStyle name="Normal 2 5 4 3 2 2" xfId="21125"/>
    <cellStyle name="Normal 2 5 4 3 2 2 2" xfId="35150"/>
    <cellStyle name="Normal 2 5 4 3 2 3" xfId="27139"/>
    <cellStyle name="Normal 2 5 4 3 3" xfId="15115"/>
    <cellStyle name="Normal 2 5 4 3 3 2" xfId="23130"/>
    <cellStyle name="Normal 2 5 4 3 3 2 2" xfId="37155"/>
    <cellStyle name="Normal 2 5 4 3 3 3" xfId="29144"/>
    <cellStyle name="Normal 2 5 4 3 4" xfId="17121"/>
    <cellStyle name="Normal 2 5 4 3 4 2" xfId="31146"/>
    <cellStyle name="Normal 2 5 4 3 5" xfId="19123"/>
    <cellStyle name="Normal 2 5 4 3 5 2" xfId="33148"/>
    <cellStyle name="Normal 2 5 4 3 6" xfId="25137"/>
    <cellStyle name="Normal 2 5 4 4" xfId="13097"/>
    <cellStyle name="Normal 2 5 4 4 2" xfId="21122"/>
    <cellStyle name="Normal 2 5 4 4 2 2" xfId="35147"/>
    <cellStyle name="Normal 2 5 4 4 3" xfId="27136"/>
    <cellStyle name="Normal 2 5 4 5" xfId="15112"/>
    <cellStyle name="Normal 2 5 4 5 2" xfId="23127"/>
    <cellStyle name="Normal 2 5 4 5 2 2" xfId="37152"/>
    <cellStyle name="Normal 2 5 4 5 3" xfId="29141"/>
    <cellStyle name="Normal 2 5 4 6" xfId="17118"/>
    <cellStyle name="Normal 2 5 4 6 2" xfId="31143"/>
    <cellStyle name="Normal 2 5 4 7" xfId="19120"/>
    <cellStyle name="Normal 2 5 4 7 2" xfId="33145"/>
    <cellStyle name="Normal 2 5 4 8" xfId="25134"/>
    <cellStyle name="Normal 2 5 5" xfId="2502"/>
    <cellStyle name="Normal 2 5 5 2" xfId="2503"/>
    <cellStyle name="Normal 2 5 5 2 2" xfId="13102"/>
    <cellStyle name="Normal 2 5 5 2 2 2" xfId="21127"/>
    <cellStyle name="Normal 2 5 5 2 2 2 2" xfId="35152"/>
    <cellStyle name="Normal 2 5 5 2 2 3" xfId="27141"/>
    <cellStyle name="Normal 2 5 5 2 3" xfId="15117"/>
    <cellStyle name="Normal 2 5 5 2 3 2" xfId="23132"/>
    <cellStyle name="Normal 2 5 5 2 3 2 2" xfId="37157"/>
    <cellStyle name="Normal 2 5 5 2 3 3" xfId="29146"/>
    <cellStyle name="Normal 2 5 5 2 4" xfId="17123"/>
    <cellStyle name="Normal 2 5 5 2 4 2" xfId="31148"/>
    <cellStyle name="Normal 2 5 5 2 5" xfId="19125"/>
    <cellStyle name="Normal 2 5 5 2 5 2" xfId="33150"/>
    <cellStyle name="Normal 2 5 5 2 6" xfId="25139"/>
    <cellStyle name="Normal 2 5 5 3" xfId="13101"/>
    <cellStyle name="Normal 2 5 5 3 2" xfId="21126"/>
    <cellStyle name="Normal 2 5 5 3 2 2" xfId="35151"/>
    <cellStyle name="Normal 2 5 5 3 3" xfId="27140"/>
    <cellStyle name="Normal 2 5 5 4" xfId="15116"/>
    <cellStyle name="Normal 2 5 5 4 2" xfId="23131"/>
    <cellStyle name="Normal 2 5 5 4 2 2" xfId="37156"/>
    <cellStyle name="Normal 2 5 5 4 3" xfId="29145"/>
    <cellStyle name="Normal 2 5 5 5" xfId="17122"/>
    <cellStyle name="Normal 2 5 5 5 2" xfId="31147"/>
    <cellStyle name="Normal 2 5 5 6" xfId="19124"/>
    <cellStyle name="Normal 2 5 5 6 2" xfId="33149"/>
    <cellStyle name="Normal 2 5 5 7" xfId="25138"/>
    <cellStyle name="Normal 2 5 6" xfId="2504"/>
    <cellStyle name="Normal 2 5 6 2" xfId="2505"/>
    <cellStyle name="Normal 2 5 6 2 2" xfId="13104"/>
    <cellStyle name="Normal 2 5 6 2 2 2" xfId="21129"/>
    <cellStyle name="Normal 2 5 6 2 2 2 2" xfId="35154"/>
    <cellStyle name="Normal 2 5 6 2 2 3" xfId="27143"/>
    <cellStyle name="Normal 2 5 6 2 3" xfId="15119"/>
    <cellStyle name="Normal 2 5 6 2 3 2" xfId="23134"/>
    <cellStyle name="Normal 2 5 6 2 3 2 2" xfId="37159"/>
    <cellStyle name="Normal 2 5 6 2 3 3" xfId="29148"/>
    <cellStyle name="Normal 2 5 6 2 4" xfId="17125"/>
    <cellStyle name="Normal 2 5 6 2 4 2" xfId="31150"/>
    <cellStyle name="Normal 2 5 6 2 5" xfId="19127"/>
    <cellStyle name="Normal 2 5 6 2 5 2" xfId="33152"/>
    <cellStyle name="Normal 2 5 6 2 6" xfId="25141"/>
    <cellStyle name="Normal 2 5 6 3" xfId="13103"/>
    <cellStyle name="Normal 2 5 6 3 2" xfId="21128"/>
    <cellStyle name="Normal 2 5 6 3 2 2" xfId="35153"/>
    <cellStyle name="Normal 2 5 6 3 3" xfId="27142"/>
    <cellStyle name="Normal 2 5 6 4" xfId="15118"/>
    <cellStyle name="Normal 2 5 6 4 2" xfId="23133"/>
    <cellStyle name="Normal 2 5 6 4 2 2" xfId="37158"/>
    <cellStyle name="Normal 2 5 6 4 3" xfId="29147"/>
    <cellStyle name="Normal 2 5 6 5" xfId="17124"/>
    <cellStyle name="Normal 2 5 6 5 2" xfId="31149"/>
    <cellStyle name="Normal 2 5 6 6" xfId="19126"/>
    <cellStyle name="Normal 2 5 6 6 2" xfId="33151"/>
    <cellStyle name="Normal 2 5 6 7" xfId="25140"/>
    <cellStyle name="Normal 2 5 7" xfId="2506"/>
    <cellStyle name="Normal 2 5 7 2" xfId="13105"/>
    <cellStyle name="Normal 2 5 7 2 2" xfId="21130"/>
    <cellStyle name="Normal 2 5 7 2 2 2" xfId="35155"/>
    <cellStyle name="Normal 2 5 7 2 3" xfId="27144"/>
    <cellStyle name="Normal 2 5 7 3" xfId="15120"/>
    <cellStyle name="Normal 2 5 7 3 2" xfId="23135"/>
    <cellStyle name="Normal 2 5 7 3 2 2" xfId="37160"/>
    <cellStyle name="Normal 2 5 7 3 3" xfId="29149"/>
    <cellStyle name="Normal 2 5 7 4" xfId="17126"/>
    <cellStyle name="Normal 2 5 7 4 2" xfId="31151"/>
    <cellStyle name="Normal 2 5 7 5" xfId="19128"/>
    <cellStyle name="Normal 2 5 7 5 2" xfId="33153"/>
    <cellStyle name="Normal 2 5 7 6" xfId="25142"/>
    <cellStyle name="Normal 2 5 8" xfId="13066"/>
    <cellStyle name="Normal 2 5 8 2" xfId="21091"/>
    <cellStyle name="Normal 2 5 8 2 2" xfId="35116"/>
    <cellStyle name="Normal 2 5 8 3" xfId="27105"/>
    <cellStyle name="Normal 2 5 9" xfId="15081"/>
    <cellStyle name="Normal 2 5 9 2" xfId="23096"/>
    <cellStyle name="Normal 2 5 9 2 2" xfId="37121"/>
    <cellStyle name="Normal 2 5 9 3" xfId="29110"/>
    <cellStyle name="Normal 2 6" xfId="2507"/>
    <cellStyle name="Normal 2 7" xfId="2508"/>
    <cellStyle name="Normal 2_1 - ADIT" xfId="509"/>
    <cellStyle name="Normal 2_5 - Cost Support" xfId="510"/>
    <cellStyle name="Normal 20" xfId="511"/>
    <cellStyle name="Normal 20 2" xfId="11267"/>
    <cellStyle name="Normal 20 2 2" xfId="11277"/>
    <cellStyle name="Normal 20 2 2 2" xfId="13641"/>
    <cellStyle name="Normal 20 2 2 2 2" xfId="21663"/>
    <cellStyle name="Normal 20 2 2 2 2 2" xfId="35688"/>
    <cellStyle name="Normal 20 2 2 2 3" xfId="27677"/>
    <cellStyle name="Normal 20 2 2 3" xfId="15651"/>
    <cellStyle name="Normal 20 2 2 3 2" xfId="23666"/>
    <cellStyle name="Normal 20 2 2 3 2 2" xfId="37691"/>
    <cellStyle name="Normal 20 2 2 3 3" xfId="29680"/>
    <cellStyle name="Normal 20 2 2 4" xfId="17657"/>
    <cellStyle name="Normal 20 2 2 4 2" xfId="31682"/>
    <cellStyle name="Normal 20 2 2 5" xfId="19659"/>
    <cellStyle name="Normal 20 2 2 5 2" xfId="33684"/>
    <cellStyle name="Normal 20 2 2 6" xfId="25673"/>
    <cellStyle name="Normal 20 2 3" xfId="13636"/>
    <cellStyle name="Normal 20 2 3 2" xfId="21658"/>
    <cellStyle name="Normal 20 2 3 2 2" xfId="35683"/>
    <cellStyle name="Normal 20 2 3 3" xfId="27672"/>
    <cellStyle name="Normal 20 2 4" xfId="15646"/>
    <cellStyle name="Normal 20 2 4 2" xfId="23661"/>
    <cellStyle name="Normal 20 2 4 2 2" xfId="37686"/>
    <cellStyle name="Normal 20 2 4 3" xfId="29675"/>
    <cellStyle name="Normal 20 2 5" xfId="17652"/>
    <cellStyle name="Normal 20 2 5 2" xfId="31677"/>
    <cellStyle name="Normal 20 2 6" xfId="19654"/>
    <cellStyle name="Normal 20 2 6 2" xfId="33679"/>
    <cellStyle name="Normal 20 2 7" xfId="25668"/>
    <cellStyle name="Normal 20 3" xfId="11276"/>
    <cellStyle name="Normal 20 3 2" xfId="13640"/>
    <cellStyle name="Normal 20 3 2 2" xfId="21662"/>
    <cellStyle name="Normal 20 3 2 2 2" xfId="35687"/>
    <cellStyle name="Normal 20 3 2 3" xfId="27676"/>
    <cellStyle name="Normal 20 3 3" xfId="15650"/>
    <cellStyle name="Normal 20 3 3 2" xfId="23665"/>
    <cellStyle name="Normal 20 3 3 2 2" xfId="37690"/>
    <cellStyle name="Normal 20 3 3 3" xfId="29679"/>
    <cellStyle name="Normal 20 3 4" xfId="17656"/>
    <cellStyle name="Normal 20 3 4 2" xfId="31681"/>
    <cellStyle name="Normal 20 3 5" xfId="19658"/>
    <cellStyle name="Normal 20 3 5 2" xfId="33683"/>
    <cellStyle name="Normal 20 3 6" xfId="25672"/>
    <cellStyle name="Normal 20 4" xfId="11635"/>
    <cellStyle name="Normal 20 4 2" xfId="19666"/>
    <cellStyle name="Normal 20 4 2 2" xfId="33691"/>
    <cellStyle name="Normal 20 4 3" xfId="25680"/>
    <cellStyle name="Normal 20 5" xfId="13656"/>
    <cellStyle name="Normal 20 5 2" xfId="21671"/>
    <cellStyle name="Normal 20 5 2 2" xfId="35696"/>
    <cellStyle name="Normal 20 5 3" xfId="27685"/>
    <cellStyle name="Normal 20 6" xfId="15662"/>
    <cellStyle name="Normal 20 6 2" xfId="29687"/>
    <cellStyle name="Normal 20 7" xfId="17664"/>
    <cellStyle name="Normal 20 7 2" xfId="31689"/>
    <cellStyle name="Normal 20 8" xfId="23678"/>
    <cellStyle name="Normal 21" xfId="512"/>
    <cellStyle name="Normal 21 2" xfId="11271"/>
    <cellStyle name="Normal 21 3" xfId="37694"/>
    <cellStyle name="Normal 22" xfId="513"/>
    <cellStyle name="Normal 22 2" xfId="514"/>
    <cellStyle name="Normal 23" xfId="515"/>
    <cellStyle name="Normal 24" xfId="11269"/>
    <cellStyle name="Normal 24 2" xfId="13638"/>
    <cellStyle name="Normal 24 2 2" xfId="21660"/>
    <cellStyle name="Normal 24 2 2 2" xfId="35685"/>
    <cellStyle name="Normal 24 2 3" xfId="27674"/>
    <cellStyle name="Normal 24 3" xfId="15648"/>
    <cellStyle name="Normal 24 3 2" xfId="23663"/>
    <cellStyle name="Normal 24 3 2 2" xfId="37688"/>
    <cellStyle name="Normal 24 3 3" xfId="29677"/>
    <cellStyle name="Normal 24 4" xfId="17654"/>
    <cellStyle name="Normal 24 4 2" xfId="31679"/>
    <cellStyle name="Normal 24 5" xfId="19656"/>
    <cellStyle name="Normal 24 5 2" xfId="33681"/>
    <cellStyle name="Normal 24 6" xfId="25670"/>
    <cellStyle name="Normal 25" xfId="11302"/>
    <cellStyle name="Normal 26" xfId="11314"/>
    <cellStyle name="Normal 27" xfId="11316"/>
    <cellStyle name="Normal 28" xfId="11318"/>
    <cellStyle name="Normal 29" xfId="11320"/>
    <cellStyle name="Normal 3" xfId="516"/>
    <cellStyle name="Normal 3 2" xfId="517"/>
    <cellStyle name="Normal 3 2 2" xfId="518"/>
    <cellStyle name="Normal 3 2 2 2" xfId="519"/>
    <cellStyle name="Normal 3 2 3" xfId="520"/>
    <cellStyle name="Normal 3 2 4" xfId="2509"/>
    <cellStyle name="Normal 3 2_5 - Cost Support" xfId="521"/>
    <cellStyle name="Normal 3 3" xfId="522"/>
    <cellStyle name="Normal 3 3 2" xfId="523"/>
    <cellStyle name="Normal 3 3 2 2" xfId="524"/>
    <cellStyle name="Normal 3 3 3" xfId="525"/>
    <cellStyle name="Normal 3 4" xfId="526"/>
    <cellStyle name="Normal 3 4 2" xfId="527"/>
    <cellStyle name="Normal 3 5" xfId="528"/>
    <cellStyle name="Normal 3 6" xfId="529"/>
    <cellStyle name="Normal 3 7" xfId="530"/>
    <cellStyle name="Normal 3_10-15-10-Stmt AU - Period I - Working 1 0" xfId="531"/>
    <cellStyle name="Normal 3_Attach O, GG, Support -New Method 2-14-11" xfId="37695"/>
    <cellStyle name="Normal 3_ETI Workpapers FINAL" xfId="11272"/>
    <cellStyle name="Normal 30" xfId="11322"/>
    <cellStyle name="Normal 31" xfId="11323"/>
    <cellStyle name="Normal 32" xfId="11324"/>
    <cellStyle name="Normal 33" xfId="11325"/>
    <cellStyle name="Normal 34" xfId="11326"/>
    <cellStyle name="Normal 35" xfId="11643"/>
    <cellStyle name="Normal 36" xfId="13633"/>
    <cellStyle name="Normal 37" xfId="11270"/>
    <cellStyle name="Normal 38" xfId="13649"/>
    <cellStyle name="Normal 39" xfId="13651"/>
    <cellStyle name="Normal 4" xfId="532"/>
    <cellStyle name="Normal 4 2" xfId="533"/>
    <cellStyle name="Normal 4 2 2" xfId="534"/>
    <cellStyle name="Normal 4 3" xfId="535"/>
    <cellStyle name="Normal 4 4" xfId="11636"/>
    <cellStyle name="Normal 4 4 2" xfId="19667"/>
    <cellStyle name="Normal 4 4 2 2" xfId="33692"/>
    <cellStyle name="Normal 4 4 3" xfId="25681"/>
    <cellStyle name="Normal 4 5" xfId="13657"/>
    <cellStyle name="Normal 4 5 2" xfId="21672"/>
    <cellStyle name="Normal 4 5 2 2" xfId="35697"/>
    <cellStyle name="Normal 4 5 3" xfId="27686"/>
    <cellStyle name="Normal 4 6" xfId="15663"/>
    <cellStyle name="Normal 4 6 2" xfId="29688"/>
    <cellStyle name="Normal 4 7" xfId="17665"/>
    <cellStyle name="Normal 4 7 2" xfId="31690"/>
    <cellStyle name="Normal 4 8" xfId="23679"/>
    <cellStyle name="Normal 4_3 - Revenue Credits" xfId="536"/>
    <cellStyle name="Normal 40" xfId="13635"/>
    <cellStyle name="Normal 41" xfId="13631"/>
    <cellStyle name="Normal 42" xfId="13648"/>
    <cellStyle name="Normal 43" xfId="23673"/>
    <cellStyle name="Normal 5" xfId="537"/>
    <cellStyle name="Normal 5 10" xfId="13632"/>
    <cellStyle name="Normal 5 10 2" xfId="21656"/>
    <cellStyle name="Normal 5 10 2 2" xfId="35681"/>
    <cellStyle name="Normal 5 10 3" xfId="27670"/>
    <cellStyle name="Normal 5 11" xfId="13658"/>
    <cellStyle name="Normal 5 11 2" xfId="21673"/>
    <cellStyle name="Normal 5 11 2 2" xfId="35698"/>
    <cellStyle name="Normal 5 11 3" xfId="27687"/>
    <cellStyle name="Normal 5 12" xfId="15664"/>
    <cellStyle name="Normal 5 12 2" xfId="29689"/>
    <cellStyle name="Normal 5 13" xfId="17666"/>
    <cellStyle name="Normal 5 13 2" xfId="31691"/>
    <cellStyle name="Normal 5 14" xfId="23680"/>
    <cellStyle name="Normal 5 2" xfId="538"/>
    <cellStyle name="Normal 5 2 2" xfId="539"/>
    <cellStyle name="Normal 5 2 2 2" xfId="540"/>
    <cellStyle name="Normal 5 2 3" xfId="541"/>
    <cellStyle name="Normal 5 3" xfId="542"/>
    <cellStyle name="Normal 5 3 2" xfId="543"/>
    <cellStyle name="Normal 5 3 2 2" xfId="544"/>
    <cellStyle name="Normal 5 3 3" xfId="545"/>
    <cellStyle name="Normal 5 3_EAI Workpapers" xfId="546"/>
    <cellStyle name="Normal 5 4" xfId="547"/>
    <cellStyle name="Normal 5 4 2" xfId="548"/>
    <cellStyle name="Normal 5 5" xfId="549"/>
    <cellStyle name="Normal 5 6" xfId="2510"/>
    <cellStyle name="Normal 5 7" xfId="11637"/>
    <cellStyle name="Normal 5 7 2" xfId="19668"/>
    <cellStyle name="Normal 5 7 2 2" xfId="33693"/>
    <cellStyle name="Normal 5 7 3" xfId="25682"/>
    <cellStyle name="Normal 5 8" xfId="13634"/>
    <cellStyle name="Normal 5 8 2" xfId="21657"/>
    <cellStyle name="Normal 5 8 2 2" xfId="35682"/>
    <cellStyle name="Normal 5 8 3" xfId="27671"/>
    <cellStyle name="Normal 5 9" xfId="13650"/>
    <cellStyle name="Normal 5 9 2" xfId="21666"/>
    <cellStyle name="Normal 5 9 2 2" xfId="35691"/>
    <cellStyle name="Normal 5 9 3" xfId="27680"/>
    <cellStyle name="Normal 5_10-15-10-Stmt AU - Period I - Working 1 0" xfId="550"/>
    <cellStyle name="Normal 6" xfId="551"/>
    <cellStyle name="Normal 6 2" xfId="552"/>
    <cellStyle name="Normal 6 2 2" xfId="553"/>
    <cellStyle name="Normal 6 2 2 2" xfId="554"/>
    <cellStyle name="Normal 6 2 3" xfId="555"/>
    <cellStyle name="Normal 6 3" xfId="556"/>
    <cellStyle name="Normal 6 3 2" xfId="557"/>
    <cellStyle name="Normal 6 3 2 2" xfId="558"/>
    <cellStyle name="Normal 6 3 3" xfId="559"/>
    <cellStyle name="Normal 6 4" xfId="560"/>
    <cellStyle name="Normal 6 4 2" xfId="561"/>
    <cellStyle name="Normal 6 5" xfId="562"/>
    <cellStyle name="Normal 6 6" xfId="2511"/>
    <cellStyle name="Normal 6_10-15-10-Stmt AU - Period I - Working 1 0" xfId="563"/>
    <cellStyle name="Normal 7" xfId="564"/>
    <cellStyle name="Normal 7 10" xfId="2512"/>
    <cellStyle name="Normal 7 10 2" xfId="2513"/>
    <cellStyle name="Normal 7 10 2 2" xfId="13107"/>
    <cellStyle name="Normal 7 10 2 2 2" xfId="21132"/>
    <cellStyle name="Normal 7 10 2 2 2 2" xfId="35157"/>
    <cellStyle name="Normal 7 10 2 2 3" xfId="27146"/>
    <cellStyle name="Normal 7 10 2 3" xfId="15122"/>
    <cellStyle name="Normal 7 10 2 3 2" xfId="23137"/>
    <cellStyle name="Normal 7 10 2 3 2 2" xfId="37162"/>
    <cellStyle name="Normal 7 10 2 3 3" xfId="29151"/>
    <cellStyle name="Normal 7 10 2 4" xfId="17128"/>
    <cellStyle name="Normal 7 10 2 4 2" xfId="31153"/>
    <cellStyle name="Normal 7 10 2 5" xfId="19130"/>
    <cellStyle name="Normal 7 10 2 5 2" xfId="33155"/>
    <cellStyle name="Normal 7 10 2 6" xfId="25144"/>
    <cellStyle name="Normal 7 10 3" xfId="13106"/>
    <cellStyle name="Normal 7 10 3 2" xfId="21131"/>
    <cellStyle name="Normal 7 10 3 2 2" xfId="35156"/>
    <cellStyle name="Normal 7 10 3 3" xfId="27145"/>
    <cellStyle name="Normal 7 10 4" xfId="15121"/>
    <cellStyle name="Normal 7 10 4 2" xfId="23136"/>
    <cellStyle name="Normal 7 10 4 2 2" xfId="37161"/>
    <cellStyle name="Normal 7 10 4 3" xfId="29150"/>
    <cellStyle name="Normal 7 10 5" xfId="17127"/>
    <cellStyle name="Normal 7 10 5 2" xfId="31152"/>
    <cellStyle name="Normal 7 10 6" xfId="19129"/>
    <cellStyle name="Normal 7 10 6 2" xfId="33154"/>
    <cellStyle name="Normal 7 10 7" xfId="25143"/>
    <cellStyle name="Normal 7 11" xfId="2514"/>
    <cellStyle name="Normal 7 11 2" xfId="2515"/>
    <cellStyle name="Normal 7 11 2 2" xfId="13109"/>
    <cellStyle name="Normal 7 11 2 2 2" xfId="21134"/>
    <cellStyle name="Normal 7 11 2 2 2 2" xfId="35159"/>
    <cellStyle name="Normal 7 11 2 2 3" xfId="27148"/>
    <cellStyle name="Normal 7 11 2 3" xfId="15124"/>
    <cellStyle name="Normal 7 11 2 3 2" xfId="23139"/>
    <cellStyle name="Normal 7 11 2 3 2 2" xfId="37164"/>
    <cellStyle name="Normal 7 11 2 3 3" xfId="29153"/>
    <cellStyle name="Normal 7 11 2 4" xfId="17130"/>
    <cellStyle name="Normal 7 11 2 4 2" xfId="31155"/>
    <cellStyle name="Normal 7 11 2 5" xfId="19132"/>
    <cellStyle name="Normal 7 11 2 5 2" xfId="33157"/>
    <cellStyle name="Normal 7 11 2 6" xfId="25146"/>
    <cellStyle name="Normal 7 11 3" xfId="13108"/>
    <cellStyle name="Normal 7 11 3 2" xfId="21133"/>
    <cellStyle name="Normal 7 11 3 2 2" xfId="35158"/>
    <cellStyle name="Normal 7 11 3 3" xfId="27147"/>
    <cellStyle name="Normal 7 11 4" xfId="15123"/>
    <cellStyle name="Normal 7 11 4 2" xfId="23138"/>
    <cellStyle name="Normal 7 11 4 2 2" xfId="37163"/>
    <cellStyle name="Normal 7 11 4 3" xfId="29152"/>
    <cellStyle name="Normal 7 11 5" xfId="17129"/>
    <cellStyle name="Normal 7 11 5 2" xfId="31154"/>
    <cellStyle name="Normal 7 11 6" xfId="19131"/>
    <cellStyle name="Normal 7 11 6 2" xfId="33156"/>
    <cellStyle name="Normal 7 11 7" xfId="25145"/>
    <cellStyle name="Normal 7 12" xfId="2516"/>
    <cellStyle name="Normal 7 12 2" xfId="13110"/>
    <cellStyle name="Normal 7 12 2 2" xfId="21135"/>
    <cellStyle name="Normal 7 12 2 2 2" xfId="35160"/>
    <cellStyle name="Normal 7 12 2 3" xfId="27149"/>
    <cellStyle name="Normal 7 12 3" xfId="15125"/>
    <cellStyle name="Normal 7 12 3 2" xfId="23140"/>
    <cellStyle name="Normal 7 12 3 2 2" xfId="37165"/>
    <cellStyle name="Normal 7 12 3 3" xfId="29154"/>
    <cellStyle name="Normal 7 12 4" xfId="17131"/>
    <cellStyle name="Normal 7 12 4 2" xfId="31156"/>
    <cellStyle name="Normal 7 12 5" xfId="19133"/>
    <cellStyle name="Normal 7 12 5 2" xfId="33158"/>
    <cellStyle name="Normal 7 12 6" xfId="25147"/>
    <cellStyle name="Normal 7 13 2" xfId="37697"/>
    <cellStyle name="Normal 7 2" xfId="565"/>
    <cellStyle name="Normal 7 2 2" xfId="566"/>
    <cellStyle name="Normal 7 2 2 2" xfId="567"/>
    <cellStyle name="Normal 7 2 3" xfId="568"/>
    <cellStyle name="Normal 7 2 4" xfId="569"/>
    <cellStyle name="Normal 7 2 4 2" xfId="11275"/>
    <cellStyle name="Normal 7 3" xfId="570"/>
    <cellStyle name="Normal 7 3 2" xfId="571"/>
    <cellStyle name="Normal 7 3 2 2" xfId="572"/>
    <cellStyle name="Normal 7 3 3" xfId="573"/>
    <cellStyle name="Normal 7 4" xfId="574"/>
    <cellStyle name="Normal 7 4 2" xfId="575"/>
    <cellStyle name="Normal 7 5" xfId="576"/>
    <cellStyle name="Normal 7 6" xfId="2517"/>
    <cellStyle name="Normal 7 6 10" xfId="17132"/>
    <cellStyle name="Normal 7 6 10 2" xfId="31157"/>
    <cellStyle name="Normal 7 6 11" xfId="19134"/>
    <cellStyle name="Normal 7 6 11 2" xfId="33159"/>
    <cellStyle name="Normal 7 6 12" xfId="25148"/>
    <cellStyle name="Normal 7 6 2" xfId="2518"/>
    <cellStyle name="Normal 7 6 2 10" xfId="19135"/>
    <cellStyle name="Normal 7 6 2 10 2" xfId="33160"/>
    <cellStyle name="Normal 7 6 2 11" xfId="25149"/>
    <cellStyle name="Normal 7 6 2 2" xfId="2519"/>
    <cellStyle name="Normal 7 6 2 2 10" xfId="25150"/>
    <cellStyle name="Normal 7 6 2 2 2" xfId="2520"/>
    <cellStyle name="Normal 7 6 2 2 2 2" xfId="2521"/>
    <cellStyle name="Normal 7 6 2 2 2 2 2" xfId="2522"/>
    <cellStyle name="Normal 7 6 2 2 2 2 2 2" xfId="13116"/>
    <cellStyle name="Normal 7 6 2 2 2 2 2 2 2" xfId="21141"/>
    <cellStyle name="Normal 7 6 2 2 2 2 2 2 2 2" xfId="35166"/>
    <cellStyle name="Normal 7 6 2 2 2 2 2 2 3" xfId="27155"/>
    <cellStyle name="Normal 7 6 2 2 2 2 2 3" xfId="15131"/>
    <cellStyle name="Normal 7 6 2 2 2 2 2 3 2" xfId="23146"/>
    <cellStyle name="Normal 7 6 2 2 2 2 2 3 2 2" xfId="37171"/>
    <cellStyle name="Normal 7 6 2 2 2 2 2 3 3" xfId="29160"/>
    <cellStyle name="Normal 7 6 2 2 2 2 2 4" xfId="17137"/>
    <cellStyle name="Normal 7 6 2 2 2 2 2 4 2" xfId="31162"/>
    <cellStyle name="Normal 7 6 2 2 2 2 2 5" xfId="19139"/>
    <cellStyle name="Normal 7 6 2 2 2 2 2 5 2" xfId="33164"/>
    <cellStyle name="Normal 7 6 2 2 2 2 2 6" xfId="25153"/>
    <cellStyle name="Normal 7 6 2 2 2 2 3" xfId="13115"/>
    <cellStyle name="Normal 7 6 2 2 2 2 3 2" xfId="21140"/>
    <cellStyle name="Normal 7 6 2 2 2 2 3 2 2" xfId="35165"/>
    <cellStyle name="Normal 7 6 2 2 2 2 3 3" xfId="27154"/>
    <cellStyle name="Normal 7 6 2 2 2 2 4" xfId="15130"/>
    <cellStyle name="Normal 7 6 2 2 2 2 4 2" xfId="23145"/>
    <cellStyle name="Normal 7 6 2 2 2 2 4 2 2" xfId="37170"/>
    <cellStyle name="Normal 7 6 2 2 2 2 4 3" xfId="29159"/>
    <cellStyle name="Normal 7 6 2 2 2 2 5" xfId="17136"/>
    <cellStyle name="Normal 7 6 2 2 2 2 5 2" xfId="31161"/>
    <cellStyle name="Normal 7 6 2 2 2 2 6" xfId="19138"/>
    <cellStyle name="Normal 7 6 2 2 2 2 6 2" xfId="33163"/>
    <cellStyle name="Normal 7 6 2 2 2 2 7" xfId="25152"/>
    <cellStyle name="Normal 7 6 2 2 2 3" xfId="2523"/>
    <cellStyle name="Normal 7 6 2 2 2 3 2" xfId="13117"/>
    <cellStyle name="Normal 7 6 2 2 2 3 2 2" xfId="21142"/>
    <cellStyle name="Normal 7 6 2 2 2 3 2 2 2" xfId="35167"/>
    <cellStyle name="Normal 7 6 2 2 2 3 2 3" xfId="27156"/>
    <cellStyle name="Normal 7 6 2 2 2 3 3" xfId="15132"/>
    <cellStyle name="Normal 7 6 2 2 2 3 3 2" xfId="23147"/>
    <cellStyle name="Normal 7 6 2 2 2 3 3 2 2" xfId="37172"/>
    <cellStyle name="Normal 7 6 2 2 2 3 3 3" xfId="29161"/>
    <cellStyle name="Normal 7 6 2 2 2 3 4" xfId="17138"/>
    <cellStyle name="Normal 7 6 2 2 2 3 4 2" xfId="31163"/>
    <cellStyle name="Normal 7 6 2 2 2 3 5" xfId="19140"/>
    <cellStyle name="Normal 7 6 2 2 2 3 5 2" xfId="33165"/>
    <cellStyle name="Normal 7 6 2 2 2 3 6" xfId="25154"/>
    <cellStyle name="Normal 7 6 2 2 2 4" xfId="13114"/>
    <cellStyle name="Normal 7 6 2 2 2 4 2" xfId="21139"/>
    <cellStyle name="Normal 7 6 2 2 2 4 2 2" xfId="35164"/>
    <cellStyle name="Normal 7 6 2 2 2 4 3" xfId="27153"/>
    <cellStyle name="Normal 7 6 2 2 2 5" xfId="15129"/>
    <cellStyle name="Normal 7 6 2 2 2 5 2" xfId="23144"/>
    <cellStyle name="Normal 7 6 2 2 2 5 2 2" xfId="37169"/>
    <cellStyle name="Normal 7 6 2 2 2 5 3" xfId="29158"/>
    <cellStyle name="Normal 7 6 2 2 2 6" xfId="17135"/>
    <cellStyle name="Normal 7 6 2 2 2 6 2" xfId="31160"/>
    <cellStyle name="Normal 7 6 2 2 2 7" xfId="19137"/>
    <cellStyle name="Normal 7 6 2 2 2 7 2" xfId="33162"/>
    <cellStyle name="Normal 7 6 2 2 2 8" xfId="25151"/>
    <cellStyle name="Normal 7 6 2 2 3" xfId="2524"/>
    <cellStyle name="Normal 7 6 2 2 3 2" xfId="2525"/>
    <cellStyle name="Normal 7 6 2 2 3 2 2" xfId="13119"/>
    <cellStyle name="Normal 7 6 2 2 3 2 2 2" xfId="21144"/>
    <cellStyle name="Normal 7 6 2 2 3 2 2 2 2" xfId="35169"/>
    <cellStyle name="Normal 7 6 2 2 3 2 2 3" xfId="27158"/>
    <cellStyle name="Normal 7 6 2 2 3 2 3" xfId="15134"/>
    <cellStyle name="Normal 7 6 2 2 3 2 3 2" xfId="23149"/>
    <cellStyle name="Normal 7 6 2 2 3 2 3 2 2" xfId="37174"/>
    <cellStyle name="Normal 7 6 2 2 3 2 3 3" xfId="29163"/>
    <cellStyle name="Normal 7 6 2 2 3 2 4" xfId="17140"/>
    <cellStyle name="Normal 7 6 2 2 3 2 4 2" xfId="31165"/>
    <cellStyle name="Normal 7 6 2 2 3 2 5" xfId="19142"/>
    <cellStyle name="Normal 7 6 2 2 3 2 5 2" xfId="33167"/>
    <cellStyle name="Normal 7 6 2 2 3 2 6" xfId="25156"/>
    <cellStyle name="Normal 7 6 2 2 3 3" xfId="13118"/>
    <cellStyle name="Normal 7 6 2 2 3 3 2" xfId="21143"/>
    <cellStyle name="Normal 7 6 2 2 3 3 2 2" xfId="35168"/>
    <cellStyle name="Normal 7 6 2 2 3 3 3" xfId="27157"/>
    <cellStyle name="Normal 7 6 2 2 3 4" xfId="15133"/>
    <cellStyle name="Normal 7 6 2 2 3 4 2" xfId="23148"/>
    <cellStyle name="Normal 7 6 2 2 3 4 2 2" xfId="37173"/>
    <cellStyle name="Normal 7 6 2 2 3 4 3" xfId="29162"/>
    <cellStyle name="Normal 7 6 2 2 3 5" xfId="17139"/>
    <cellStyle name="Normal 7 6 2 2 3 5 2" xfId="31164"/>
    <cellStyle name="Normal 7 6 2 2 3 6" xfId="19141"/>
    <cellStyle name="Normal 7 6 2 2 3 6 2" xfId="33166"/>
    <cellStyle name="Normal 7 6 2 2 3 7" xfId="25155"/>
    <cellStyle name="Normal 7 6 2 2 4" xfId="2526"/>
    <cellStyle name="Normal 7 6 2 2 4 2" xfId="2527"/>
    <cellStyle name="Normal 7 6 2 2 4 2 2" xfId="13121"/>
    <cellStyle name="Normal 7 6 2 2 4 2 2 2" xfId="21146"/>
    <cellStyle name="Normal 7 6 2 2 4 2 2 2 2" xfId="35171"/>
    <cellStyle name="Normal 7 6 2 2 4 2 2 3" xfId="27160"/>
    <cellStyle name="Normal 7 6 2 2 4 2 3" xfId="15136"/>
    <cellStyle name="Normal 7 6 2 2 4 2 3 2" xfId="23151"/>
    <cellStyle name="Normal 7 6 2 2 4 2 3 2 2" xfId="37176"/>
    <cellStyle name="Normal 7 6 2 2 4 2 3 3" xfId="29165"/>
    <cellStyle name="Normal 7 6 2 2 4 2 4" xfId="17142"/>
    <cellStyle name="Normal 7 6 2 2 4 2 4 2" xfId="31167"/>
    <cellStyle name="Normal 7 6 2 2 4 2 5" xfId="19144"/>
    <cellStyle name="Normal 7 6 2 2 4 2 5 2" xfId="33169"/>
    <cellStyle name="Normal 7 6 2 2 4 2 6" xfId="25158"/>
    <cellStyle name="Normal 7 6 2 2 4 3" xfId="13120"/>
    <cellStyle name="Normal 7 6 2 2 4 3 2" xfId="21145"/>
    <cellStyle name="Normal 7 6 2 2 4 3 2 2" xfId="35170"/>
    <cellStyle name="Normal 7 6 2 2 4 3 3" xfId="27159"/>
    <cellStyle name="Normal 7 6 2 2 4 4" xfId="15135"/>
    <cellStyle name="Normal 7 6 2 2 4 4 2" xfId="23150"/>
    <cellStyle name="Normal 7 6 2 2 4 4 2 2" xfId="37175"/>
    <cellStyle name="Normal 7 6 2 2 4 4 3" xfId="29164"/>
    <cellStyle name="Normal 7 6 2 2 4 5" xfId="17141"/>
    <cellStyle name="Normal 7 6 2 2 4 5 2" xfId="31166"/>
    <cellStyle name="Normal 7 6 2 2 4 6" xfId="19143"/>
    <cellStyle name="Normal 7 6 2 2 4 6 2" xfId="33168"/>
    <cellStyle name="Normal 7 6 2 2 4 7" xfId="25157"/>
    <cellStyle name="Normal 7 6 2 2 5" xfId="2528"/>
    <cellStyle name="Normal 7 6 2 2 5 2" xfId="13122"/>
    <cellStyle name="Normal 7 6 2 2 5 2 2" xfId="21147"/>
    <cellStyle name="Normal 7 6 2 2 5 2 2 2" xfId="35172"/>
    <cellStyle name="Normal 7 6 2 2 5 2 3" xfId="27161"/>
    <cellStyle name="Normal 7 6 2 2 5 3" xfId="15137"/>
    <cellStyle name="Normal 7 6 2 2 5 3 2" xfId="23152"/>
    <cellStyle name="Normal 7 6 2 2 5 3 2 2" xfId="37177"/>
    <cellStyle name="Normal 7 6 2 2 5 3 3" xfId="29166"/>
    <cellStyle name="Normal 7 6 2 2 5 4" xfId="17143"/>
    <cellStyle name="Normal 7 6 2 2 5 4 2" xfId="31168"/>
    <cellStyle name="Normal 7 6 2 2 5 5" xfId="19145"/>
    <cellStyle name="Normal 7 6 2 2 5 5 2" xfId="33170"/>
    <cellStyle name="Normal 7 6 2 2 5 6" xfId="25159"/>
    <cellStyle name="Normal 7 6 2 2 6" xfId="13113"/>
    <cellStyle name="Normal 7 6 2 2 6 2" xfId="21138"/>
    <cellStyle name="Normal 7 6 2 2 6 2 2" xfId="35163"/>
    <cellStyle name="Normal 7 6 2 2 6 3" xfId="27152"/>
    <cellStyle name="Normal 7 6 2 2 7" xfId="15128"/>
    <cellStyle name="Normal 7 6 2 2 7 2" xfId="23143"/>
    <cellStyle name="Normal 7 6 2 2 7 2 2" xfId="37168"/>
    <cellStyle name="Normal 7 6 2 2 7 3" xfId="29157"/>
    <cellStyle name="Normal 7 6 2 2 8" xfId="17134"/>
    <cellStyle name="Normal 7 6 2 2 8 2" xfId="31159"/>
    <cellStyle name="Normal 7 6 2 2 9" xfId="19136"/>
    <cellStyle name="Normal 7 6 2 2 9 2" xfId="33161"/>
    <cellStyle name="Normal 7 6 2 3" xfId="2529"/>
    <cellStyle name="Normal 7 6 2 3 2" xfId="2530"/>
    <cellStyle name="Normal 7 6 2 3 2 2" xfId="2531"/>
    <cellStyle name="Normal 7 6 2 3 2 2 2" xfId="13125"/>
    <cellStyle name="Normal 7 6 2 3 2 2 2 2" xfId="21150"/>
    <cellStyle name="Normal 7 6 2 3 2 2 2 2 2" xfId="35175"/>
    <cellStyle name="Normal 7 6 2 3 2 2 2 3" xfId="27164"/>
    <cellStyle name="Normal 7 6 2 3 2 2 3" xfId="15140"/>
    <cellStyle name="Normal 7 6 2 3 2 2 3 2" xfId="23155"/>
    <cellStyle name="Normal 7 6 2 3 2 2 3 2 2" xfId="37180"/>
    <cellStyle name="Normal 7 6 2 3 2 2 3 3" xfId="29169"/>
    <cellStyle name="Normal 7 6 2 3 2 2 4" xfId="17146"/>
    <cellStyle name="Normal 7 6 2 3 2 2 4 2" xfId="31171"/>
    <cellStyle name="Normal 7 6 2 3 2 2 5" xfId="19148"/>
    <cellStyle name="Normal 7 6 2 3 2 2 5 2" xfId="33173"/>
    <cellStyle name="Normal 7 6 2 3 2 2 6" xfId="25162"/>
    <cellStyle name="Normal 7 6 2 3 2 3" xfId="13124"/>
    <cellStyle name="Normal 7 6 2 3 2 3 2" xfId="21149"/>
    <cellStyle name="Normal 7 6 2 3 2 3 2 2" xfId="35174"/>
    <cellStyle name="Normal 7 6 2 3 2 3 3" xfId="27163"/>
    <cellStyle name="Normal 7 6 2 3 2 4" xfId="15139"/>
    <cellStyle name="Normal 7 6 2 3 2 4 2" xfId="23154"/>
    <cellStyle name="Normal 7 6 2 3 2 4 2 2" xfId="37179"/>
    <cellStyle name="Normal 7 6 2 3 2 4 3" xfId="29168"/>
    <cellStyle name="Normal 7 6 2 3 2 5" xfId="17145"/>
    <cellStyle name="Normal 7 6 2 3 2 5 2" xfId="31170"/>
    <cellStyle name="Normal 7 6 2 3 2 6" xfId="19147"/>
    <cellStyle name="Normal 7 6 2 3 2 6 2" xfId="33172"/>
    <cellStyle name="Normal 7 6 2 3 2 7" xfId="25161"/>
    <cellStyle name="Normal 7 6 2 3 3" xfId="2532"/>
    <cellStyle name="Normal 7 6 2 3 3 2" xfId="13126"/>
    <cellStyle name="Normal 7 6 2 3 3 2 2" xfId="21151"/>
    <cellStyle name="Normal 7 6 2 3 3 2 2 2" xfId="35176"/>
    <cellStyle name="Normal 7 6 2 3 3 2 3" xfId="27165"/>
    <cellStyle name="Normal 7 6 2 3 3 3" xfId="15141"/>
    <cellStyle name="Normal 7 6 2 3 3 3 2" xfId="23156"/>
    <cellStyle name="Normal 7 6 2 3 3 3 2 2" xfId="37181"/>
    <cellStyle name="Normal 7 6 2 3 3 3 3" xfId="29170"/>
    <cellStyle name="Normal 7 6 2 3 3 4" xfId="17147"/>
    <cellStyle name="Normal 7 6 2 3 3 4 2" xfId="31172"/>
    <cellStyle name="Normal 7 6 2 3 3 5" xfId="19149"/>
    <cellStyle name="Normal 7 6 2 3 3 5 2" xfId="33174"/>
    <cellStyle name="Normal 7 6 2 3 3 6" xfId="25163"/>
    <cellStyle name="Normal 7 6 2 3 4" xfId="13123"/>
    <cellStyle name="Normal 7 6 2 3 4 2" xfId="21148"/>
    <cellStyle name="Normal 7 6 2 3 4 2 2" xfId="35173"/>
    <cellStyle name="Normal 7 6 2 3 4 3" xfId="27162"/>
    <cellStyle name="Normal 7 6 2 3 5" xfId="15138"/>
    <cellStyle name="Normal 7 6 2 3 5 2" xfId="23153"/>
    <cellStyle name="Normal 7 6 2 3 5 2 2" xfId="37178"/>
    <cellStyle name="Normal 7 6 2 3 5 3" xfId="29167"/>
    <cellStyle name="Normal 7 6 2 3 6" xfId="17144"/>
    <cellStyle name="Normal 7 6 2 3 6 2" xfId="31169"/>
    <cellStyle name="Normal 7 6 2 3 7" xfId="19146"/>
    <cellStyle name="Normal 7 6 2 3 7 2" xfId="33171"/>
    <cellStyle name="Normal 7 6 2 3 8" xfId="25160"/>
    <cellStyle name="Normal 7 6 2 4" xfId="2533"/>
    <cellStyle name="Normal 7 6 2 4 2" xfId="2534"/>
    <cellStyle name="Normal 7 6 2 4 2 2" xfId="13128"/>
    <cellStyle name="Normal 7 6 2 4 2 2 2" xfId="21153"/>
    <cellStyle name="Normal 7 6 2 4 2 2 2 2" xfId="35178"/>
    <cellStyle name="Normal 7 6 2 4 2 2 3" xfId="27167"/>
    <cellStyle name="Normal 7 6 2 4 2 3" xfId="15143"/>
    <cellStyle name="Normal 7 6 2 4 2 3 2" xfId="23158"/>
    <cellStyle name="Normal 7 6 2 4 2 3 2 2" xfId="37183"/>
    <cellStyle name="Normal 7 6 2 4 2 3 3" xfId="29172"/>
    <cellStyle name="Normal 7 6 2 4 2 4" xfId="17149"/>
    <cellStyle name="Normal 7 6 2 4 2 4 2" xfId="31174"/>
    <cellStyle name="Normal 7 6 2 4 2 5" xfId="19151"/>
    <cellStyle name="Normal 7 6 2 4 2 5 2" xfId="33176"/>
    <cellStyle name="Normal 7 6 2 4 2 6" xfId="25165"/>
    <cellStyle name="Normal 7 6 2 4 3" xfId="13127"/>
    <cellStyle name="Normal 7 6 2 4 3 2" xfId="21152"/>
    <cellStyle name="Normal 7 6 2 4 3 2 2" xfId="35177"/>
    <cellStyle name="Normal 7 6 2 4 3 3" xfId="27166"/>
    <cellStyle name="Normal 7 6 2 4 4" xfId="15142"/>
    <cellStyle name="Normal 7 6 2 4 4 2" xfId="23157"/>
    <cellStyle name="Normal 7 6 2 4 4 2 2" xfId="37182"/>
    <cellStyle name="Normal 7 6 2 4 4 3" xfId="29171"/>
    <cellStyle name="Normal 7 6 2 4 5" xfId="17148"/>
    <cellStyle name="Normal 7 6 2 4 5 2" xfId="31173"/>
    <cellStyle name="Normal 7 6 2 4 6" xfId="19150"/>
    <cellStyle name="Normal 7 6 2 4 6 2" xfId="33175"/>
    <cellStyle name="Normal 7 6 2 4 7" xfId="25164"/>
    <cellStyle name="Normal 7 6 2 5" xfId="2535"/>
    <cellStyle name="Normal 7 6 2 5 2" xfId="2536"/>
    <cellStyle name="Normal 7 6 2 5 2 2" xfId="13130"/>
    <cellStyle name="Normal 7 6 2 5 2 2 2" xfId="21155"/>
    <cellStyle name="Normal 7 6 2 5 2 2 2 2" xfId="35180"/>
    <cellStyle name="Normal 7 6 2 5 2 2 3" xfId="27169"/>
    <cellStyle name="Normal 7 6 2 5 2 3" xfId="15145"/>
    <cellStyle name="Normal 7 6 2 5 2 3 2" xfId="23160"/>
    <cellStyle name="Normal 7 6 2 5 2 3 2 2" xfId="37185"/>
    <cellStyle name="Normal 7 6 2 5 2 3 3" xfId="29174"/>
    <cellStyle name="Normal 7 6 2 5 2 4" xfId="17151"/>
    <cellStyle name="Normal 7 6 2 5 2 4 2" xfId="31176"/>
    <cellStyle name="Normal 7 6 2 5 2 5" xfId="19153"/>
    <cellStyle name="Normal 7 6 2 5 2 5 2" xfId="33178"/>
    <cellStyle name="Normal 7 6 2 5 2 6" xfId="25167"/>
    <cellStyle name="Normal 7 6 2 5 3" xfId="13129"/>
    <cellStyle name="Normal 7 6 2 5 3 2" xfId="21154"/>
    <cellStyle name="Normal 7 6 2 5 3 2 2" xfId="35179"/>
    <cellStyle name="Normal 7 6 2 5 3 3" xfId="27168"/>
    <cellStyle name="Normal 7 6 2 5 4" xfId="15144"/>
    <cellStyle name="Normal 7 6 2 5 4 2" xfId="23159"/>
    <cellStyle name="Normal 7 6 2 5 4 2 2" xfId="37184"/>
    <cellStyle name="Normal 7 6 2 5 4 3" xfId="29173"/>
    <cellStyle name="Normal 7 6 2 5 5" xfId="17150"/>
    <cellStyle name="Normal 7 6 2 5 5 2" xfId="31175"/>
    <cellStyle name="Normal 7 6 2 5 6" xfId="19152"/>
    <cellStyle name="Normal 7 6 2 5 6 2" xfId="33177"/>
    <cellStyle name="Normal 7 6 2 5 7" xfId="25166"/>
    <cellStyle name="Normal 7 6 2 6" xfId="2537"/>
    <cellStyle name="Normal 7 6 2 6 2" xfId="13131"/>
    <cellStyle name="Normal 7 6 2 6 2 2" xfId="21156"/>
    <cellStyle name="Normal 7 6 2 6 2 2 2" xfId="35181"/>
    <cellStyle name="Normal 7 6 2 6 2 3" xfId="27170"/>
    <cellStyle name="Normal 7 6 2 6 3" xfId="15146"/>
    <cellStyle name="Normal 7 6 2 6 3 2" xfId="23161"/>
    <cellStyle name="Normal 7 6 2 6 3 2 2" xfId="37186"/>
    <cellStyle name="Normal 7 6 2 6 3 3" xfId="29175"/>
    <cellStyle name="Normal 7 6 2 6 4" xfId="17152"/>
    <cellStyle name="Normal 7 6 2 6 4 2" xfId="31177"/>
    <cellStyle name="Normal 7 6 2 6 5" xfId="19154"/>
    <cellStyle name="Normal 7 6 2 6 5 2" xfId="33179"/>
    <cellStyle name="Normal 7 6 2 6 6" xfId="25168"/>
    <cellStyle name="Normal 7 6 2 7" xfId="13112"/>
    <cellStyle name="Normal 7 6 2 7 2" xfId="21137"/>
    <cellStyle name="Normal 7 6 2 7 2 2" xfId="35162"/>
    <cellStyle name="Normal 7 6 2 7 3" xfId="27151"/>
    <cellStyle name="Normal 7 6 2 8" xfId="15127"/>
    <cellStyle name="Normal 7 6 2 8 2" xfId="23142"/>
    <cellStyle name="Normal 7 6 2 8 2 2" xfId="37167"/>
    <cellStyle name="Normal 7 6 2 8 3" xfId="29156"/>
    <cellStyle name="Normal 7 6 2 9" xfId="17133"/>
    <cellStyle name="Normal 7 6 2 9 2" xfId="31158"/>
    <cellStyle name="Normal 7 6 3" xfId="2538"/>
    <cellStyle name="Normal 7 6 3 10" xfId="25169"/>
    <cellStyle name="Normal 7 6 3 2" xfId="2539"/>
    <cellStyle name="Normal 7 6 3 2 2" xfId="2540"/>
    <cellStyle name="Normal 7 6 3 2 2 2" xfId="2541"/>
    <cellStyle name="Normal 7 6 3 2 2 2 2" xfId="13135"/>
    <cellStyle name="Normal 7 6 3 2 2 2 2 2" xfId="21160"/>
    <cellStyle name="Normal 7 6 3 2 2 2 2 2 2" xfId="35185"/>
    <cellStyle name="Normal 7 6 3 2 2 2 2 3" xfId="27174"/>
    <cellStyle name="Normal 7 6 3 2 2 2 3" xfId="15150"/>
    <cellStyle name="Normal 7 6 3 2 2 2 3 2" xfId="23165"/>
    <cellStyle name="Normal 7 6 3 2 2 2 3 2 2" xfId="37190"/>
    <cellStyle name="Normal 7 6 3 2 2 2 3 3" xfId="29179"/>
    <cellStyle name="Normal 7 6 3 2 2 2 4" xfId="17156"/>
    <cellStyle name="Normal 7 6 3 2 2 2 4 2" xfId="31181"/>
    <cellStyle name="Normal 7 6 3 2 2 2 5" xfId="19158"/>
    <cellStyle name="Normal 7 6 3 2 2 2 5 2" xfId="33183"/>
    <cellStyle name="Normal 7 6 3 2 2 2 6" xfId="25172"/>
    <cellStyle name="Normal 7 6 3 2 2 3" xfId="13134"/>
    <cellStyle name="Normal 7 6 3 2 2 3 2" xfId="21159"/>
    <cellStyle name="Normal 7 6 3 2 2 3 2 2" xfId="35184"/>
    <cellStyle name="Normal 7 6 3 2 2 3 3" xfId="27173"/>
    <cellStyle name="Normal 7 6 3 2 2 4" xfId="15149"/>
    <cellStyle name="Normal 7 6 3 2 2 4 2" xfId="23164"/>
    <cellStyle name="Normal 7 6 3 2 2 4 2 2" xfId="37189"/>
    <cellStyle name="Normal 7 6 3 2 2 4 3" xfId="29178"/>
    <cellStyle name="Normal 7 6 3 2 2 5" xfId="17155"/>
    <cellStyle name="Normal 7 6 3 2 2 5 2" xfId="31180"/>
    <cellStyle name="Normal 7 6 3 2 2 6" xfId="19157"/>
    <cellStyle name="Normal 7 6 3 2 2 6 2" xfId="33182"/>
    <cellStyle name="Normal 7 6 3 2 2 7" xfId="25171"/>
    <cellStyle name="Normal 7 6 3 2 3" xfId="2542"/>
    <cellStyle name="Normal 7 6 3 2 3 2" xfId="13136"/>
    <cellStyle name="Normal 7 6 3 2 3 2 2" xfId="21161"/>
    <cellStyle name="Normal 7 6 3 2 3 2 2 2" xfId="35186"/>
    <cellStyle name="Normal 7 6 3 2 3 2 3" xfId="27175"/>
    <cellStyle name="Normal 7 6 3 2 3 3" xfId="15151"/>
    <cellStyle name="Normal 7 6 3 2 3 3 2" xfId="23166"/>
    <cellStyle name="Normal 7 6 3 2 3 3 2 2" xfId="37191"/>
    <cellStyle name="Normal 7 6 3 2 3 3 3" xfId="29180"/>
    <cellStyle name="Normal 7 6 3 2 3 4" xfId="17157"/>
    <cellStyle name="Normal 7 6 3 2 3 4 2" xfId="31182"/>
    <cellStyle name="Normal 7 6 3 2 3 5" xfId="19159"/>
    <cellStyle name="Normal 7 6 3 2 3 5 2" xfId="33184"/>
    <cellStyle name="Normal 7 6 3 2 3 6" xfId="25173"/>
    <cellStyle name="Normal 7 6 3 2 4" xfId="13133"/>
    <cellStyle name="Normal 7 6 3 2 4 2" xfId="21158"/>
    <cellStyle name="Normal 7 6 3 2 4 2 2" xfId="35183"/>
    <cellStyle name="Normal 7 6 3 2 4 3" xfId="27172"/>
    <cellStyle name="Normal 7 6 3 2 5" xfId="15148"/>
    <cellStyle name="Normal 7 6 3 2 5 2" xfId="23163"/>
    <cellStyle name="Normal 7 6 3 2 5 2 2" xfId="37188"/>
    <cellStyle name="Normal 7 6 3 2 5 3" xfId="29177"/>
    <cellStyle name="Normal 7 6 3 2 6" xfId="17154"/>
    <cellStyle name="Normal 7 6 3 2 6 2" xfId="31179"/>
    <cellStyle name="Normal 7 6 3 2 7" xfId="19156"/>
    <cellStyle name="Normal 7 6 3 2 7 2" xfId="33181"/>
    <cellStyle name="Normal 7 6 3 2 8" xfId="25170"/>
    <cellStyle name="Normal 7 6 3 3" xfId="2543"/>
    <cellStyle name="Normal 7 6 3 3 2" xfId="2544"/>
    <cellStyle name="Normal 7 6 3 3 2 2" xfId="13138"/>
    <cellStyle name="Normal 7 6 3 3 2 2 2" xfId="21163"/>
    <cellStyle name="Normal 7 6 3 3 2 2 2 2" xfId="35188"/>
    <cellStyle name="Normal 7 6 3 3 2 2 3" xfId="27177"/>
    <cellStyle name="Normal 7 6 3 3 2 3" xfId="15153"/>
    <cellStyle name="Normal 7 6 3 3 2 3 2" xfId="23168"/>
    <cellStyle name="Normal 7 6 3 3 2 3 2 2" xfId="37193"/>
    <cellStyle name="Normal 7 6 3 3 2 3 3" xfId="29182"/>
    <cellStyle name="Normal 7 6 3 3 2 4" xfId="17159"/>
    <cellStyle name="Normal 7 6 3 3 2 4 2" xfId="31184"/>
    <cellStyle name="Normal 7 6 3 3 2 5" xfId="19161"/>
    <cellStyle name="Normal 7 6 3 3 2 5 2" xfId="33186"/>
    <cellStyle name="Normal 7 6 3 3 2 6" xfId="25175"/>
    <cellStyle name="Normal 7 6 3 3 3" xfId="13137"/>
    <cellStyle name="Normal 7 6 3 3 3 2" xfId="21162"/>
    <cellStyle name="Normal 7 6 3 3 3 2 2" xfId="35187"/>
    <cellStyle name="Normal 7 6 3 3 3 3" xfId="27176"/>
    <cellStyle name="Normal 7 6 3 3 4" xfId="15152"/>
    <cellStyle name="Normal 7 6 3 3 4 2" xfId="23167"/>
    <cellStyle name="Normal 7 6 3 3 4 2 2" xfId="37192"/>
    <cellStyle name="Normal 7 6 3 3 4 3" xfId="29181"/>
    <cellStyle name="Normal 7 6 3 3 5" xfId="17158"/>
    <cellStyle name="Normal 7 6 3 3 5 2" xfId="31183"/>
    <cellStyle name="Normal 7 6 3 3 6" xfId="19160"/>
    <cellStyle name="Normal 7 6 3 3 6 2" xfId="33185"/>
    <cellStyle name="Normal 7 6 3 3 7" xfId="25174"/>
    <cellStyle name="Normal 7 6 3 4" xfId="2545"/>
    <cellStyle name="Normal 7 6 3 4 2" xfId="2546"/>
    <cellStyle name="Normal 7 6 3 4 2 2" xfId="13140"/>
    <cellStyle name="Normal 7 6 3 4 2 2 2" xfId="21165"/>
    <cellStyle name="Normal 7 6 3 4 2 2 2 2" xfId="35190"/>
    <cellStyle name="Normal 7 6 3 4 2 2 3" xfId="27179"/>
    <cellStyle name="Normal 7 6 3 4 2 3" xfId="15155"/>
    <cellStyle name="Normal 7 6 3 4 2 3 2" xfId="23170"/>
    <cellStyle name="Normal 7 6 3 4 2 3 2 2" xfId="37195"/>
    <cellStyle name="Normal 7 6 3 4 2 3 3" xfId="29184"/>
    <cellStyle name="Normal 7 6 3 4 2 4" xfId="17161"/>
    <cellStyle name="Normal 7 6 3 4 2 4 2" xfId="31186"/>
    <cellStyle name="Normal 7 6 3 4 2 5" xfId="19163"/>
    <cellStyle name="Normal 7 6 3 4 2 5 2" xfId="33188"/>
    <cellStyle name="Normal 7 6 3 4 2 6" xfId="25177"/>
    <cellStyle name="Normal 7 6 3 4 3" xfId="13139"/>
    <cellStyle name="Normal 7 6 3 4 3 2" xfId="21164"/>
    <cellStyle name="Normal 7 6 3 4 3 2 2" xfId="35189"/>
    <cellStyle name="Normal 7 6 3 4 3 3" xfId="27178"/>
    <cellStyle name="Normal 7 6 3 4 4" xfId="15154"/>
    <cellStyle name="Normal 7 6 3 4 4 2" xfId="23169"/>
    <cellStyle name="Normal 7 6 3 4 4 2 2" xfId="37194"/>
    <cellStyle name="Normal 7 6 3 4 4 3" xfId="29183"/>
    <cellStyle name="Normal 7 6 3 4 5" xfId="17160"/>
    <cellStyle name="Normal 7 6 3 4 5 2" xfId="31185"/>
    <cellStyle name="Normal 7 6 3 4 6" xfId="19162"/>
    <cellStyle name="Normal 7 6 3 4 6 2" xfId="33187"/>
    <cellStyle name="Normal 7 6 3 4 7" xfId="25176"/>
    <cellStyle name="Normal 7 6 3 5" xfId="2547"/>
    <cellStyle name="Normal 7 6 3 5 2" xfId="13141"/>
    <cellStyle name="Normal 7 6 3 5 2 2" xfId="21166"/>
    <cellStyle name="Normal 7 6 3 5 2 2 2" xfId="35191"/>
    <cellStyle name="Normal 7 6 3 5 2 3" xfId="27180"/>
    <cellStyle name="Normal 7 6 3 5 3" xfId="15156"/>
    <cellStyle name="Normal 7 6 3 5 3 2" xfId="23171"/>
    <cellStyle name="Normal 7 6 3 5 3 2 2" xfId="37196"/>
    <cellStyle name="Normal 7 6 3 5 3 3" xfId="29185"/>
    <cellStyle name="Normal 7 6 3 5 4" xfId="17162"/>
    <cellStyle name="Normal 7 6 3 5 4 2" xfId="31187"/>
    <cellStyle name="Normal 7 6 3 5 5" xfId="19164"/>
    <cellStyle name="Normal 7 6 3 5 5 2" xfId="33189"/>
    <cellStyle name="Normal 7 6 3 5 6" xfId="25178"/>
    <cellStyle name="Normal 7 6 3 6" xfId="13132"/>
    <cellStyle name="Normal 7 6 3 6 2" xfId="21157"/>
    <cellStyle name="Normal 7 6 3 6 2 2" xfId="35182"/>
    <cellStyle name="Normal 7 6 3 6 3" xfId="27171"/>
    <cellStyle name="Normal 7 6 3 7" xfId="15147"/>
    <cellStyle name="Normal 7 6 3 7 2" xfId="23162"/>
    <cellStyle name="Normal 7 6 3 7 2 2" xfId="37187"/>
    <cellStyle name="Normal 7 6 3 7 3" xfId="29176"/>
    <cellStyle name="Normal 7 6 3 8" xfId="17153"/>
    <cellStyle name="Normal 7 6 3 8 2" xfId="31178"/>
    <cellStyle name="Normal 7 6 3 9" xfId="19155"/>
    <cellStyle name="Normal 7 6 3 9 2" xfId="33180"/>
    <cellStyle name="Normal 7 6 4" xfId="2548"/>
    <cellStyle name="Normal 7 6 4 2" xfId="2549"/>
    <cellStyle name="Normal 7 6 4 2 2" xfId="2550"/>
    <cellStyle name="Normal 7 6 4 2 2 2" xfId="13144"/>
    <cellStyle name="Normal 7 6 4 2 2 2 2" xfId="21169"/>
    <cellStyle name="Normal 7 6 4 2 2 2 2 2" xfId="35194"/>
    <cellStyle name="Normal 7 6 4 2 2 2 3" xfId="27183"/>
    <cellStyle name="Normal 7 6 4 2 2 3" xfId="15159"/>
    <cellStyle name="Normal 7 6 4 2 2 3 2" xfId="23174"/>
    <cellStyle name="Normal 7 6 4 2 2 3 2 2" xfId="37199"/>
    <cellStyle name="Normal 7 6 4 2 2 3 3" xfId="29188"/>
    <cellStyle name="Normal 7 6 4 2 2 4" xfId="17165"/>
    <cellStyle name="Normal 7 6 4 2 2 4 2" xfId="31190"/>
    <cellStyle name="Normal 7 6 4 2 2 5" xfId="19167"/>
    <cellStyle name="Normal 7 6 4 2 2 5 2" xfId="33192"/>
    <cellStyle name="Normal 7 6 4 2 2 6" xfId="25181"/>
    <cellStyle name="Normal 7 6 4 2 3" xfId="13143"/>
    <cellStyle name="Normal 7 6 4 2 3 2" xfId="21168"/>
    <cellStyle name="Normal 7 6 4 2 3 2 2" xfId="35193"/>
    <cellStyle name="Normal 7 6 4 2 3 3" xfId="27182"/>
    <cellStyle name="Normal 7 6 4 2 4" xfId="15158"/>
    <cellStyle name="Normal 7 6 4 2 4 2" xfId="23173"/>
    <cellStyle name="Normal 7 6 4 2 4 2 2" xfId="37198"/>
    <cellStyle name="Normal 7 6 4 2 4 3" xfId="29187"/>
    <cellStyle name="Normal 7 6 4 2 5" xfId="17164"/>
    <cellStyle name="Normal 7 6 4 2 5 2" xfId="31189"/>
    <cellStyle name="Normal 7 6 4 2 6" xfId="19166"/>
    <cellStyle name="Normal 7 6 4 2 6 2" xfId="33191"/>
    <cellStyle name="Normal 7 6 4 2 7" xfId="25180"/>
    <cellStyle name="Normal 7 6 4 3" xfId="2551"/>
    <cellStyle name="Normal 7 6 4 3 2" xfId="13145"/>
    <cellStyle name="Normal 7 6 4 3 2 2" xfId="21170"/>
    <cellStyle name="Normal 7 6 4 3 2 2 2" xfId="35195"/>
    <cellStyle name="Normal 7 6 4 3 2 3" xfId="27184"/>
    <cellStyle name="Normal 7 6 4 3 3" xfId="15160"/>
    <cellStyle name="Normal 7 6 4 3 3 2" xfId="23175"/>
    <cellStyle name="Normal 7 6 4 3 3 2 2" xfId="37200"/>
    <cellStyle name="Normal 7 6 4 3 3 3" xfId="29189"/>
    <cellStyle name="Normal 7 6 4 3 4" xfId="17166"/>
    <cellStyle name="Normal 7 6 4 3 4 2" xfId="31191"/>
    <cellStyle name="Normal 7 6 4 3 5" xfId="19168"/>
    <cellStyle name="Normal 7 6 4 3 5 2" xfId="33193"/>
    <cellStyle name="Normal 7 6 4 3 6" xfId="25182"/>
    <cellStyle name="Normal 7 6 4 4" xfId="13142"/>
    <cellStyle name="Normal 7 6 4 4 2" xfId="21167"/>
    <cellStyle name="Normal 7 6 4 4 2 2" xfId="35192"/>
    <cellStyle name="Normal 7 6 4 4 3" xfId="27181"/>
    <cellStyle name="Normal 7 6 4 5" xfId="15157"/>
    <cellStyle name="Normal 7 6 4 5 2" xfId="23172"/>
    <cellStyle name="Normal 7 6 4 5 2 2" xfId="37197"/>
    <cellStyle name="Normal 7 6 4 5 3" xfId="29186"/>
    <cellStyle name="Normal 7 6 4 6" xfId="17163"/>
    <cellStyle name="Normal 7 6 4 6 2" xfId="31188"/>
    <cellStyle name="Normal 7 6 4 7" xfId="19165"/>
    <cellStyle name="Normal 7 6 4 7 2" xfId="33190"/>
    <cellStyle name="Normal 7 6 4 8" xfId="25179"/>
    <cellStyle name="Normal 7 6 5" xfId="2552"/>
    <cellStyle name="Normal 7 6 5 2" xfId="2553"/>
    <cellStyle name="Normal 7 6 5 2 2" xfId="13147"/>
    <cellStyle name="Normal 7 6 5 2 2 2" xfId="21172"/>
    <cellStyle name="Normal 7 6 5 2 2 2 2" xfId="35197"/>
    <cellStyle name="Normal 7 6 5 2 2 3" xfId="27186"/>
    <cellStyle name="Normal 7 6 5 2 3" xfId="15162"/>
    <cellStyle name="Normal 7 6 5 2 3 2" xfId="23177"/>
    <cellStyle name="Normal 7 6 5 2 3 2 2" xfId="37202"/>
    <cellStyle name="Normal 7 6 5 2 3 3" xfId="29191"/>
    <cellStyle name="Normal 7 6 5 2 4" xfId="17168"/>
    <cellStyle name="Normal 7 6 5 2 4 2" xfId="31193"/>
    <cellStyle name="Normal 7 6 5 2 5" xfId="19170"/>
    <cellStyle name="Normal 7 6 5 2 5 2" xfId="33195"/>
    <cellStyle name="Normal 7 6 5 2 6" xfId="25184"/>
    <cellStyle name="Normal 7 6 5 3" xfId="13146"/>
    <cellStyle name="Normal 7 6 5 3 2" xfId="21171"/>
    <cellStyle name="Normal 7 6 5 3 2 2" xfId="35196"/>
    <cellStyle name="Normal 7 6 5 3 3" xfId="27185"/>
    <cellStyle name="Normal 7 6 5 4" xfId="15161"/>
    <cellStyle name="Normal 7 6 5 4 2" xfId="23176"/>
    <cellStyle name="Normal 7 6 5 4 2 2" xfId="37201"/>
    <cellStyle name="Normal 7 6 5 4 3" xfId="29190"/>
    <cellStyle name="Normal 7 6 5 5" xfId="17167"/>
    <cellStyle name="Normal 7 6 5 5 2" xfId="31192"/>
    <cellStyle name="Normal 7 6 5 6" xfId="19169"/>
    <cellStyle name="Normal 7 6 5 6 2" xfId="33194"/>
    <cellStyle name="Normal 7 6 5 7" xfId="25183"/>
    <cellStyle name="Normal 7 6 6" xfId="2554"/>
    <cellStyle name="Normal 7 6 6 2" xfId="2555"/>
    <cellStyle name="Normal 7 6 6 2 2" xfId="13149"/>
    <cellStyle name="Normal 7 6 6 2 2 2" xfId="21174"/>
    <cellStyle name="Normal 7 6 6 2 2 2 2" xfId="35199"/>
    <cellStyle name="Normal 7 6 6 2 2 3" xfId="27188"/>
    <cellStyle name="Normal 7 6 6 2 3" xfId="15164"/>
    <cellStyle name="Normal 7 6 6 2 3 2" xfId="23179"/>
    <cellStyle name="Normal 7 6 6 2 3 2 2" xfId="37204"/>
    <cellStyle name="Normal 7 6 6 2 3 3" xfId="29193"/>
    <cellStyle name="Normal 7 6 6 2 4" xfId="17170"/>
    <cellStyle name="Normal 7 6 6 2 4 2" xfId="31195"/>
    <cellStyle name="Normal 7 6 6 2 5" xfId="19172"/>
    <cellStyle name="Normal 7 6 6 2 5 2" xfId="33197"/>
    <cellStyle name="Normal 7 6 6 2 6" xfId="25186"/>
    <cellStyle name="Normal 7 6 6 3" xfId="13148"/>
    <cellStyle name="Normal 7 6 6 3 2" xfId="21173"/>
    <cellStyle name="Normal 7 6 6 3 2 2" xfId="35198"/>
    <cellStyle name="Normal 7 6 6 3 3" xfId="27187"/>
    <cellStyle name="Normal 7 6 6 4" xfId="15163"/>
    <cellStyle name="Normal 7 6 6 4 2" xfId="23178"/>
    <cellStyle name="Normal 7 6 6 4 2 2" xfId="37203"/>
    <cellStyle name="Normal 7 6 6 4 3" xfId="29192"/>
    <cellStyle name="Normal 7 6 6 5" xfId="17169"/>
    <cellStyle name="Normal 7 6 6 5 2" xfId="31194"/>
    <cellStyle name="Normal 7 6 6 6" xfId="19171"/>
    <cellStyle name="Normal 7 6 6 6 2" xfId="33196"/>
    <cellStyle name="Normal 7 6 6 7" xfId="25185"/>
    <cellStyle name="Normal 7 6 7" xfId="2556"/>
    <cellStyle name="Normal 7 6 7 2" xfId="13150"/>
    <cellStyle name="Normal 7 6 7 2 2" xfId="21175"/>
    <cellStyle name="Normal 7 6 7 2 2 2" xfId="35200"/>
    <cellStyle name="Normal 7 6 7 2 3" xfId="27189"/>
    <cellStyle name="Normal 7 6 7 3" xfId="15165"/>
    <cellStyle name="Normal 7 6 7 3 2" xfId="23180"/>
    <cellStyle name="Normal 7 6 7 3 2 2" xfId="37205"/>
    <cellStyle name="Normal 7 6 7 3 3" xfId="29194"/>
    <cellStyle name="Normal 7 6 7 4" xfId="17171"/>
    <cellStyle name="Normal 7 6 7 4 2" xfId="31196"/>
    <cellStyle name="Normal 7 6 7 5" xfId="19173"/>
    <cellStyle name="Normal 7 6 7 5 2" xfId="33198"/>
    <cellStyle name="Normal 7 6 7 6" xfId="25187"/>
    <cellStyle name="Normal 7 6 8" xfId="13111"/>
    <cellStyle name="Normal 7 6 8 2" xfId="21136"/>
    <cellStyle name="Normal 7 6 8 2 2" xfId="35161"/>
    <cellStyle name="Normal 7 6 8 3" xfId="27150"/>
    <cellStyle name="Normal 7 6 9" xfId="15126"/>
    <cellStyle name="Normal 7 6 9 2" xfId="23141"/>
    <cellStyle name="Normal 7 6 9 2 2" xfId="37166"/>
    <cellStyle name="Normal 7 6 9 3" xfId="29155"/>
    <cellStyle name="Normal 7 7" xfId="2557"/>
    <cellStyle name="Normal 7 7 10" xfId="19174"/>
    <cellStyle name="Normal 7 7 10 2" xfId="33199"/>
    <cellStyle name="Normal 7 7 11" xfId="25188"/>
    <cellStyle name="Normal 7 7 2" xfId="2558"/>
    <cellStyle name="Normal 7 7 2 10" xfId="25189"/>
    <cellStyle name="Normal 7 7 2 2" xfId="2559"/>
    <cellStyle name="Normal 7 7 2 2 2" xfId="2560"/>
    <cellStyle name="Normal 7 7 2 2 2 2" xfId="2561"/>
    <cellStyle name="Normal 7 7 2 2 2 2 2" xfId="13155"/>
    <cellStyle name="Normal 7 7 2 2 2 2 2 2" xfId="21180"/>
    <cellStyle name="Normal 7 7 2 2 2 2 2 2 2" xfId="35205"/>
    <cellStyle name="Normal 7 7 2 2 2 2 2 3" xfId="27194"/>
    <cellStyle name="Normal 7 7 2 2 2 2 3" xfId="15170"/>
    <cellStyle name="Normal 7 7 2 2 2 2 3 2" xfId="23185"/>
    <cellStyle name="Normal 7 7 2 2 2 2 3 2 2" xfId="37210"/>
    <cellStyle name="Normal 7 7 2 2 2 2 3 3" xfId="29199"/>
    <cellStyle name="Normal 7 7 2 2 2 2 4" xfId="17176"/>
    <cellStyle name="Normal 7 7 2 2 2 2 4 2" xfId="31201"/>
    <cellStyle name="Normal 7 7 2 2 2 2 5" xfId="19178"/>
    <cellStyle name="Normal 7 7 2 2 2 2 5 2" xfId="33203"/>
    <cellStyle name="Normal 7 7 2 2 2 2 6" xfId="25192"/>
    <cellStyle name="Normal 7 7 2 2 2 3" xfId="13154"/>
    <cellStyle name="Normal 7 7 2 2 2 3 2" xfId="21179"/>
    <cellStyle name="Normal 7 7 2 2 2 3 2 2" xfId="35204"/>
    <cellStyle name="Normal 7 7 2 2 2 3 3" xfId="27193"/>
    <cellStyle name="Normal 7 7 2 2 2 4" xfId="15169"/>
    <cellStyle name="Normal 7 7 2 2 2 4 2" xfId="23184"/>
    <cellStyle name="Normal 7 7 2 2 2 4 2 2" xfId="37209"/>
    <cellStyle name="Normal 7 7 2 2 2 4 3" xfId="29198"/>
    <cellStyle name="Normal 7 7 2 2 2 5" xfId="17175"/>
    <cellStyle name="Normal 7 7 2 2 2 5 2" xfId="31200"/>
    <cellStyle name="Normal 7 7 2 2 2 6" xfId="19177"/>
    <cellStyle name="Normal 7 7 2 2 2 6 2" xfId="33202"/>
    <cellStyle name="Normal 7 7 2 2 2 7" xfId="25191"/>
    <cellStyle name="Normal 7 7 2 2 3" xfId="2562"/>
    <cellStyle name="Normal 7 7 2 2 3 2" xfId="13156"/>
    <cellStyle name="Normal 7 7 2 2 3 2 2" xfId="21181"/>
    <cellStyle name="Normal 7 7 2 2 3 2 2 2" xfId="35206"/>
    <cellStyle name="Normal 7 7 2 2 3 2 3" xfId="27195"/>
    <cellStyle name="Normal 7 7 2 2 3 3" xfId="15171"/>
    <cellStyle name="Normal 7 7 2 2 3 3 2" xfId="23186"/>
    <cellStyle name="Normal 7 7 2 2 3 3 2 2" xfId="37211"/>
    <cellStyle name="Normal 7 7 2 2 3 3 3" xfId="29200"/>
    <cellStyle name="Normal 7 7 2 2 3 4" xfId="17177"/>
    <cellStyle name="Normal 7 7 2 2 3 4 2" xfId="31202"/>
    <cellStyle name="Normal 7 7 2 2 3 5" xfId="19179"/>
    <cellStyle name="Normal 7 7 2 2 3 5 2" xfId="33204"/>
    <cellStyle name="Normal 7 7 2 2 3 6" xfId="25193"/>
    <cellStyle name="Normal 7 7 2 2 4" xfId="13153"/>
    <cellStyle name="Normal 7 7 2 2 4 2" xfId="21178"/>
    <cellStyle name="Normal 7 7 2 2 4 2 2" xfId="35203"/>
    <cellStyle name="Normal 7 7 2 2 4 3" xfId="27192"/>
    <cellStyle name="Normal 7 7 2 2 5" xfId="15168"/>
    <cellStyle name="Normal 7 7 2 2 5 2" xfId="23183"/>
    <cellStyle name="Normal 7 7 2 2 5 2 2" xfId="37208"/>
    <cellStyle name="Normal 7 7 2 2 5 3" xfId="29197"/>
    <cellStyle name="Normal 7 7 2 2 6" xfId="17174"/>
    <cellStyle name="Normal 7 7 2 2 6 2" xfId="31199"/>
    <cellStyle name="Normal 7 7 2 2 7" xfId="19176"/>
    <cellStyle name="Normal 7 7 2 2 7 2" xfId="33201"/>
    <cellStyle name="Normal 7 7 2 2 8" xfId="25190"/>
    <cellStyle name="Normal 7 7 2 3" xfId="2563"/>
    <cellStyle name="Normal 7 7 2 3 2" xfId="2564"/>
    <cellStyle name="Normal 7 7 2 3 2 2" xfId="13158"/>
    <cellStyle name="Normal 7 7 2 3 2 2 2" xfId="21183"/>
    <cellStyle name="Normal 7 7 2 3 2 2 2 2" xfId="35208"/>
    <cellStyle name="Normal 7 7 2 3 2 2 3" xfId="27197"/>
    <cellStyle name="Normal 7 7 2 3 2 3" xfId="15173"/>
    <cellStyle name="Normal 7 7 2 3 2 3 2" xfId="23188"/>
    <cellStyle name="Normal 7 7 2 3 2 3 2 2" xfId="37213"/>
    <cellStyle name="Normal 7 7 2 3 2 3 3" xfId="29202"/>
    <cellStyle name="Normal 7 7 2 3 2 4" xfId="17179"/>
    <cellStyle name="Normal 7 7 2 3 2 4 2" xfId="31204"/>
    <cellStyle name="Normal 7 7 2 3 2 5" xfId="19181"/>
    <cellStyle name="Normal 7 7 2 3 2 5 2" xfId="33206"/>
    <cellStyle name="Normal 7 7 2 3 2 6" xfId="25195"/>
    <cellStyle name="Normal 7 7 2 3 3" xfId="13157"/>
    <cellStyle name="Normal 7 7 2 3 3 2" xfId="21182"/>
    <cellStyle name="Normal 7 7 2 3 3 2 2" xfId="35207"/>
    <cellStyle name="Normal 7 7 2 3 3 3" xfId="27196"/>
    <cellStyle name="Normal 7 7 2 3 4" xfId="15172"/>
    <cellStyle name="Normal 7 7 2 3 4 2" xfId="23187"/>
    <cellStyle name="Normal 7 7 2 3 4 2 2" xfId="37212"/>
    <cellStyle name="Normal 7 7 2 3 4 3" xfId="29201"/>
    <cellStyle name="Normal 7 7 2 3 5" xfId="17178"/>
    <cellStyle name="Normal 7 7 2 3 5 2" xfId="31203"/>
    <cellStyle name="Normal 7 7 2 3 6" xfId="19180"/>
    <cellStyle name="Normal 7 7 2 3 6 2" xfId="33205"/>
    <cellStyle name="Normal 7 7 2 3 7" xfId="25194"/>
    <cellStyle name="Normal 7 7 2 4" xfId="2565"/>
    <cellStyle name="Normal 7 7 2 4 2" xfId="2566"/>
    <cellStyle name="Normal 7 7 2 4 2 2" xfId="13160"/>
    <cellStyle name="Normal 7 7 2 4 2 2 2" xfId="21185"/>
    <cellStyle name="Normal 7 7 2 4 2 2 2 2" xfId="35210"/>
    <cellStyle name="Normal 7 7 2 4 2 2 3" xfId="27199"/>
    <cellStyle name="Normal 7 7 2 4 2 3" xfId="15175"/>
    <cellStyle name="Normal 7 7 2 4 2 3 2" xfId="23190"/>
    <cellStyle name="Normal 7 7 2 4 2 3 2 2" xfId="37215"/>
    <cellStyle name="Normal 7 7 2 4 2 3 3" xfId="29204"/>
    <cellStyle name="Normal 7 7 2 4 2 4" xfId="17181"/>
    <cellStyle name="Normal 7 7 2 4 2 4 2" xfId="31206"/>
    <cellStyle name="Normal 7 7 2 4 2 5" xfId="19183"/>
    <cellStyle name="Normal 7 7 2 4 2 5 2" xfId="33208"/>
    <cellStyle name="Normal 7 7 2 4 2 6" xfId="25197"/>
    <cellStyle name="Normal 7 7 2 4 3" xfId="13159"/>
    <cellStyle name="Normal 7 7 2 4 3 2" xfId="21184"/>
    <cellStyle name="Normal 7 7 2 4 3 2 2" xfId="35209"/>
    <cellStyle name="Normal 7 7 2 4 3 3" xfId="27198"/>
    <cellStyle name="Normal 7 7 2 4 4" xfId="15174"/>
    <cellStyle name="Normal 7 7 2 4 4 2" xfId="23189"/>
    <cellStyle name="Normal 7 7 2 4 4 2 2" xfId="37214"/>
    <cellStyle name="Normal 7 7 2 4 4 3" xfId="29203"/>
    <cellStyle name="Normal 7 7 2 4 5" xfId="17180"/>
    <cellStyle name="Normal 7 7 2 4 5 2" xfId="31205"/>
    <cellStyle name="Normal 7 7 2 4 6" xfId="19182"/>
    <cellStyle name="Normal 7 7 2 4 6 2" xfId="33207"/>
    <cellStyle name="Normal 7 7 2 4 7" xfId="25196"/>
    <cellStyle name="Normal 7 7 2 5" xfId="2567"/>
    <cellStyle name="Normal 7 7 2 5 2" xfId="13161"/>
    <cellStyle name="Normal 7 7 2 5 2 2" xfId="21186"/>
    <cellStyle name="Normal 7 7 2 5 2 2 2" xfId="35211"/>
    <cellStyle name="Normal 7 7 2 5 2 3" xfId="27200"/>
    <cellStyle name="Normal 7 7 2 5 3" xfId="15176"/>
    <cellStyle name="Normal 7 7 2 5 3 2" xfId="23191"/>
    <cellStyle name="Normal 7 7 2 5 3 2 2" xfId="37216"/>
    <cellStyle name="Normal 7 7 2 5 3 3" xfId="29205"/>
    <cellStyle name="Normal 7 7 2 5 4" xfId="17182"/>
    <cellStyle name="Normal 7 7 2 5 4 2" xfId="31207"/>
    <cellStyle name="Normal 7 7 2 5 5" xfId="19184"/>
    <cellStyle name="Normal 7 7 2 5 5 2" xfId="33209"/>
    <cellStyle name="Normal 7 7 2 5 6" xfId="25198"/>
    <cellStyle name="Normal 7 7 2 6" xfId="13152"/>
    <cellStyle name="Normal 7 7 2 6 2" xfId="21177"/>
    <cellStyle name="Normal 7 7 2 6 2 2" xfId="35202"/>
    <cellStyle name="Normal 7 7 2 6 3" xfId="27191"/>
    <cellStyle name="Normal 7 7 2 7" xfId="15167"/>
    <cellStyle name="Normal 7 7 2 7 2" xfId="23182"/>
    <cellStyle name="Normal 7 7 2 7 2 2" xfId="37207"/>
    <cellStyle name="Normal 7 7 2 7 3" xfId="29196"/>
    <cellStyle name="Normal 7 7 2 8" xfId="17173"/>
    <cellStyle name="Normal 7 7 2 8 2" xfId="31198"/>
    <cellStyle name="Normal 7 7 2 9" xfId="19175"/>
    <cellStyle name="Normal 7 7 2 9 2" xfId="33200"/>
    <cellStyle name="Normal 7 7 3" xfId="2568"/>
    <cellStyle name="Normal 7 7 3 2" xfId="2569"/>
    <cellStyle name="Normal 7 7 3 2 2" xfId="2570"/>
    <cellStyle name="Normal 7 7 3 2 2 2" xfId="13164"/>
    <cellStyle name="Normal 7 7 3 2 2 2 2" xfId="21189"/>
    <cellStyle name="Normal 7 7 3 2 2 2 2 2" xfId="35214"/>
    <cellStyle name="Normal 7 7 3 2 2 2 3" xfId="27203"/>
    <cellStyle name="Normal 7 7 3 2 2 3" xfId="15179"/>
    <cellStyle name="Normal 7 7 3 2 2 3 2" xfId="23194"/>
    <cellStyle name="Normal 7 7 3 2 2 3 2 2" xfId="37219"/>
    <cellStyle name="Normal 7 7 3 2 2 3 3" xfId="29208"/>
    <cellStyle name="Normal 7 7 3 2 2 4" xfId="17185"/>
    <cellStyle name="Normal 7 7 3 2 2 4 2" xfId="31210"/>
    <cellStyle name="Normal 7 7 3 2 2 5" xfId="19187"/>
    <cellStyle name="Normal 7 7 3 2 2 5 2" xfId="33212"/>
    <cellStyle name="Normal 7 7 3 2 2 6" xfId="25201"/>
    <cellStyle name="Normal 7 7 3 2 3" xfId="13163"/>
    <cellStyle name="Normal 7 7 3 2 3 2" xfId="21188"/>
    <cellStyle name="Normal 7 7 3 2 3 2 2" xfId="35213"/>
    <cellStyle name="Normal 7 7 3 2 3 3" xfId="27202"/>
    <cellStyle name="Normal 7 7 3 2 4" xfId="15178"/>
    <cellStyle name="Normal 7 7 3 2 4 2" xfId="23193"/>
    <cellStyle name="Normal 7 7 3 2 4 2 2" xfId="37218"/>
    <cellStyle name="Normal 7 7 3 2 4 3" xfId="29207"/>
    <cellStyle name="Normal 7 7 3 2 5" xfId="17184"/>
    <cellStyle name="Normal 7 7 3 2 5 2" xfId="31209"/>
    <cellStyle name="Normal 7 7 3 2 6" xfId="19186"/>
    <cellStyle name="Normal 7 7 3 2 6 2" xfId="33211"/>
    <cellStyle name="Normal 7 7 3 2 7" xfId="25200"/>
    <cellStyle name="Normal 7 7 3 3" xfId="2571"/>
    <cellStyle name="Normal 7 7 3 3 2" xfId="13165"/>
    <cellStyle name="Normal 7 7 3 3 2 2" xfId="21190"/>
    <cellStyle name="Normal 7 7 3 3 2 2 2" xfId="35215"/>
    <cellStyle name="Normal 7 7 3 3 2 3" xfId="27204"/>
    <cellStyle name="Normal 7 7 3 3 3" xfId="15180"/>
    <cellStyle name="Normal 7 7 3 3 3 2" xfId="23195"/>
    <cellStyle name="Normal 7 7 3 3 3 2 2" xfId="37220"/>
    <cellStyle name="Normal 7 7 3 3 3 3" xfId="29209"/>
    <cellStyle name="Normal 7 7 3 3 4" xfId="17186"/>
    <cellStyle name="Normal 7 7 3 3 4 2" xfId="31211"/>
    <cellStyle name="Normal 7 7 3 3 5" xfId="19188"/>
    <cellStyle name="Normal 7 7 3 3 5 2" xfId="33213"/>
    <cellStyle name="Normal 7 7 3 3 6" xfId="25202"/>
    <cellStyle name="Normal 7 7 3 4" xfId="13162"/>
    <cellStyle name="Normal 7 7 3 4 2" xfId="21187"/>
    <cellStyle name="Normal 7 7 3 4 2 2" xfId="35212"/>
    <cellStyle name="Normal 7 7 3 4 3" xfId="27201"/>
    <cellStyle name="Normal 7 7 3 5" xfId="15177"/>
    <cellStyle name="Normal 7 7 3 5 2" xfId="23192"/>
    <cellStyle name="Normal 7 7 3 5 2 2" xfId="37217"/>
    <cellStyle name="Normal 7 7 3 5 3" xfId="29206"/>
    <cellStyle name="Normal 7 7 3 6" xfId="17183"/>
    <cellStyle name="Normal 7 7 3 6 2" xfId="31208"/>
    <cellStyle name="Normal 7 7 3 7" xfId="19185"/>
    <cellStyle name="Normal 7 7 3 7 2" xfId="33210"/>
    <cellStyle name="Normal 7 7 3 8" xfId="25199"/>
    <cellStyle name="Normal 7 7 4" xfId="2572"/>
    <cellStyle name="Normal 7 7 4 2" xfId="2573"/>
    <cellStyle name="Normal 7 7 4 2 2" xfId="13167"/>
    <cellStyle name="Normal 7 7 4 2 2 2" xfId="21192"/>
    <cellStyle name="Normal 7 7 4 2 2 2 2" xfId="35217"/>
    <cellStyle name="Normal 7 7 4 2 2 3" xfId="27206"/>
    <cellStyle name="Normal 7 7 4 2 3" xfId="15182"/>
    <cellStyle name="Normal 7 7 4 2 3 2" xfId="23197"/>
    <cellStyle name="Normal 7 7 4 2 3 2 2" xfId="37222"/>
    <cellStyle name="Normal 7 7 4 2 3 3" xfId="29211"/>
    <cellStyle name="Normal 7 7 4 2 4" xfId="17188"/>
    <cellStyle name="Normal 7 7 4 2 4 2" xfId="31213"/>
    <cellStyle name="Normal 7 7 4 2 5" xfId="19190"/>
    <cellStyle name="Normal 7 7 4 2 5 2" xfId="33215"/>
    <cellStyle name="Normal 7 7 4 2 6" xfId="25204"/>
    <cellStyle name="Normal 7 7 4 3" xfId="13166"/>
    <cellStyle name="Normal 7 7 4 3 2" xfId="21191"/>
    <cellStyle name="Normal 7 7 4 3 2 2" xfId="35216"/>
    <cellStyle name="Normal 7 7 4 3 3" xfId="27205"/>
    <cellStyle name="Normal 7 7 4 4" xfId="15181"/>
    <cellStyle name="Normal 7 7 4 4 2" xfId="23196"/>
    <cellStyle name="Normal 7 7 4 4 2 2" xfId="37221"/>
    <cellStyle name="Normal 7 7 4 4 3" xfId="29210"/>
    <cellStyle name="Normal 7 7 4 5" xfId="17187"/>
    <cellStyle name="Normal 7 7 4 5 2" xfId="31212"/>
    <cellStyle name="Normal 7 7 4 6" xfId="19189"/>
    <cellStyle name="Normal 7 7 4 6 2" xfId="33214"/>
    <cellStyle name="Normal 7 7 4 7" xfId="25203"/>
    <cellStyle name="Normal 7 7 5" xfId="2574"/>
    <cellStyle name="Normal 7 7 5 2" xfId="2575"/>
    <cellStyle name="Normal 7 7 5 2 2" xfId="13169"/>
    <cellStyle name="Normal 7 7 5 2 2 2" xfId="21194"/>
    <cellStyle name="Normal 7 7 5 2 2 2 2" xfId="35219"/>
    <cellStyle name="Normal 7 7 5 2 2 3" xfId="27208"/>
    <cellStyle name="Normal 7 7 5 2 3" xfId="15184"/>
    <cellStyle name="Normal 7 7 5 2 3 2" xfId="23199"/>
    <cellStyle name="Normal 7 7 5 2 3 2 2" xfId="37224"/>
    <cellStyle name="Normal 7 7 5 2 3 3" xfId="29213"/>
    <cellStyle name="Normal 7 7 5 2 4" xfId="17190"/>
    <cellStyle name="Normal 7 7 5 2 4 2" xfId="31215"/>
    <cellStyle name="Normal 7 7 5 2 5" xfId="19192"/>
    <cellStyle name="Normal 7 7 5 2 5 2" xfId="33217"/>
    <cellStyle name="Normal 7 7 5 2 6" xfId="25206"/>
    <cellStyle name="Normal 7 7 5 3" xfId="13168"/>
    <cellStyle name="Normal 7 7 5 3 2" xfId="21193"/>
    <cellStyle name="Normal 7 7 5 3 2 2" xfId="35218"/>
    <cellStyle name="Normal 7 7 5 3 3" xfId="27207"/>
    <cellStyle name="Normal 7 7 5 4" xfId="15183"/>
    <cellStyle name="Normal 7 7 5 4 2" xfId="23198"/>
    <cellStyle name="Normal 7 7 5 4 2 2" xfId="37223"/>
    <cellStyle name="Normal 7 7 5 4 3" xfId="29212"/>
    <cellStyle name="Normal 7 7 5 5" xfId="17189"/>
    <cellStyle name="Normal 7 7 5 5 2" xfId="31214"/>
    <cellStyle name="Normal 7 7 5 6" xfId="19191"/>
    <cellStyle name="Normal 7 7 5 6 2" xfId="33216"/>
    <cellStyle name="Normal 7 7 5 7" xfId="25205"/>
    <cellStyle name="Normal 7 7 6" xfId="2576"/>
    <cellStyle name="Normal 7 7 6 2" xfId="13170"/>
    <cellStyle name="Normal 7 7 6 2 2" xfId="21195"/>
    <cellStyle name="Normal 7 7 6 2 2 2" xfId="35220"/>
    <cellStyle name="Normal 7 7 6 2 3" xfId="27209"/>
    <cellStyle name="Normal 7 7 6 3" xfId="15185"/>
    <cellStyle name="Normal 7 7 6 3 2" xfId="23200"/>
    <cellStyle name="Normal 7 7 6 3 2 2" xfId="37225"/>
    <cellStyle name="Normal 7 7 6 3 3" xfId="29214"/>
    <cellStyle name="Normal 7 7 6 4" xfId="17191"/>
    <cellStyle name="Normal 7 7 6 4 2" xfId="31216"/>
    <cellStyle name="Normal 7 7 6 5" xfId="19193"/>
    <cellStyle name="Normal 7 7 6 5 2" xfId="33218"/>
    <cellStyle name="Normal 7 7 6 6" xfId="25207"/>
    <cellStyle name="Normal 7 7 7" xfId="13151"/>
    <cellStyle name="Normal 7 7 7 2" xfId="21176"/>
    <cellStyle name="Normal 7 7 7 2 2" xfId="35201"/>
    <cellStyle name="Normal 7 7 7 3" xfId="27190"/>
    <cellStyle name="Normal 7 7 8" xfId="15166"/>
    <cellStyle name="Normal 7 7 8 2" xfId="23181"/>
    <cellStyle name="Normal 7 7 8 2 2" xfId="37206"/>
    <cellStyle name="Normal 7 7 8 3" xfId="29195"/>
    <cellStyle name="Normal 7 7 9" xfId="17172"/>
    <cellStyle name="Normal 7 7 9 2" xfId="31197"/>
    <cellStyle name="Normal 7 8" xfId="2577"/>
    <cellStyle name="Normal 7 8 10" xfId="25208"/>
    <cellStyle name="Normal 7 8 2" xfId="2578"/>
    <cellStyle name="Normal 7 8 2 2" xfId="2579"/>
    <cellStyle name="Normal 7 8 2 2 2" xfId="2580"/>
    <cellStyle name="Normal 7 8 2 2 2 2" xfId="13174"/>
    <cellStyle name="Normal 7 8 2 2 2 2 2" xfId="21199"/>
    <cellStyle name="Normal 7 8 2 2 2 2 2 2" xfId="35224"/>
    <cellStyle name="Normal 7 8 2 2 2 2 3" xfId="27213"/>
    <cellStyle name="Normal 7 8 2 2 2 3" xfId="15189"/>
    <cellStyle name="Normal 7 8 2 2 2 3 2" xfId="23204"/>
    <cellStyle name="Normal 7 8 2 2 2 3 2 2" xfId="37229"/>
    <cellStyle name="Normal 7 8 2 2 2 3 3" xfId="29218"/>
    <cellStyle name="Normal 7 8 2 2 2 4" xfId="17195"/>
    <cellStyle name="Normal 7 8 2 2 2 4 2" xfId="31220"/>
    <cellStyle name="Normal 7 8 2 2 2 5" xfId="19197"/>
    <cellStyle name="Normal 7 8 2 2 2 5 2" xfId="33222"/>
    <cellStyle name="Normal 7 8 2 2 2 6" xfId="25211"/>
    <cellStyle name="Normal 7 8 2 2 3" xfId="13173"/>
    <cellStyle name="Normal 7 8 2 2 3 2" xfId="21198"/>
    <cellStyle name="Normal 7 8 2 2 3 2 2" xfId="35223"/>
    <cellStyle name="Normal 7 8 2 2 3 3" xfId="27212"/>
    <cellStyle name="Normal 7 8 2 2 4" xfId="15188"/>
    <cellStyle name="Normal 7 8 2 2 4 2" xfId="23203"/>
    <cellStyle name="Normal 7 8 2 2 4 2 2" xfId="37228"/>
    <cellStyle name="Normal 7 8 2 2 4 3" xfId="29217"/>
    <cellStyle name="Normal 7 8 2 2 5" xfId="17194"/>
    <cellStyle name="Normal 7 8 2 2 5 2" xfId="31219"/>
    <cellStyle name="Normal 7 8 2 2 6" xfId="19196"/>
    <cellStyle name="Normal 7 8 2 2 6 2" xfId="33221"/>
    <cellStyle name="Normal 7 8 2 2 7" xfId="25210"/>
    <cellStyle name="Normal 7 8 2 3" xfId="2581"/>
    <cellStyle name="Normal 7 8 2 3 2" xfId="13175"/>
    <cellStyle name="Normal 7 8 2 3 2 2" xfId="21200"/>
    <cellStyle name="Normal 7 8 2 3 2 2 2" xfId="35225"/>
    <cellStyle name="Normal 7 8 2 3 2 3" xfId="27214"/>
    <cellStyle name="Normal 7 8 2 3 3" xfId="15190"/>
    <cellStyle name="Normal 7 8 2 3 3 2" xfId="23205"/>
    <cellStyle name="Normal 7 8 2 3 3 2 2" xfId="37230"/>
    <cellStyle name="Normal 7 8 2 3 3 3" xfId="29219"/>
    <cellStyle name="Normal 7 8 2 3 4" xfId="17196"/>
    <cellStyle name="Normal 7 8 2 3 4 2" xfId="31221"/>
    <cellStyle name="Normal 7 8 2 3 5" xfId="19198"/>
    <cellStyle name="Normal 7 8 2 3 5 2" xfId="33223"/>
    <cellStyle name="Normal 7 8 2 3 6" xfId="25212"/>
    <cellStyle name="Normal 7 8 2 4" xfId="13172"/>
    <cellStyle name="Normal 7 8 2 4 2" xfId="21197"/>
    <cellStyle name="Normal 7 8 2 4 2 2" xfId="35222"/>
    <cellStyle name="Normal 7 8 2 4 3" xfId="27211"/>
    <cellStyle name="Normal 7 8 2 5" xfId="15187"/>
    <cellStyle name="Normal 7 8 2 5 2" xfId="23202"/>
    <cellStyle name="Normal 7 8 2 5 2 2" xfId="37227"/>
    <cellStyle name="Normal 7 8 2 5 3" xfId="29216"/>
    <cellStyle name="Normal 7 8 2 6" xfId="17193"/>
    <cellStyle name="Normal 7 8 2 6 2" xfId="31218"/>
    <cellStyle name="Normal 7 8 2 7" xfId="19195"/>
    <cellStyle name="Normal 7 8 2 7 2" xfId="33220"/>
    <cellStyle name="Normal 7 8 2 8" xfId="25209"/>
    <cellStyle name="Normal 7 8 3" xfId="2582"/>
    <cellStyle name="Normal 7 8 3 2" xfId="2583"/>
    <cellStyle name="Normal 7 8 3 2 2" xfId="13177"/>
    <cellStyle name="Normal 7 8 3 2 2 2" xfId="21202"/>
    <cellStyle name="Normal 7 8 3 2 2 2 2" xfId="35227"/>
    <cellStyle name="Normal 7 8 3 2 2 3" xfId="27216"/>
    <cellStyle name="Normal 7 8 3 2 3" xfId="15192"/>
    <cellStyle name="Normal 7 8 3 2 3 2" xfId="23207"/>
    <cellStyle name="Normal 7 8 3 2 3 2 2" xfId="37232"/>
    <cellStyle name="Normal 7 8 3 2 3 3" xfId="29221"/>
    <cellStyle name="Normal 7 8 3 2 4" xfId="17198"/>
    <cellStyle name="Normal 7 8 3 2 4 2" xfId="31223"/>
    <cellStyle name="Normal 7 8 3 2 5" xfId="19200"/>
    <cellStyle name="Normal 7 8 3 2 5 2" xfId="33225"/>
    <cellStyle name="Normal 7 8 3 2 6" xfId="25214"/>
    <cellStyle name="Normal 7 8 3 3" xfId="13176"/>
    <cellStyle name="Normal 7 8 3 3 2" xfId="21201"/>
    <cellStyle name="Normal 7 8 3 3 2 2" xfId="35226"/>
    <cellStyle name="Normal 7 8 3 3 3" xfId="27215"/>
    <cellStyle name="Normal 7 8 3 4" xfId="15191"/>
    <cellStyle name="Normal 7 8 3 4 2" xfId="23206"/>
    <cellStyle name="Normal 7 8 3 4 2 2" xfId="37231"/>
    <cellStyle name="Normal 7 8 3 4 3" xfId="29220"/>
    <cellStyle name="Normal 7 8 3 5" xfId="17197"/>
    <cellStyle name="Normal 7 8 3 5 2" xfId="31222"/>
    <cellStyle name="Normal 7 8 3 6" xfId="19199"/>
    <cellStyle name="Normal 7 8 3 6 2" xfId="33224"/>
    <cellStyle name="Normal 7 8 3 7" xfId="25213"/>
    <cellStyle name="Normal 7 8 4" xfId="2584"/>
    <cellStyle name="Normal 7 8 4 2" xfId="2585"/>
    <cellStyle name="Normal 7 8 4 2 2" xfId="13179"/>
    <cellStyle name="Normal 7 8 4 2 2 2" xfId="21204"/>
    <cellStyle name="Normal 7 8 4 2 2 2 2" xfId="35229"/>
    <cellStyle name="Normal 7 8 4 2 2 3" xfId="27218"/>
    <cellStyle name="Normal 7 8 4 2 3" xfId="15194"/>
    <cellStyle name="Normal 7 8 4 2 3 2" xfId="23209"/>
    <cellStyle name="Normal 7 8 4 2 3 2 2" xfId="37234"/>
    <cellStyle name="Normal 7 8 4 2 3 3" xfId="29223"/>
    <cellStyle name="Normal 7 8 4 2 4" xfId="17200"/>
    <cellStyle name="Normal 7 8 4 2 4 2" xfId="31225"/>
    <cellStyle name="Normal 7 8 4 2 5" xfId="19202"/>
    <cellStyle name="Normal 7 8 4 2 5 2" xfId="33227"/>
    <cellStyle name="Normal 7 8 4 2 6" xfId="25216"/>
    <cellStyle name="Normal 7 8 4 3" xfId="13178"/>
    <cellStyle name="Normal 7 8 4 3 2" xfId="21203"/>
    <cellStyle name="Normal 7 8 4 3 2 2" xfId="35228"/>
    <cellStyle name="Normal 7 8 4 3 3" xfId="27217"/>
    <cellStyle name="Normal 7 8 4 4" xfId="15193"/>
    <cellStyle name="Normal 7 8 4 4 2" xfId="23208"/>
    <cellStyle name="Normal 7 8 4 4 2 2" xfId="37233"/>
    <cellStyle name="Normal 7 8 4 4 3" xfId="29222"/>
    <cellStyle name="Normal 7 8 4 5" xfId="17199"/>
    <cellStyle name="Normal 7 8 4 5 2" xfId="31224"/>
    <cellStyle name="Normal 7 8 4 6" xfId="19201"/>
    <cellStyle name="Normal 7 8 4 6 2" xfId="33226"/>
    <cellStyle name="Normal 7 8 4 7" xfId="25215"/>
    <cellStyle name="Normal 7 8 5" xfId="2586"/>
    <cellStyle name="Normal 7 8 5 2" xfId="13180"/>
    <cellStyle name="Normal 7 8 5 2 2" xfId="21205"/>
    <cellStyle name="Normal 7 8 5 2 2 2" xfId="35230"/>
    <cellStyle name="Normal 7 8 5 2 3" xfId="27219"/>
    <cellStyle name="Normal 7 8 5 3" xfId="15195"/>
    <cellStyle name="Normal 7 8 5 3 2" xfId="23210"/>
    <cellStyle name="Normal 7 8 5 3 2 2" xfId="37235"/>
    <cellStyle name="Normal 7 8 5 3 3" xfId="29224"/>
    <cellStyle name="Normal 7 8 5 4" xfId="17201"/>
    <cellStyle name="Normal 7 8 5 4 2" xfId="31226"/>
    <cellStyle name="Normal 7 8 5 5" xfId="19203"/>
    <cellStyle name="Normal 7 8 5 5 2" xfId="33228"/>
    <cellStyle name="Normal 7 8 5 6" xfId="25217"/>
    <cellStyle name="Normal 7 8 6" xfId="13171"/>
    <cellStyle name="Normal 7 8 6 2" xfId="21196"/>
    <cellStyle name="Normal 7 8 6 2 2" xfId="35221"/>
    <cellStyle name="Normal 7 8 6 3" xfId="27210"/>
    <cellStyle name="Normal 7 8 7" xfId="15186"/>
    <cellStyle name="Normal 7 8 7 2" xfId="23201"/>
    <cellStyle name="Normal 7 8 7 2 2" xfId="37226"/>
    <cellStyle name="Normal 7 8 7 3" xfId="29215"/>
    <cellStyle name="Normal 7 8 8" xfId="17192"/>
    <cellStyle name="Normal 7 8 8 2" xfId="31217"/>
    <cellStyle name="Normal 7 8 9" xfId="19194"/>
    <cellStyle name="Normal 7 8 9 2" xfId="33219"/>
    <cellStyle name="Normal 7 9" xfId="2587"/>
    <cellStyle name="Normal 7 9 2" xfId="2588"/>
    <cellStyle name="Normal 7 9 2 2" xfId="2589"/>
    <cellStyle name="Normal 7 9 2 2 2" xfId="13183"/>
    <cellStyle name="Normal 7 9 2 2 2 2" xfId="21208"/>
    <cellStyle name="Normal 7 9 2 2 2 2 2" xfId="35233"/>
    <cellStyle name="Normal 7 9 2 2 2 3" xfId="27222"/>
    <cellStyle name="Normal 7 9 2 2 3" xfId="15198"/>
    <cellStyle name="Normal 7 9 2 2 3 2" xfId="23213"/>
    <cellStyle name="Normal 7 9 2 2 3 2 2" xfId="37238"/>
    <cellStyle name="Normal 7 9 2 2 3 3" xfId="29227"/>
    <cellStyle name="Normal 7 9 2 2 4" xfId="17204"/>
    <cellStyle name="Normal 7 9 2 2 4 2" xfId="31229"/>
    <cellStyle name="Normal 7 9 2 2 5" xfId="19206"/>
    <cellStyle name="Normal 7 9 2 2 5 2" xfId="33231"/>
    <cellStyle name="Normal 7 9 2 2 6" xfId="25220"/>
    <cellStyle name="Normal 7 9 2 3" xfId="13182"/>
    <cellStyle name="Normal 7 9 2 3 2" xfId="21207"/>
    <cellStyle name="Normal 7 9 2 3 2 2" xfId="35232"/>
    <cellStyle name="Normal 7 9 2 3 3" xfId="27221"/>
    <cellStyle name="Normal 7 9 2 4" xfId="15197"/>
    <cellStyle name="Normal 7 9 2 4 2" xfId="23212"/>
    <cellStyle name="Normal 7 9 2 4 2 2" xfId="37237"/>
    <cellStyle name="Normal 7 9 2 4 3" xfId="29226"/>
    <cellStyle name="Normal 7 9 2 5" xfId="17203"/>
    <cellStyle name="Normal 7 9 2 5 2" xfId="31228"/>
    <cellStyle name="Normal 7 9 2 6" xfId="19205"/>
    <cellStyle name="Normal 7 9 2 6 2" xfId="33230"/>
    <cellStyle name="Normal 7 9 2 7" xfId="25219"/>
    <cellStyle name="Normal 7 9 3" xfId="2590"/>
    <cellStyle name="Normal 7 9 3 2" xfId="13184"/>
    <cellStyle name="Normal 7 9 3 2 2" xfId="21209"/>
    <cellStyle name="Normal 7 9 3 2 2 2" xfId="35234"/>
    <cellStyle name="Normal 7 9 3 2 3" xfId="27223"/>
    <cellStyle name="Normal 7 9 3 3" xfId="15199"/>
    <cellStyle name="Normal 7 9 3 3 2" xfId="23214"/>
    <cellStyle name="Normal 7 9 3 3 2 2" xfId="37239"/>
    <cellStyle name="Normal 7 9 3 3 3" xfId="29228"/>
    <cellStyle name="Normal 7 9 3 4" xfId="17205"/>
    <cellStyle name="Normal 7 9 3 4 2" xfId="31230"/>
    <cellStyle name="Normal 7 9 3 5" xfId="19207"/>
    <cellStyle name="Normal 7 9 3 5 2" xfId="33232"/>
    <cellStyle name="Normal 7 9 3 6" xfId="25221"/>
    <cellStyle name="Normal 7 9 4" xfId="13181"/>
    <cellStyle name="Normal 7 9 4 2" xfId="21206"/>
    <cellStyle name="Normal 7 9 4 2 2" xfId="35231"/>
    <cellStyle name="Normal 7 9 4 3" xfId="27220"/>
    <cellStyle name="Normal 7 9 5" xfId="15196"/>
    <cellStyle name="Normal 7 9 5 2" xfId="23211"/>
    <cellStyle name="Normal 7 9 5 2 2" xfId="37236"/>
    <cellStyle name="Normal 7 9 5 3" xfId="29225"/>
    <cellStyle name="Normal 7 9 6" xfId="17202"/>
    <cellStyle name="Normal 7 9 6 2" xfId="31227"/>
    <cellStyle name="Normal 7 9 7" xfId="19204"/>
    <cellStyle name="Normal 7 9 7 2" xfId="33229"/>
    <cellStyle name="Normal 7 9 8" xfId="25218"/>
    <cellStyle name="Normal 7_10-15-10-Stmt AU - Period I - Working 1 0" xfId="577"/>
    <cellStyle name="Normal 8" xfId="578"/>
    <cellStyle name="Normal 8 10" xfId="2591"/>
    <cellStyle name="Normal 8 10 2" xfId="13185"/>
    <cellStyle name="Normal 8 10 2 2" xfId="21210"/>
    <cellStyle name="Normal 8 10 2 2 2" xfId="35235"/>
    <cellStyle name="Normal 8 10 2 3" xfId="27224"/>
    <cellStyle name="Normal 8 10 3" xfId="15200"/>
    <cellStyle name="Normal 8 10 3 2" xfId="23215"/>
    <cellStyle name="Normal 8 10 3 2 2" xfId="37240"/>
    <cellStyle name="Normal 8 10 3 3" xfId="29229"/>
    <cellStyle name="Normal 8 10 4" xfId="17206"/>
    <cellStyle name="Normal 8 10 4 2" xfId="31231"/>
    <cellStyle name="Normal 8 10 5" xfId="19208"/>
    <cellStyle name="Normal 8 10 5 2" xfId="33233"/>
    <cellStyle name="Normal 8 10 6" xfId="25222"/>
    <cellStyle name="Normal 8 11" xfId="2592"/>
    <cellStyle name="Normal 8 11 2" xfId="13186"/>
    <cellStyle name="Normal 8 11 2 2" xfId="21211"/>
    <cellStyle name="Normal 8 11 2 2 2" xfId="35236"/>
    <cellStyle name="Normal 8 11 2 3" xfId="27225"/>
    <cellStyle name="Normal 8 11 3" xfId="15201"/>
    <cellStyle name="Normal 8 11 3 2" xfId="23216"/>
    <cellStyle name="Normal 8 11 3 2 2" xfId="37241"/>
    <cellStyle name="Normal 8 11 3 3" xfId="29230"/>
    <cellStyle name="Normal 8 11 4" xfId="17207"/>
    <cellStyle name="Normal 8 11 4 2" xfId="31232"/>
    <cellStyle name="Normal 8 11 5" xfId="19209"/>
    <cellStyle name="Normal 8 11 5 2" xfId="33234"/>
    <cellStyle name="Normal 8 11 6" xfId="25223"/>
    <cellStyle name="Normal 8 12" xfId="11638"/>
    <cellStyle name="Normal 8 2" xfId="579"/>
    <cellStyle name="Normal 8 2 10" xfId="11639"/>
    <cellStyle name="Normal 8 2 2" xfId="580"/>
    <cellStyle name="Normal 8 2 3" xfId="2593"/>
    <cellStyle name="Normal 8 2 3 10" xfId="17208"/>
    <cellStyle name="Normal 8 2 3 10 2" xfId="31233"/>
    <cellStyle name="Normal 8 2 3 11" xfId="19210"/>
    <cellStyle name="Normal 8 2 3 11 2" xfId="33235"/>
    <cellStyle name="Normal 8 2 3 12" xfId="25224"/>
    <cellStyle name="Normal 8 2 3 2" xfId="2594"/>
    <cellStyle name="Normal 8 2 3 2 10" xfId="19211"/>
    <cellStyle name="Normal 8 2 3 2 10 2" xfId="33236"/>
    <cellStyle name="Normal 8 2 3 2 11" xfId="25225"/>
    <cellStyle name="Normal 8 2 3 2 2" xfId="2595"/>
    <cellStyle name="Normal 8 2 3 2 2 10" xfId="25226"/>
    <cellStyle name="Normal 8 2 3 2 2 2" xfId="2596"/>
    <cellStyle name="Normal 8 2 3 2 2 2 2" xfId="2597"/>
    <cellStyle name="Normal 8 2 3 2 2 2 2 2" xfId="2598"/>
    <cellStyle name="Normal 8 2 3 2 2 2 2 2 2" xfId="13192"/>
    <cellStyle name="Normal 8 2 3 2 2 2 2 2 2 2" xfId="21217"/>
    <cellStyle name="Normal 8 2 3 2 2 2 2 2 2 2 2" xfId="35242"/>
    <cellStyle name="Normal 8 2 3 2 2 2 2 2 2 3" xfId="27231"/>
    <cellStyle name="Normal 8 2 3 2 2 2 2 2 3" xfId="15207"/>
    <cellStyle name="Normal 8 2 3 2 2 2 2 2 3 2" xfId="23222"/>
    <cellStyle name="Normal 8 2 3 2 2 2 2 2 3 2 2" xfId="37247"/>
    <cellStyle name="Normal 8 2 3 2 2 2 2 2 3 3" xfId="29236"/>
    <cellStyle name="Normal 8 2 3 2 2 2 2 2 4" xfId="17213"/>
    <cellStyle name="Normal 8 2 3 2 2 2 2 2 4 2" xfId="31238"/>
    <cellStyle name="Normal 8 2 3 2 2 2 2 2 5" xfId="19215"/>
    <cellStyle name="Normal 8 2 3 2 2 2 2 2 5 2" xfId="33240"/>
    <cellStyle name="Normal 8 2 3 2 2 2 2 2 6" xfId="25229"/>
    <cellStyle name="Normal 8 2 3 2 2 2 2 3" xfId="13191"/>
    <cellStyle name="Normal 8 2 3 2 2 2 2 3 2" xfId="21216"/>
    <cellStyle name="Normal 8 2 3 2 2 2 2 3 2 2" xfId="35241"/>
    <cellStyle name="Normal 8 2 3 2 2 2 2 3 3" xfId="27230"/>
    <cellStyle name="Normal 8 2 3 2 2 2 2 4" xfId="15206"/>
    <cellStyle name="Normal 8 2 3 2 2 2 2 4 2" xfId="23221"/>
    <cellStyle name="Normal 8 2 3 2 2 2 2 4 2 2" xfId="37246"/>
    <cellStyle name="Normal 8 2 3 2 2 2 2 4 3" xfId="29235"/>
    <cellStyle name="Normal 8 2 3 2 2 2 2 5" xfId="17212"/>
    <cellStyle name="Normal 8 2 3 2 2 2 2 5 2" xfId="31237"/>
    <cellStyle name="Normal 8 2 3 2 2 2 2 6" xfId="19214"/>
    <cellStyle name="Normal 8 2 3 2 2 2 2 6 2" xfId="33239"/>
    <cellStyle name="Normal 8 2 3 2 2 2 2 7" xfId="25228"/>
    <cellStyle name="Normal 8 2 3 2 2 2 3" xfId="2599"/>
    <cellStyle name="Normal 8 2 3 2 2 2 3 2" xfId="13193"/>
    <cellStyle name="Normal 8 2 3 2 2 2 3 2 2" xfId="21218"/>
    <cellStyle name="Normal 8 2 3 2 2 2 3 2 2 2" xfId="35243"/>
    <cellStyle name="Normal 8 2 3 2 2 2 3 2 3" xfId="27232"/>
    <cellStyle name="Normal 8 2 3 2 2 2 3 3" xfId="15208"/>
    <cellStyle name="Normal 8 2 3 2 2 2 3 3 2" xfId="23223"/>
    <cellStyle name="Normal 8 2 3 2 2 2 3 3 2 2" xfId="37248"/>
    <cellStyle name="Normal 8 2 3 2 2 2 3 3 3" xfId="29237"/>
    <cellStyle name="Normal 8 2 3 2 2 2 3 4" xfId="17214"/>
    <cellStyle name="Normal 8 2 3 2 2 2 3 4 2" xfId="31239"/>
    <cellStyle name="Normal 8 2 3 2 2 2 3 5" xfId="19216"/>
    <cellStyle name="Normal 8 2 3 2 2 2 3 5 2" xfId="33241"/>
    <cellStyle name="Normal 8 2 3 2 2 2 3 6" xfId="25230"/>
    <cellStyle name="Normal 8 2 3 2 2 2 4" xfId="13190"/>
    <cellStyle name="Normal 8 2 3 2 2 2 4 2" xfId="21215"/>
    <cellStyle name="Normal 8 2 3 2 2 2 4 2 2" xfId="35240"/>
    <cellStyle name="Normal 8 2 3 2 2 2 4 3" xfId="27229"/>
    <cellStyle name="Normal 8 2 3 2 2 2 5" xfId="15205"/>
    <cellStyle name="Normal 8 2 3 2 2 2 5 2" xfId="23220"/>
    <cellStyle name="Normal 8 2 3 2 2 2 5 2 2" xfId="37245"/>
    <cellStyle name="Normal 8 2 3 2 2 2 5 3" xfId="29234"/>
    <cellStyle name="Normal 8 2 3 2 2 2 6" xfId="17211"/>
    <cellStyle name="Normal 8 2 3 2 2 2 6 2" xfId="31236"/>
    <cellStyle name="Normal 8 2 3 2 2 2 7" xfId="19213"/>
    <cellStyle name="Normal 8 2 3 2 2 2 7 2" xfId="33238"/>
    <cellStyle name="Normal 8 2 3 2 2 2 8" xfId="25227"/>
    <cellStyle name="Normal 8 2 3 2 2 3" xfId="2600"/>
    <cellStyle name="Normal 8 2 3 2 2 3 2" xfId="2601"/>
    <cellStyle name="Normal 8 2 3 2 2 3 2 2" xfId="13195"/>
    <cellStyle name="Normal 8 2 3 2 2 3 2 2 2" xfId="21220"/>
    <cellStyle name="Normal 8 2 3 2 2 3 2 2 2 2" xfId="35245"/>
    <cellStyle name="Normal 8 2 3 2 2 3 2 2 3" xfId="27234"/>
    <cellStyle name="Normal 8 2 3 2 2 3 2 3" xfId="15210"/>
    <cellStyle name="Normal 8 2 3 2 2 3 2 3 2" xfId="23225"/>
    <cellStyle name="Normal 8 2 3 2 2 3 2 3 2 2" xfId="37250"/>
    <cellStyle name="Normal 8 2 3 2 2 3 2 3 3" xfId="29239"/>
    <cellStyle name="Normal 8 2 3 2 2 3 2 4" xfId="17216"/>
    <cellStyle name="Normal 8 2 3 2 2 3 2 4 2" xfId="31241"/>
    <cellStyle name="Normal 8 2 3 2 2 3 2 5" xfId="19218"/>
    <cellStyle name="Normal 8 2 3 2 2 3 2 5 2" xfId="33243"/>
    <cellStyle name="Normal 8 2 3 2 2 3 2 6" xfId="25232"/>
    <cellStyle name="Normal 8 2 3 2 2 3 3" xfId="13194"/>
    <cellStyle name="Normal 8 2 3 2 2 3 3 2" xfId="21219"/>
    <cellStyle name="Normal 8 2 3 2 2 3 3 2 2" xfId="35244"/>
    <cellStyle name="Normal 8 2 3 2 2 3 3 3" xfId="27233"/>
    <cellStyle name="Normal 8 2 3 2 2 3 4" xfId="15209"/>
    <cellStyle name="Normal 8 2 3 2 2 3 4 2" xfId="23224"/>
    <cellStyle name="Normal 8 2 3 2 2 3 4 2 2" xfId="37249"/>
    <cellStyle name="Normal 8 2 3 2 2 3 4 3" xfId="29238"/>
    <cellStyle name="Normal 8 2 3 2 2 3 5" xfId="17215"/>
    <cellStyle name="Normal 8 2 3 2 2 3 5 2" xfId="31240"/>
    <cellStyle name="Normal 8 2 3 2 2 3 6" xfId="19217"/>
    <cellStyle name="Normal 8 2 3 2 2 3 6 2" xfId="33242"/>
    <cellStyle name="Normal 8 2 3 2 2 3 7" xfId="25231"/>
    <cellStyle name="Normal 8 2 3 2 2 4" xfId="2602"/>
    <cellStyle name="Normal 8 2 3 2 2 4 2" xfId="2603"/>
    <cellStyle name="Normal 8 2 3 2 2 4 2 2" xfId="13197"/>
    <cellStyle name="Normal 8 2 3 2 2 4 2 2 2" xfId="21222"/>
    <cellStyle name="Normal 8 2 3 2 2 4 2 2 2 2" xfId="35247"/>
    <cellStyle name="Normal 8 2 3 2 2 4 2 2 3" xfId="27236"/>
    <cellStyle name="Normal 8 2 3 2 2 4 2 3" xfId="15212"/>
    <cellStyle name="Normal 8 2 3 2 2 4 2 3 2" xfId="23227"/>
    <cellStyle name="Normal 8 2 3 2 2 4 2 3 2 2" xfId="37252"/>
    <cellStyle name="Normal 8 2 3 2 2 4 2 3 3" xfId="29241"/>
    <cellStyle name="Normal 8 2 3 2 2 4 2 4" xfId="17218"/>
    <cellStyle name="Normal 8 2 3 2 2 4 2 4 2" xfId="31243"/>
    <cellStyle name="Normal 8 2 3 2 2 4 2 5" xfId="19220"/>
    <cellStyle name="Normal 8 2 3 2 2 4 2 5 2" xfId="33245"/>
    <cellStyle name="Normal 8 2 3 2 2 4 2 6" xfId="25234"/>
    <cellStyle name="Normal 8 2 3 2 2 4 3" xfId="13196"/>
    <cellStyle name="Normal 8 2 3 2 2 4 3 2" xfId="21221"/>
    <cellStyle name="Normal 8 2 3 2 2 4 3 2 2" xfId="35246"/>
    <cellStyle name="Normal 8 2 3 2 2 4 3 3" xfId="27235"/>
    <cellStyle name="Normal 8 2 3 2 2 4 4" xfId="15211"/>
    <cellStyle name="Normal 8 2 3 2 2 4 4 2" xfId="23226"/>
    <cellStyle name="Normal 8 2 3 2 2 4 4 2 2" xfId="37251"/>
    <cellStyle name="Normal 8 2 3 2 2 4 4 3" xfId="29240"/>
    <cellStyle name="Normal 8 2 3 2 2 4 5" xfId="17217"/>
    <cellStyle name="Normal 8 2 3 2 2 4 5 2" xfId="31242"/>
    <cellStyle name="Normal 8 2 3 2 2 4 6" xfId="19219"/>
    <cellStyle name="Normal 8 2 3 2 2 4 6 2" xfId="33244"/>
    <cellStyle name="Normal 8 2 3 2 2 4 7" xfId="25233"/>
    <cellStyle name="Normal 8 2 3 2 2 5" xfId="2604"/>
    <cellStyle name="Normal 8 2 3 2 2 5 2" xfId="13198"/>
    <cellStyle name="Normal 8 2 3 2 2 5 2 2" xfId="21223"/>
    <cellStyle name="Normal 8 2 3 2 2 5 2 2 2" xfId="35248"/>
    <cellStyle name="Normal 8 2 3 2 2 5 2 3" xfId="27237"/>
    <cellStyle name="Normal 8 2 3 2 2 5 3" xfId="15213"/>
    <cellStyle name="Normal 8 2 3 2 2 5 3 2" xfId="23228"/>
    <cellStyle name="Normal 8 2 3 2 2 5 3 2 2" xfId="37253"/>
    <cellStyle name="Normal 8 2 3 2 2 5 3 3" xfId="29242"/>
    <cellStyle name="Normal 8 2 3 2 2 5 4" xfId="17219"/>
    <cellStyle name="Normal 8 2 3 2 2 5 4 2" xfId="31244"/>
    <cellStyle name="Normal 8 2 3 2 2 5 5" xfId="19221"/>
    <cellStyle name="Normal 8 2 3 2 2 5 5 2" xfId="33246"/>
    <cellStyle name="Normal 8 2 3 2 2 5 6" xfId="25235"/>
    <cellStyle name="Normal 8 2 3 2 2 6" xfId="13189"/>
    <cellStyle name="Normal 8 2 3 2 2 6 2" xfId="21214"/>
    <cellStyle name="Normal 8 2 3 2 2 6 2 2" xfId="35239"/>
    <cellStyle name="Normal 8 2 3 2 2 6 3" xfId="27228"/>
    <cellStyle name="Normal 8 2 3 2 2 7" xfId="15204"/>
    <cellStyle name="Normal 8 2 3 2 2 7 2" xfId="23219"/>
    <cellStyle name="Normal 8 2 3 2 2 7 2 2" xfId="37244"/>
    <cellStyle name="Normal 8 2 3 2 2 7 3" xfId="29233"/>
    <cellStyle name="Normal 8 2 3 2 2 8" xfId="17210"/>
    <cellStyle name="Normal 8 2 3 2 2 8 2" xfId="31235"/>
    <cellStyle name="Normal 8 2 3 2 2 9" xfId="19212"/>
    <cellStyle name="Normal 8 2 3 2 2 9 2" xfId="33237"/>
    <cellStyle name="Normal 8 2 3 2 3" xfId="2605"/>
    <cellStyle name="Normal 8 2 3 2 3 2" xfId="2606"/>
    <cellStyle name="Normal 8 2 3 2 3 2 2" xfId="2607"/>
    <cellStyle name="Normal 8 2 3 2 3 2 2 2" xfId="13201"/>
    <cellStyle name="Normal 8 2 3 2 3 2 2 2 2" xfId="21226"/>
    <cellStyle name="Normal 8 2 3 2 3 2 2 2 2 2" xfId="35251"/>
    <cellStyle name="Normal 8 2 3 2 3 2 2 2 3" xfId="27240"/>
    <cellStyle name="Normal 8 2 3 2 3 2 2 3" xfId="15216"/>
    <cellStyle name="Normal 8 2 3 2 3 2 2 3 2" xfId="23231"/>
    <cellStyle name="Normal 8 2 3 2 3 2 2 3 2 2" xfId="37256"/>
    <cellStyle name="Normal 8 2 3 2 3 2 2 3 3" xfId="29245"/>
    <cellStyle name="Normal 8 2 3 2 3 2 2 4" xfId="17222"/>
    <cellStyle name="Normal 8 2 3 2 3 2 2 4 2" xfId="31247"/>
    <cellStyle name="Normal 8 2 3 2 3 2 2 5" xfId="19224"/>
    <cellStyle name="Normal 8 2 3 2 3 2 2 5 2" xfId="33249"/>
    <cellStyle name="Normal 8 2 3 2 3 2 2 6" xfId="25238"/>
    <cellStyle name="Normal 8 2 3 2 3 2 3" xfId="13200"/>
    <cellStyle name="Normal 8 2 3 2 3 2 3 2" xfId="21225"/>
    <cellStyle name="Normal 8 2 3 2 3 2 3 2 2" xfId="35250"/>
    <cellStyle name="Normal 8 2 3 2 3 2 3 3" xfId="27239"/>
    <cellStyle name="Normal 8 2 3 2 3 2 4" xfId="15215"/>
    <cellStyle name="Normal 8 2 3 2 3 2 4 2" xfId="23230"/>
    <cellStyle name="Normal 8 2 3 2 3 2 4 2 2" xfId="37255"/>
    <cellStyle name="Normal 8 2 3 2 3 2 4 3" xfId="29244"/>
    <cellStyle name="Normal 8 2 3 2 3 2 5" xfId="17221"/>
    <cellStyle name="Normal 8 2 3 2 3 2 5 2" xfId="31246"/>
    <cellStyle name="Normal 8 2 3 2 3 2 6" xfId="19223"/>
    <cellStyle name="Normal 8 2 3 2 3 2 6 2" xfId="33248"/>
    <cellStyle name="Normal 8 2 3 2 3 2 7" xfId="25237"/>
    <cellStyle name="Normal 8 2 3 2 3 3" xfId="2608"/>
    <cellStyle name="Normal 8 2 3 2 3 3 2" xfId="13202"/>
    <cellStyle name="Normal 8 2 3 2 3 3 2 2" xfId="21227"/>
    <cellStyle name="Normal 8 2 3 2 3 3 2 2 2" xfId="35252"/>
    <cellStyle name="Normal 8 2 3 2 3 3 2 3" xfId="27241"/>
    <cellStyle name="Normal 8 2 3 2 3 3 3" xfId="15217"/>
    <cellStyle name="Normal 8 2 3 2 3 3 3 2" xfId="23232"/>
    <cellStyle name="Normal 8 2 3 2 3 3 3 2 2" xfId="37257"/>
    <cellStyle name="Normal 8 2 3 2 3 3 3 3" xfId="29246"/>
    <cellStyle name="Normal 8 2 3 2 3 3 4" xfId="17223"/>
    <cellStyle name="Normal 8 2 3 2 3 3 4 2" xfId="31248"/>
    <cellStyle name="Normal 8 2 3 2 3 3 5" xfId="19225"/>
    <cellStyle name="Normal 8 2 3 2 3 3 5 2" xfId="33250"/>
    <cellStyle name="Normal 8 2 3 2 3 3 6" xfId="25239"/>
    <cellStyle name="Normal 8 2 3 2 3 4" xfId="13199"/>
    <cellStyle name="Normal 8 2 3 2 3 4 2" xfId="21224"/>
    <cellStyle name="Normal 8 2 3 2 3 4 2 2" xfId="35249"/>
    <cellStyle name="Normal 8 2 3 2 3 4 3" xfId="27238"/>
    <cellStyle name="Normal 8 2 3 2 3 5" xfId="15214"/>
    <cellStyle name="Normal 8 2 3 2 3 5 2" xfId="23229"/>
    <cellStyle name="Normal 8 2 3 2 3 5 2 2" xfId="37254"/>
    <cellStyle name="Normal 8 2 3 2 3 5 3" xfId="29243"/>
    <cellStyle name="Normal 8 2 3 2 3 6" xfId="17220"/>
    <cellStyle name="Normal 8 2 3 2 3 6 2" xfId="31245"/>
    <cellStyle name="Normal 8 2 3 2 3 7" xfId="19222"/>
    <cellStyle name="Normal 8 2 3 2 3 7 2" xfId="33247"/>
    <cellStyle name="Normal 8 2 3 2 3 8" xfId="25236"/>
    <cellStyle name="Normal 8 2 3 2 4" xfId="2609"/>
    <cellStyle name="Normal 8 2 3 2 4 2" xfId="2610"/>
    <cellStyle name="Normal 8 2 3 2 4 2 2" xfId="13204"/>
    <cellStyle name="Normal 8 2 3 2 4 2 2 2" xfId="21229"/>
    <cellStyle name="Normal 8 2 3 2 4 2 2 2 2" xfId="35254"/>
    <cellStyle name="Normal 8 2 3 2 4 2 2 3" xfId="27243"/>
    <cellStyle name="Normal 8 2 3 2 4 2 3" xfId="15219"/>
    <cellStyle name="Normal 8 2 3 2 4 2 3 2" xfId="23234"/>
    <cellStyle name="Normal 8 2 3 2 4 2 3 2 2" xfId="37259"/>
    <cellStyle name="Normal 8 2 3 2 4 2 3 3" xfId="29248"/>
    <cellStyle name="Normal 8 2 3 2 4 2 4" xfId="17225"/>
    <cellStyle name="Normal 8 2 3 2 4 2 4 2" xfId="31250"/>
    <cellStyle name="Normal 8 2 3 2 4 2 5" xfId="19227"/>
    <cellStyle name="Normal 8 2 3 2 4 2 5 2" xfId="33252"/>
    <cellStyle name="Normal 8 2 3 2 4 2 6" xfId="25241"/>
    <cellStyle name="Normal 8 2 3 2 4 3" xfId="13203"/>
    <cellStyle name="Normal 8 2 3 2 4 3 2" xfId="21228"/>
    <cellStyle name="Normal 8 2 3 2 4 3 2 2" xfId="35253"/>
    <cellStyle name="Normal 8 2 3 2 4 3 3" xfId="27242"/>
    <cellStyle name="Normal 8 2 3 2 4 4" xfId="15218"/>
    <cellStyle name="Normal 8 2 3 2 4 4 2" xfId="23233"/>
    <cellStyle name="Normal 8 2 3 2 4 4 2 2" xfId="37258"/>
    <cellStyle name="Normal 8 2 3 2 4 4 3" xfId="29247"/>
    <cellStyle name="Normal 8 2 3 2 4 5" xfId="17224"/>
    <cellStyle name="Normal 8 2 3 2 4 5 2" xfId="31249"/>
    <cellStyle name="Normal 8 2 3 2 4 6" xfId="19226"/>
    <cellStyle name="Normal 8 2 3 2 4 6 2" xfId="33251"/>
    <cellStyle name="Normal 8 2 3 2 4 7" xfId="25240"/>
    <cellStyle name="Normal 8 2 3 2 5" xfId="2611"/>
    <cellStyle name="Normal 8 2 3 2 5 2" xfId="2612"/>
    <cellStyle name="Normal 8 2 3 2 5 2 2" xfId="13206"/>
    <cellStyle name="Normal 8 2 3 2 5 2 2 2" xfId="21231"/>
    <cellStyle name="Normal 8 2 3 2 5 2 2 2 2" xfId="35256"/>
    <cellStyle name="Normal 8 2 3 2 5 2 2 3" xfId="27245"/>
    <cellStyle name="Normal 8 2 3 2 5 2 3" xfId="15221"/>
    <cellStyle name="Normal 8 2 3 2 5 2 3 2" xfId="23236"/>
    <cellStyle name="Normal 8 2 3 2 5 2 3 2 2" xfId="37261"/>
    <cellStyle name="Normal 8 2 3 2 5 2 3 3" xfId="29250"/>
    <cellStyle name="Normal 8 2 3 2 5 2 4" xfId="17227"/>
    <cellStyle name="Normal 8 2 3 2 5 2 4 2" xfId="31252"/>
    <cellStyle name="Normal 8 2 3 2 5 2 5" xfId="19229"/>
    <cellStyle name="Normal 8 2 3 2 5 2 5 2" xfId="33254"/>
    <cellStyle name="Normal 8 2 3 2 5 2 6" xfId="25243"/>
    <cellStyle name="Normal 8 2 3 2 5 3" xfId="13205"/>
    <cellStyle name="Normal 8 2 3 2 5 3 2" xfId="21230"/>
    <cellStyle name="Normal 8 2 3 2 5 3 2 2" xfId="35255"/>
    <cellStyle name="Normal 8 2 3 2 5 3 3" xfId="27244"/>
    <cellStyle name="Normal 8 2 3 2 5 4" xfId="15220"/>
    <cellStyle name="Normal 8 2 3 2 5 4 2" xfId="23235"/>
    <cellStyle name="Normal 8 2 3 2 5 4 2 2" xfId="37260"/>
    <cellStyle name="Normal 8 2 3 2 5 4 3" xfId="29249"/>
    <cellStyle name="Normal 8 2 3 2 5 5" xfId="17226"/>
    <cellStyle name="Normal 8 2 3 2 5 5 2" xfId="31251"/>
    <cellStyle name="Normal 8 2 3 2 5 6" xfId="19228"/>
    <cellStyle name="Normal 8 2 3 2 5 6 2" xfId="33253"/>
    <cellStyle name="Normal 8 2 3 2 5 7" xfId="25242"/>
    <cellStyle name="Normal 8 2 3 2 6" xfId="2613"/>
    <cellStyle name="Normal 8 2 3 2 6 2" xfId="13207"/>
    <cellStyle name="Normal 8 2 3 2 6 2 2" xfId="21232"/>
    <cellStyle name="Normal 8 2 3 2 6 2 2 2" xfId="35257"/>
    <cellStyle name="Normal 8 2 3 2 6 2 3" xfId="27246"/>
    <cellStyle name="Normal 8 2 3 2 6 3" xfId="15222"/>
    <cellStyle name="Normal 8 2 3 2 6 3 2" xfId="23237"/>
    <cellStyle name="Normal 8 2 3 2 6 3 2 2" xfId="37262"/>
    <cellStyle name="Normal 8 2 3 2 6 3 3" xfId="29251"/>
    <cellStyle name="Normal 8 2 3 2 6 4" xfId="17228"/>
    <cellStyle name="Normal 8 2 3 2 6 4 2" xfId="31253"/>
    <cellStyle name="Normal 8 2 3 2 6 5" xfId="19230"/>
    <cellStyle name="Normal 8 2 3 2 6 5 2" xfId="33255"/>
    <cellStyle name="Normal 8 2 3 2 6 6" xfId="25244"/>
    <cellStyle name="Normal 8 2 3 2 7" xfId="13188"/>
    <cellStyle name="Normal 8 2 3 2 7 2" xfId="21213"/>
    <cellStyle name="Normal 8 2 3 2 7 2 2" xfId="35238"/>
    <cellStyle name="Normal 8 2 3 2 7 3" xfId="27227"/>
    <cellStyle name="Normal 8 2 3 2 8" xfId="15203"/>
    <cellStyle name="Normal 8 2 3 2 8 2" xfId="23218"/>
    <cellStyle name="Normal 8 2 3 2 8 2 2" xfId="37243"/>
    <cellStyle name="Normal 8 2 3 2 8 3" xfId="29232"/>
    <cellStyle name="Normal 8 2 3 2 9" xfId="17209"/>
    <cellStyle name="Normal 8 2 3 2 9 2" xfId="31234"/>
    <cellStyle name="Normal 8 2 3 3" xfId="2614"/>
    <cellStyle name="Normal 8 2 3 3 10" xfId="25245"/>
    <cellStyle name="Normal 8 2 3 3 2" xfId="2615"/>
    <cellStyle name="Normal 8 2 3 3 2 2" xfId="2616"/>
    <cellStyle name="Normal 8 2 3 3 2 2 2" xfId="2617"/>
    <cellStyle name="Normal 8 2 3 3 2 2 2 2" xfId="13211"/>
    <cellStyle name="Normal 8 2 3 3 2 2 2 2 2" xfId="21236"/>
    <cellStyle name="Normal 8 2 3 3 2 2 2 2 2 2" xfId="35261"/>
    <cellStyle name="Normal 8 2 3 3 2 2 2 2 3" xfId="27250"/>
    <cellStyle name="Normal 8 2 3 3 2 2 2 3" xfId="15226"/>
    <cellStyle name="Normal 8 2 3 3 2 2 2 3 2" xfId="23241"/>
    <cellStyle name="Normal 8 2 3 3 2 2 2 3 2 2" xfId="37266"/>
    <cellStyle name="Normal 8 2 3 3 2 2 2 3 3" xfId="29255"/>
    <cellStyle name="Normal 8 2 3 3 2 2 2 4" xfId="17232"/>
    <cellStyle name="Normal 8 2 3 3 2 2 2 4 2" xfId="31257"/>
    <cellStyle name="Normal 8 2 3 3 2 2 2 5" xfId="19234"/>
    <cellStyle name="Normal 8 2 3 3 2 2 2 5 2" xfId="33259"/>
    <cellStyle name="Normal 8 2 3 3 2 2 2 6" xfId="25248"/>
    <cellStyle name="Normal 8 2 3 3 2 2 3" xfId="13210"/>
    <cellStyle name="Normal 8 2 3 3 2 2 3 2" xfId="21235"/>
    <cellStyle name="Normal 8 2 3 3 2 2 3 2 2" xfId="35260"/>
    <cellStyle name="Normal 8 2 3 3 2 2 3 3" xfId="27249"/>
    <cellStyle name="Normal 8 2 3 3 2 2 4" xfId="15225"/>
    <cellStyle name="Normal 8 2 3 3 2 2 4 2" xfId="23240"/>
    <cellStyle name="Normal 8 2 3 3 2 2 4 2 2" xfId="37265"/>
    <cellStyle name="Normal 8 2 3 3 2 2 4 3" xfId="29254"/>
    <cellStyle name="Normal 8 2 3 3 2 2 5" xfId="17231"/>
    <cellStyle name="Normal 8 2 3 3 2 2 5 2" xfId="31256"/>
    <cellStyle name="Normal 8 2 3 3 2 2 6" xfId="19233"/>
    <cellStyle name="Normal 8 2 3 3 2 2 6 2" xfId="33258"/>
    <cellStyle name="Normal 8 2 3 3 2 2 7" xfId="25247"/>
    <cellStyle name="Normal 8 2 3 3 2 3" xfId="2618"/>
    <cellStyle name="Normal 8 2 3 3 2 3 2" xfId="13212"/>
    <cellStyle name="Normal 8 2 3 3 2 3 2 2" xfId="21237"/>
    <cellStyle name="Normal 8 2 3 3 2 3 2 2 2" xfId="35262"/>
    <cellStyle name="Normal 8 2 3 3 2 3 2 3" xfId="27251"/>
    <cellStyle name="Normal 8 2 3 3 2 3 3" xfId="15227"/>
    <cellStyle name="Normal 8 2 3 3 2 3 3 2" xfId="23242"/>
    <cellStyle name="Normal 8 2 3 3 2 3 3 2 2" xfId="37267"/>
    <cellStyle name="Normal 8 2 3 3 2 3 3 3" xfId="29256"/>
    <cellStyle name="Normal 8 2 3 3 2 3 4" xfId="17233"/>
    <cellStyle name="Normal 8 2 3 3 2 3 4 2" xfId="31258"/>
    <cellStyle name="Normal 8 2 3 3 2 3 5" xfId="19235"/>
    <cellStyle name="Normal 8 2 3 3 2 3 5 2" xfId="33260"/>
    <cellStyle name="Normal 8 2 3 3 2 3 6" xfId="25249"/>
    <cellStyle name="Normal 8 2 3 3 2 4" xfId="13209"/>
    <cellStyle name="Normal 8 2 3 3 2 4 2" xfId="21234"/>
    <cellStyle name="Normal 8 2 3 3 2 4 2 2" xfId="35259"/>
    <cellStyle name="Normal 8 2 3 3 2 4 3" xfId="27248"/>
    <cellStyle name="Normal 8 2 3 3 2 5" xfId="15224"/>
    <cellStyle name="Normal 8 2 3 3 2 5 2" xfId="23239"/>
    <cellStyle name="Normal 8 2 3 3 2 5 2 2" xfId="37264"/>
    <cellStyle name="Normal 8 2 3 3 2 5 3" xfId="29253"/>
    <cellStyle name="Normal 8 2 3 3 2 6" xfId="17230"/>
    <cellStyle name="Normal 8 2 3 3 2 6 2" xfId="31255"/>
    <cellStyle name="Normal 8 2 3 3 2 7" xfId="19232"/>
    <cellStyle name="Normal 8 2 3 3 2 7 2" xfId="33257"/>
    <cellStyle name="Normal 8 2 3 3 2 8" xfId="25246"/>
    <cellStyle name="Normal 8 2 3 3 3" xfId="2619"/>
    <cellStyle name="Normal 8 2 3 3 3 2" xfId="2620"/>
    <cellStyle name="Normal 8 2 3 3 3 2 2" xfId="13214"/>
    <cellStyle name="Normal 8 2 3 3 3 2 2 2" xfId="21239"/>
    <cellStyle name="Normal 8 2 3 3 3 2 2 2 2" xfId="35264"/>
    <cellStyle name="Normal 8 2 3 3 3 2 2 3" xfId="27253"/>
    <cellStyle name="Normal 8 2 3 3 3 2 3" xfId="15229"/>
    <cellStyle name="Normal 8 2 3 3 3 2 3 2" xfId="23244"/>
    <cellStyle name="Normal 8 2 3 3 3 2 3 2 2" xfId="37269"/>
    <cellStyle name="Normal 8 2 3 3 3 2 3 3" xfId="29258"/>
    <cellStyle name="Normal 8 2 3 3 3 2 4" xfId="17235"/>
    <cellStyle name="Normal 8 2 3 3 3 2 4 2" xfId="31260"/>
    <cellStyle name="Normal 8 2 3 3 3 2 5" xfId="19237"/>
    <cellStyle name="Normal 8 2 3 3 3 2 5 2" xfId="33262"/>
    <cellStyle name="Normal 8 2 3 3 3 2 6" xfId="25251"/>
    <cellStyle name="Normal 8 2 3 3 3 3" xfId="13213"/>
    <cellStyle name="Normal 8 2 3 3 3 3 2" xfId="21238"/>
    <cellStyle name="Normal 8 2 3 3 3 3 2 2" xfId="35263"/>
    <cellStyle name="Normal 8 2 3 3 3 3 3" xfId="27252"/>
    <cellStyle name="Normal 8 2 3 3 3 4" xfId="15228"/>
    <cellStyle name="Normal 8 2 3 3 3 4 2" xfId="23243"/>
    <cellStyle name="Normal 8 2 3 3 3 4 2 2" xfId="37268"/>
    <cellStyle name="Normal 8 2 3 3 3 4 3" xfId="29257"/>
    <cellStyle name="Normal 8 2 3 3 3 5" xfId="17234"/>
    <cellStyle name="Normal 8 2 3 3 3 5 2" xfId="31259"/>
    <cellStyle name="Normal 8 2 3 3 3 6" xfId="19236"/>
    <cellStyle name="Normal 8 2 3 3 3 6 2" xfId="33261"/>
    <cellStyle name="Normal 8 2 3 3 3 7" xfId="25250"/>
    <cellStyle name="Normal 8 2 3 3 4" xfId="2621"/>
    <cellStyle name="Normal 8 2 3 3 4 2" xfId="2622"/>
    <cellStyle name="Normal 8 2 3 3 4 2 2" xfId="13216"/>
    <cellStyle name="Normal 8 2 3 3 4 2 2 2" xfId="21241"/>
    <cellStyle name="Normal 8 2 3 3 4 2 2 2 2" xfId="35266"/>
    <cellStyle name="Normal 8 2 3 3 4 2 2 3" xfId="27255"/>
    <cellStyle name="Normal 8 2 3 3 4 2 3" xfId="15231"/>
    <cellStyle name="Normal 8 2 3 3 4 2 3 2" xfId="23246"/>
    <cellStyle name="Normal 8 2 3 3 4 2 3 2 2" xfId="37271"/>
    <cellStyle name="Normal 8 2 3 3 4 2 3 3" xfId="29260"/>
    <cellStyle name="Normal 8 2 3 3 4 2 4" xfId="17237"/>
    <cellStyle name="Normal 8 2 3 3 4 2 4 2" xfId="31262"/>
    <cellStyle name="Normal 8 2 3 3 4 2 5" xfId="19239"/>
    <cellStyle name="Normal 8 2 3 3 4 2 5 2" xfId="33264"/>
    <cellStyle name="Normal 8 2 3 3 4 2 6" xfId="25253"/>
    <cellStyle name="Normal 8 2 3 3 4 3" xfId="13215"/>
    <cellStyle name="Normal 8 2 3 3 4 3 2" xfId="21240"/>
    <cellStyle name="Normal 8 2 3 3 4 3 2 2" xfId="35265"/>
    <cellStyle name="Normal 8 2 3 3 4 3 3" xfId="27254"/>
    <cellStyle name="Normal 8 2 3 3 4 4" xfId="15230"/>
    <cellStyle name="Normal 8 2 3 3 4 4 2" xfId="23245"/>
    <cellStyle name="Normal 8 2 3 3 4 4 2 2" xfId="37270"/>
    <cellStyle name="Normal 8 2 3 3 4 4 3" xfId="29259"/>
    <cellStyle name="Normal 8 2 3 3 4 5" xfId="17236"/>
    <cellStyle name="Normal 8 2 3 3 4 5 2" xfId="31261"/>
    <cellStyle name="Normal 8 2 3 3 4 6" xfId="19238"/>
    <cellStyle name="Normal 8 2 3 3 4 6 2" xfId="33263"/>
    <cellStyle name="Normal 8 2 3 3 4 7" xfId="25252"/>
    <cellStyle name="Normal 8 2 3 3 5" xfId="2623"/>
    <cellStyle name="Normal 8 2 3 3 5 2" xfId="13217"/>
    <cellStyle name="Normal 8 2 3 3 5 2 2" xfId="21242"/>
    <cellStyle name="Normal 8 2 3 3 5 2 2 2" xfId="35267"/>
    <cellStyle name="Normal 8 2 3 3 5 2 3" xfId="27256"/>
    <cellStyle name="Normal 8 2 3 3 5 3" xfId="15232"/>
    <cellStyle name="Normal 8 2 3 3 5 3 2" xfId="23247"/>
    <cellStyle name="Normal 8 2 3 3 5 3 2 2" xfId="37272"/>
    <cellStyle name="Normal 8 2 3 3 5 3 3" xfId="29261"/>
    <cellStyle name="Normal 8 2 3 3 5 4" xfId="17238"/>
    <cellStyle name="Normal 8 2 3 3 5 4 2" xfId="31263"/>
    <cellStyle name="Normal 8 2 3 3 5 5" xfId="19240"/>
    <cellStyle name="Normal 8 2 3 3 5 5 2" xfId="33265"/>
    <cellStyle name="Normal 8 2 3 3 5 6" xfId="25254"/>
    <cellStyle name="Normal 8 2 3 3 6" xfId="13208"/>
    <cellStyle name="Normal 8 2 3 3 6 2" xfId="21233"/>
    <cellStyle name="Normal 8 2 3 3 6 2 2" xfId="35258"/>
    <cellStyle name="Normal 8 2 3 3 6 3" xfId="27247"/>
    <cellStyle name="Normal 8 2 3 3 7" xfId="15223"/>
    <cellStyle name="Normal 8 2 3 3 7 2" xfId="23238"/>
    <cellStyle name="Normal 8 2 3 3 7 2 2" xfId="37263"/>
    <cellStyle name="Normal 8 2 3 3 7 3" xfId="29252"/>
    <cellStyle name="Normal 8 2 3 3 8" xfId="17229"/>
    <cellStyle name="Normal 8 2 3 3 8 2" xfId="31254"/>
    <cellStyle name="Normal 8 2 3 3 9" xfId="19231"/>
    <cellStyle name="Normal 8 2 3 3 9 2" xfId="33256"/>
    <cellStyle name="Normal 8 2 3 4" xfId="2624"/>
    <cellStyle name="Normal 8 2 3 4 2" xfId="2625"/>
    <cellStyle name="Normal 8 2 3 4 2 2" xfId="2626"/>
    <cellStyle name="Normal 8 2 3 4 2 2 2" xfId="13220"/>
    <cellStyle name="Normal 8 2 3 4 2 2 2 2" xfId="21245"/>
    <cellStyle name="Normal 8 2 3 4 2 2 2 2 2" xfId="35270"/>
    <cellStyle name="Normal 8 2 3 4 2 2 2 3" xfId="27259"/>
    <cellStyle name="Normal 8 2 3 4 2 2 3" xfId="15235"/>
    <cellStyle name="Normal 8 2 3 4 2 2 3 2" xfId="23250"/>
    <cellStyle name="Normal 8 2 3 4 2 2 3 2 2" xfId="37275"/>
    <cellStyle name="Normal 8 2 3 4 2 2 3 3" xfId="29264"/>
    <cellStyle name="Normal 8 2 3 4 2 2 4" xfId="17241"/>
    <cellStyle name="Normal 8 2 3 4 2 2 4 2" xfId="31266"/>
    <cellStyle name="Normal 8 2 3 4 2 2 5" xfId="19243"/>
    <cellStyle name="Normal 8 2 3 4 2 2 5 2" xfId="33268"/>
    <cellStyle name="Normal 8 2 3 4 2 2 6" xfId="25257"/>
    <cellStyle name="Normal 8 2 3 4 2 3" xfId="13219"/>
    <cellStyle name="Normal 8 2 3 4 2 3 2" xfId="21244"/>
    <cellStyle name="Normal 8 2 3 4 2 3 2 2" xfId="35269"/>
    <cellStyle name="Normal 8 2 3 4 2 3 3" xfId="27258"/>
    <cellStyle name="Normal 8 2 3 4 2 4" xfId="15234"/>
    <cellStyle name="Normal 8 2 3 4 2 4 2" xfId="23249"/>
    <cellStyle name="Normal 8 2 3 4 2 4 2 2" xfId="37274"/>
    <cellStyle name="Normal 8 2 3 4 2 4 3" xfId="29263"/>
    <cellStyle name="Normal 8 2 3 4 2 5" xfId="17240"/>
    <cellStyle name="Normal 8 2 3 4 2 5 2" xfId="31265"/>
    <cellStyle name="Normal 8 2 3 4 2 6" xfId="19242"/>
    <cellStyle name="Normal 8 2 3 4 2 6 2" xfId="33267"/>
    <cellStyle name="Normal 8 2 3 4 2 7" xfId="25256"/>
    <cellStyle name="Normal 8 2 3 4 3" xfId="2627"/>
    <cellStyle name="Normal 8 2 3 4 3 2" xfId="13221"/>
    <cellStyle name="Normal 8 2 3 4 3 2 2" xfId="21246"/>
    <cellStyle name="Normal 8 2 3 4 3 2 2 2" xfId="35271"/>
    <cellStyle name="Normal 8 2 3 4 3 2 3" xfId="27260"/>
    <cellStyle name="Normal 8 2 3 4 3 3" xfId="15236"/>
    <cellStyle name="Normal 8 2 3 4 3 3 2" xfId="23251"/>
    <cellStyle name="Normal 8 2 3 4 3 3 2 2" xfId="37276"/>
    <cellStyle name="Normal 8 2 3 4 3 3 3" xfId="29265"/>
    <cellStyle name="Normal 8 2 3 4 3 4" xfId="17242"/>
    <cellStyle name="Normal 8 2 3 4 3 4 2" xfId="31267"/>
    <cellStyle name="Normal 8 2 3 4 3 5" xfId="19244"/>
    <cellStyle name="Normal 8 2 3 4 3 5 2" xfId="33269"/>
    <cellStyle name="Normal 8 2 3 4 3 6" xfId="25258"/>
    <cellStyle name="Normal 8 2 3 4 4" xfId="13218"/>
    <cellStyle name="Normal 8 2 3 4 4 2" xfId="21243"/>
    <cellStyle name="Normal 8 2 3 4 4 2 2" xfId="35268"/>
    <cellStyle name="Normal 8 2 3 4 4 3" xfId="27257"/>
    <cellStyle name="Normal 8 2 3 4 5" xfId="15233"/>
    <cellStyle name="Normal 8 2 3 4 5 2" xfId="23248"/>
    <cellStyle name="Normal 8 2 3 4 5 2 2" xfId="37273"/>
    <cellStyle name="Normal 8 2 3 4 5 3" xfId="29262"/>
    <cellStyle name="Normal 8 2 3 4 6" xfId="17239"/>
    <cellStyle name="Normal 8 2 3 4 6 2" xfId="31264"/>
    <cellStyle name="Normal 8 2 3 4 7" xfId="19241"/>
    <cellStyle name="Normal 8 2 3 4 7 2" xfId="33266"/>
    <cellStyle name="Normal 8 2 3 4 8" xfId="25255"/>
    <cellStyle name="Normal 8 2 3 5" xfId="2628"/>
    <cellStyle name="Normal 8 2 3 5 2" xfId="2629"/>
    <cellStyle name="Normal 8 2 3 5 2 2" xfId="13223"/>
    <cellStyle name="Normal 8 2 3 5 2 2 2" xfId="21248"/>
    <cellStyle name="Normal 8 2 3 5 2 2 2 2" xfId="35273"/>
    <cellStyle name="Normal 8 2 3 5 2 2 3" xfId="27262"/>
    <cellStyle name="Normal 8 2 3 5 2 3" xfId="15238"/>
    <cellStyle name="Normal 8 2 3 5 2 3 2" xfId="23253"/>
    <cellStyle name="Normal 8 2 3 5 2 3 2 2" xfId="37278"/>
    <cellStyle name="Normal 8 2 3 5 2 3 3" xfId="29267"/>
    <cellStyle name="Normal 8 2 3 5 2 4" xfId="17244"/>
    <cellStyle name="Normal 8 2 3 5 2 4 2" xfId="31269"/>
    <cellStyle name="Normal 8 2 3 5 2 5" xfId="19246"/>
    <cellStyle name="Normal 8 2 3 5 2 5 2" xfId="33271"/>
    <cellStyle name="Normal 8 2 3 5 2 6" xfId="25260"/>
    <cellStyle name="Normal 8 2 3 5 3" xfId="13222"/>
    <cellStyle name="Normal 8 2 3 5 3 2" xfId="21247"/>
    <cellStyle name="Normal 8 2 3 5 3 2 2" xfId="35272"/>
    <cellStyle name="Normal 8 2 3 5 3 3" xfId="27261"/>
    <cellStyle name="Normal 8 2 3 5 4" xfId="15237"/>
    <cellStyle name="Normal 8 2 3 5 4 2" xfId="23252"/>
    <cellStyle name="Normal 8 2 3 5 4 2 2" xfId="37277"/>
    <cellStyle name="Normal 8 2 3 5 4 3" xfId="29266"/>
    <cellStyle name="Normal 8 2 3 5 5" xfId="17243"/>
    <cellStyle name="Normal 8 2 3 5 5 2" xfId="31268"/>
    <cellStyle name="Normal 8 2 3 5 6" xfId="19245"/>
    <cellStyle name="Normal 8 2 3 5 6 2" xfId="33270"/>
    <cellStyle name="Normal 8 2 3 5 7" xfId="25259"/>
    <cellStyle name="Normal 8 2 3 6" xfId="2630"/>
    <cellStyle name="Normal 8 2 3 6 2" xfId="2631"/>
    <cellStyle name="Normal 8 2 3 6 2 2" xfId="13225"/>
    <cellStyle name="Normal 8 2 3 6 2 2 2" xfId="21250"/>
    <cellStyle name="Normal 8 2 3 6 2 2 2 2" xfId="35275"/>
    <cellStyle name="Normal 8 2 3 6 2 2 3" xfId="27264"/>
    <cellStyle name="Normal 8 2 3 6 2 3" xfId="15240"/>
    <cellStyle name="Normal 8 2 3 6 2 3 2" xfId="23255"/>
    <cellStyle name="Normal 8 2 3 6 2 3 2 2" xfId="37280"/>
    <cellStyle name="Normal 8 2 3 6 2 3 3" xfId="29269"/>
    <cellStyle name="Normal 8 2 3 6 2 4" xfId="17246"/>
    <cellStyle name="Normal 8 2 3 6 2 4 2" xfId="31271"/>
    <cellStyle name="Normal 8 2 3 6 2 5" xfId="19248"/>
    <cellStyle name="Normal 8 2 3 6 2 5 2" xfId="33273"/>
    <cellStyle name="Normal 8 2 3 6 2 6" xfId="25262"/>
    <cellStyle name="Normal 8 2 3 6 3" xfId="13224"/>
    <cellStyle name="Normal 8 2 3 6 3 2" xfId="21249"/>
    <cellStyle name="Normal 8 2 3 6 3 2 2" xfId="35274"/>
    <cellStyle name="Normal 8 2 3 6 3 3" xfId="27263"/>
    <cellStyle name="Normal 8 2 3 6 4" xfId="15239"/>
    <cellStyle name="Normal 8 2 3 6 4 2" xfId="23254"/>
    <cellStyle name="Normal 8 2 3 6 4 2 2" xfId="37279"/>
    <cellStyle name="Normal 8 2 3 6 4 3" xfId="29268"/>
    <cellStyle name="Normal 8 2 3 6 5" xfId="17245"/>
    <cellStyle name="Normal 8 2 3 6 5 2" xfId="31270"/>
    <cellStyle name="Normal 8 2 3 6 6" xfId="19247"/>
    <cellStyle name="Normal 8 2 3 6 6 2" xfId="33272"/>
    <cellStyle name="Normal 8 2 3 6 7" xfId="25261"/>
    <cellStyle name="Normal 8 2 3 7" xfId="2632"/>
    <cellStyle name="Normal 8 2 3 7 2" xfId="13226"/>
    <cellStyle name="Normal 8 2 3 7 2 2" xfId="21251"/>
    <cellStyle name="Normal 8 2 3 7 2 2 2" xfId="35276"/>
    <cellStyle name="Normal 8 2 3 7 2 3" xfId="27265"/>
    <cellStyle name="Normal 8 2 3 7 3" xfId="15241"/>
    <cellStyle name="Normal 8 2 3 7 3 2" xfId="23256"/>
    <cellStyle name="Normal 8 2 3 7 3 2 2" xfId="37281"/>
    <cellStyle name="Normal 8 2 3 7 3 3" xfId="29270"/>
    <cellStyle name="Normal 8 2 3 7 4" xfId="17247"/>
    <cellStyle name="Normal 8 2 3 7 4 2" xfId="31272"/>
    <cellStyle name="Normal 8 2 3 7 5" xfId="19249"/>
    <cellStyle name="Normal 8 2 3 7 5 2" xfId="33274"/>
    <cellStyle name="Normal 8 2 3 7 6" xfId="25263"/>
    <cellStyle name="Normal 8 2 3 8" xfId="13187"/>
    <cellStyle name="Normal 8 2 3 8 2" xfId="21212"/>
    <cellStyle name="Normal 8 2 3 8 2 2" xfId="35237"/>
    <cellStyle name="Normal 8 2 3 8 3" xfId="27226"/>
    <cellStyle name="Normal 8 2 3 9" xfId="15202"/>
    <cellStyle name="Normal 8 2 3 9 2" xfId="23217"/>
    <cellStyle name="Normal 8 2 3 9 2 2" xfId="37242"/>
    <cellStyle name="Normal 8 2 3 9 3" xfId="29231"/>
    <cellStyle name="Normal 8 2 4" xfId="2633"/>
    <cellStyle name="Normal 8 2 4 10" xfId="19250"/>
    <cellStyle name="Normal 8 2 4 10 2" xfId="33275"/>
    <cellStyle name="Normal 8 2 4 11" xfId="25264"/>
    <cellStyle name="Normal 8 2 4 2" xfId="2634"/>
    <cellStyle name="Normal 8 2 4 2 10" xfId="25265"/>
    <cellStyle name="Normal 8 2 4 2 2" xfId="2635"/>
    <cellStyle name="Normal 8 2 4 2 2 2" xfId="2636"/>
    <cellStyle name="Normal 8 2 4 2 2 2 2" xfId="2637"/>
    <cellStyle name="Normal 8 2 4 2 2 2 2 2" xfId="13231"/>
    <cellStyle name="Normal 8 2 4 2 2 2 2 2 2" xfId="21256"/>
    <cellStyle name="Normal 8 2 4 2 2 2 2 2 2 2" xfId="35281"/>
    <cellStyle name="Normal 8 2 4 2 2 2 2 2 3" xfId="27270"/>
    <cellStyle name="Normal 8 2 4 2 2 2 2 3" xfId="15246"/>
    <cellStyle name="Normal 8 2 4 2 2 2 2 3 2" xfId="23261"/>
    <cellStyle name="Normal 8 2 4 2 2 2 2 3 2 2" xfId="37286"/>
    <cellStyle name="Normal 8 2 4 2 2 2 2 3 3" xfId="29275"/>
    <cellStyle name="Normal 8 2 4 2 2 2 2 4" xfId="17252"/>
    <cellStyle name="Normal 8 2 4 2 2 2 2 4 2" xfId="31277"/>
    <cellStyle name="Normal 8 2 4 2 2 2 2 5" xfId="19254"/>
    <cellStyle name="Normal 8 2 4 2 2 2 2 5 2" xfId="33279"/>
    <cellStyle name="Normal 8 2 4 2 2 2 2 6" xfId="25268"/>
    <cellStyle name="Normal 8 2 4 2 2 2 3" xfId="13230"/>
    <cellStyle name="Normal 8 2 4 2 2 2 3 2" xfId="21255"/>
    <cellStyle name="Normal 8 2 4 2 2 2 3 2 2" xfId="35280"/>
    <cellStyle name="Normal 8 2 4 2 2 2 3 3" xfId="27269"/>
    <cellStyle name="Normal 8 2 4 2 2 2 4" xfId="15245"/>
    <cellStyle name="Normal 8 2 4 2 2 2 4 2" xfId="23260"/>
    <cellStyle name="Normal 8 2 4 2 2 2 4 2 2" xfId="37285"/>
    <cellStyle name="Normal 8 2 4 2 2 2 4 3" xfId="29274"/>
    <cellStyle name="Normal 8 2 4 2 2 2 5" xfId="17251"/>
    <cellStyle name="Normal 8 2 4 2 2 2 5 2" xfId="31276"/>
    <cellStyle name="Normal 8 2 4 2 2 2 6" xfId="19253"/>
    <cellStyle name="Normal 8 2 4 2 2 2 6 2" xfId="33278"/>
    <cellStyle name="Normal 8 2 4 2 2 2 7" xfId="25267"/>
    <cellStyle name="Normal 8 2 4 2 2 3" xfId="2638"/>
    <cellStyle name="Normal 8 2 4 2 2 3 2" xfId="13232"/>
    <cellStyle name="Normal 8 2 4 2 2 3 2 2" xfId="21257"/>
    <cellStyle name="Normal 8 2 4 2 2 3 2 2 2" xfId="35282"/>
    <cellStyle name="Normal 8 2 4 2 2 3 2 3" xfId="27271"/>
    <cellStyle name="Normal 8 2 4 2 2 3 3" xfId="15247"/>
    <cellStyle name="Normal 8 2 4 2 2 3 3 2" xfId="23262"/>
    <cellStyle name="Normal 8 2 4 2 2 3 3 2 2" xfId="37287"/>
    <cellStyle name="Normal 8 2 4 2 2 3 3 3" xfId="29276"/>
    <cellStyle name="Normal 8 2 4 2 2 3 4" xfId="17253"/>
    <cellStyle name="Normal 8 2 4 2 2 3 4 2" xfId="31278"/>
    <cellStyle name="Normal 8 2 4 2 2 3 5" xfId="19255"/>
    <cellStyle name="Normal 8 2 4 2 2 3 5 2" xfId="33280"/>
    <cellStyle name="Normal 8 2 4 2 2 3 6" xfId="25269"/>
    <cellStyle name="Normal 8 2 4 2 2 4" xfId="13229"/>
    <cellStyle name="Normal 8 2 4 2 2 4 2" xfId="21254"/>
    <cellStyle name="Normal 8 2 4 2 2 4 2 2" xfId="35279"/>
    <cellStyle name="Normal 8 2 4 2 2 4 3" xfId="27268"/>
    <cellStyle name="Normal 8 2 4 2 2 5" xfId="15244"/>
    <cellStyle name="Normal 8 2 4 2 2 5 2" xfId="23259"/>
    <cellStyle name="Normal 8 2 4 2 2 5 2 2" xfId="37284"/>
    <cellStyle name="Normal 8 2 4 2 2 5 3" xfId="29273"/>
    <cellStyle name="Normal 8 2 4 2 2 6" xfId="17250"/>
    <cellStyle name="Normal 8 2 4 2 2 6 2" xfId="31275"/>
    <cellStyle name="Normal 8 2 4 2 2 7" xfId="19252"/>
    <cellStyle name="Normal 8 2 4 2 2 7 2" xfId="33277"/>
    <cellStyle name="Normal 8 2 4 2 2 8" xfId="25266"/>
    <cellStyle name="Normal 8 2 4 2 3" xfId="2639"/>
    <cellStyle name="Normal 8 2 4 2 3 2" xfId="2640"/>
    <cellStyle name="Normal 8 2 4 2 3 2 2" xfId="13234"/>
    <cellStyle name="Normal 8 2 4 2 3 2 2 2" xfId="21259"/>
    <cellStyle name="Normal 8 2 4 2 3 2 2 2 2" xfId="35284"/>
    <cellStyle name="Normal 8 2 4 2 3 2 2 3" xfId="27273"/>
    <cellStyle name="Normal 8 2 4 2 3 2 3" xfId="15249"/>
    <cellStyle name="Normal 8 2 4 2 3 2 3 2" xfId="23264"/>
    <cellStyle name="Normal 8 2 4 2 3 2 3 2 2" xfId="37289"/>
    <cellStyle name="Normal 8 2 4 2 3 2 3 3" xfId="29278"/>
    <cellStyle name="Normal 8 2 4 2 3 2 4" xfId="17255"/>
    <cellStyle name="Normal 8 2 4 2 3 2 4 2" xfId="31280"/>
    <cellStyle name="Normal 8 2 4 2 3 2 5" xfId="19257"/>
    <cellStyle name="Normal 8 2 4 2 3 2 5 2" xfId="33282"/>
    <cellStyle name="Normal 8 2 4 2 3 2 6" xfId="25271"/>
    <cellStyle name="Normal 8 2 4 2 3 3" xfId="13233"/>
    <cellStyle name="Normal 8 2 4 2 3 3 2" xfId="21258"/>
    <cellStyle name="Normal 8 2 4 2 3 3 2 2" xfId="35283"/>
    <cellStyle name="Normal 8 2 4 2 3 3 3" xfId="27272"/>
    <cellStyle name="Normal 8 2 4 2 3 4" xfId="15248"/>
    <cellStyle name="Normal 8 2 4 2 3 4 2" xfId="23263"/>
    <cellStyle name="Normal 8 2 4 2 3 4 2 2" xfId="37288"/>
    <cellStyle name="Normal 8 2 4 2 3 4 3" xfId="29277"/>
    <cellStyle name="Normal 8 2 4 2 3 5" xfId="17254"/>
    <cellStyle name="Normal 8 2 4 2 3 5 2" xfId="31279"/>
    <cellStyle name="Normal 8 2 4 2 3 6" xfId="19256"/>
    <cellStyle name="Normal 8 2 4 2 3 6 2" xfId="33281"/>
    <cellStyle name="Normal 8 2 4 2 3 7" xfId="25270"/>
    <cellStyle name="Normal 8 2 4 2 4" xfId="2641"/>
    <cellStyle name="Normal 8 2 4 2 4 2" xfId="2642"/>
    <cellStyle name="Normal 8 2 4 2 4 2 2" xfId="13236"/>
    <cellStyle name="Normal 8 2 4 2 4 2 2 2" xfId="21261"/>
    <cellStyle name="Normal 8 2 4 2 4 2 2 2 2" xfId="35286"/>
    <cellStyle name="Normal 8 2 4 2 4 2 2 3" xfId="27275"/>
    <cellStyle name="Normal 8 2 4 2 4 2 3" xfId="15251"/>
    <cellStyle name="Normal 8 2 4 2 4 2 3 2" xfId="23266"/>
    <cellStyle name="Normal 8 2 4 2 4 2 3 2 2" xfId="37291"/>
    <cellStyle name="Normal 8 2 4 2 4 2 3 3" xfId="29280"/>
    <cellStyle name="Normal 8 2 4 2 4 2 4" xfId="17257"/>
    <cellStyle name="Normal 8 2 4 2 4 2 4 2" xfId="31282"/>
    <cellStyle name="Normal 8 2 4 2 4 2 5" xfId="19259"/>
    <cellStyle name="Normal 8 2 4 2 4 2 5 2" xfId="33284"/>
    <cellStyle name="Normal 8 2 4 2 4 2 6" xfId="25273"/>
    <cellStyle name="Normal 8 2 4 2 4 3" xfId="13235"/>
    <cellStyle name="Normal 8 2 4 2 4 3 2" xfId="21260"/>
    <cellStyle name="Normal 8 2 4 2 4 3 2 2" xfId="35285"/>
    <cellStyle name="Normal 8 2 4 2 4 3 3" xfId="27274"/>
    <cellStyle name="Normal 8 2 4 2 4 4" xfId="15250"/>
    <cellStyle name="Normal 8 2 4 2 4 4 2" xfId="23265"/>
    <cellStyle name="Normal 8 2 4 2 4 4 2 2" xfId="37290"/>
    <cellStyle name="Normal 8 2 4 2 4 4 3" xfId="29279"/>
    <cellStyle name="Normal 8 2 4 2 4 5" xfId="17256"/>
    <cellStyle name="Normal 8 2 4 2 4 5 2" xfId="31281"/>
    <cellStyle name="Normal 8 2 4 2 4 6" xfId="19258"/>
    <cellStyle name="Normal 8 2 4 2 4 6 2" xfId="33283"/>
    <cellStyle name="Normal 8 2 4 2 4 7" xfId="25272"/>
    <cellStyle name="Normal 8 2 4 2 5" xfId="2643"/>
    <cellStyle name="Normal 8 2 4 2 5 2" xfId="13237"/>
    <cellStyle name="Normal 8 2 4 2 5 2 2" xfId="21262"/>
    <cellStyle name="Normal 8 2 4 2 5 2 2 2" xfId="35287"/>
    <cellStyle name="Normal 8 2 4 2 5 2 3" xfId="27276"/>
    <cellStyle name="Normal 8 2 4 2 5 3" xfId="15252"/>
    <cellStyle name="Normal 8 2 4 2 5 3 2" xfId="23267"/>
    <cellStyle name="Normal 8 2 4 2 5 3 2 2" xfId="37292"/>
    <cellStyle name="Normal 8 2 4 2 5 3 3" xfId="29281"/>
    <cellStyle name="Normal 8 2 4 2 5 4" xfId="17258"/>
    <cellStyle name="Normal 8 2 4 2 5 4 2" xfId="31283"/>
    <cellStyle name="Normal 8 2 4 2 5 5" xfId="19260"/>
    <cellStyle name="Normal 8 2 4 2 5 5 2" xfId="33285"/>
    <cellStyle name="Normal 8 2 4 2 5 6" xfId="25274"/>
    <cellStyle name="Normal 8 2 4 2 6" xfId="13228"/>
    <cellStyle name="Normal 8 2 4 2 6 2" xfId="21253"/>
    <cellStyle name="Normal 8 2 4 2 6 2 2" xfId="35278"/>
    <cellStyle name="Normal 8 2 4 2 6 3" xfId="27267"/>
    <cellStyle name="Normal 8 2 4 2 7" xfId="15243"/>
    <cellStyle name="Normal 8 2 4 2 7 2" xfId="23258"/>
    <cellStyle name="Normal 8 2 4 2 7 2 2" xfId="37283"/>
    <cellStyle name="Normal 8 2 4 2 7 3" xfId="29272"/>
    <cellStyle name="Normal 8 2 4 2 8" xfId="17249"/>
    <cellStyle name="Normal 8 2 4 2 8 2" xfId="31274"/>
    <cellStyle name="Normal 8 2 4 2 9" xfId="19251"/>
    <cellStyle name="Normal 8 2 4 2 9 2" xfId="33276"/>
    <cellStyle name="Normal 8 2 4 3" xfId="2644"/>
    <cellStyle name="Normal 8 2 4 3 2" xfId="2645"/>
    <cellStyle name="Normal 8 2 4 3 2 2" xfId="2646"/>
    <cellStyle name="Normal 8 2 4 3 2 2 2" xfId="13240"/>
    <cellStyle name="Normal 8 2 4 3 2 2 2 2" xfId="21265"/>
    <cellStyle name="Normal 8 2 4 3 2 2 2 2 2" xfId="35290"/>
    <cellStyle name="Normal 8 2 4 3 2 2 2 3" xfId="27279"/>
    <cellStyle name="Normal 8 2 4 3 2 2 3" xfId="15255"/>
    <cellStyle name="Normal 8 2 4 3 2 2 3 2" xfId="23270"/>
    <cellStyle name="Normal 8 2 4 3 2 2 3 2 2" xfId="37295"/>
    <cellStyle name="Normal 8 2 4 3 2 2 3 3" xfId="29284"/>
    <cellStyle name="Normal 8 2 4 3 2 2 4" xfId="17261"/>
    <cellStyle name="Normal 8 2 4 3 2 2 4 2" xfId="31286"/>
    <cellStyle name="Normal 8 2 4 3 2 2 5" xfId="19263"/>
    <cellStyle name="Normal 8 2 4 3 2 2 5 2" xfId="33288"/>
    <cellStyle name="Normal 8 2 4 3 2 2 6" xfId="25277"/>
    <cellStyle name="Normal 8 2 4 3 2 3" xfId="13239"/>
    <cellStyle name="Normal 8 2 4 3 2 3 2" xfId="21264"/>
    <cellStyle name="Normal 8 2 4 3 2 3 2 2" xfId="35289"/>
    <cellStyle name="Normal 8 2 4 3 2 3 3" xfId="27278"/>
    <cellStyle name="Normal 8 2 4 3 2 4" xfId="15254"/>
    <cellStyle name="Normal 8 2 4 3 2 4 2" xfId="23269"/>
    <cellStyle name="Normal 8 2 4 3 2 4 2 2" xfId="37294"/>
    <cellStyle name="Normal 8 2 4 3 2 4 3" xfId="29283"/>
    <cellStyle name="Normal 8 2 4 3 2 5" xfId="17260"/>
    <cellStyle name="Normal 8 2 4 3 2 5 2" xfId="31285"/>
    <cellStyle name="Normal 8 2 4 3 2 6" xfId="19262"/>
    <cellStyle name="Normal 8 2 4 3 2 6 2" xfId="33287"/>
    <cellStyle name="Normal 8 2 4 3 2 7" xfId="25276"/>
    <cellStyle name="Normal 8 2 4 3 3" xfId="2647"/>
    <cellStyle name="Normal 8 2 4 3 3 2" xfId="13241"/>
    <cellStyle name="Normal 8 2 4 3 3 2 2" xfId="21266"/>
    <cellStyle name="Normal 8 2 4 3 3 2 2 2" xfId="35291"/>
    <cellStyle name="Normal 8 2 4 3 3 2 3" xfId="27280"/>
    <cellStyle name="Normal 8 2 4 3 3 3" xfId="15256"/>
    <cellStyle name="Normal 8 2 4 3 3 3 2" xfId="23271"/>
    <cellStyle name="Normal 8 2 4 3 3 3 2 2" xfId="37296"/>
    <cellStyle name="Normal 8 2 4 3 3 3 3" xfId="29285"/>
    <cellStyle name="Normal 8 2 4 3 3 4" xfId="17262"/>
    <cellStyle name="Normal 8 2 4 3 3 4 2" xfId="31287"/>
    <cellStyle name="Normal 8 2 4 3 3 5" xfId="19264"/>
    <cellStyle name="Normal 8 2 4 3 3 5 2" xfId="33289"/>
    <cellStyle name="Normal 8 2 4 3 3 6" xfId="25278"/>
    <cellStyle name="Normal 8 2 4 3 4" xfId="13238"/>
    <cellStyle name="Normal 8 2 4 3 4 2" xfId="21263"/>
    <cellStyle name="Normal 8 2 4 3 4 2 2" xfId="35288"/>
    <cellStyle name="Normal 8 2 4 3 4 3" xfId="27277"/>
    <cellStyle name="Normal 8 2 4 3 5" xfId="15253"/>
    <cellStyle name="Normal 8 2 4 3 5 2" xfId="23268"/>
    <cellStyle name="Normal 8 2 4 3 5 2 2" xfId="37293"/>
    <cellStyle name="Normal 8 2 4 3 5 3" xfId="29282"/>
    <cellStyle name="Normal 8 2 4 3 6" xfId="17259"/>
    <cellStyle name="Normal 8 2 4 3 6 2" xfId="31284"/>
    <cellStyle name="Normal 8 2 4 3 7" xfId="19261"/>
    <cellStyle name="Normal 8 2 4 3 7 2" xfId="33286"/>
    <cellStyle name="Normal 8 2 4 3 8" xfId="25275"/>
    <cellStyle name="Normal 8 2 4 4" xfId="2648"/>
    <cellStyle name="Normal 8 2 4 4 2" xfId="2649"/>
    <cellStyle name="Normal 8 2 4 4 2 2" xfId="13243"/>
    <cellStyle name="Normal 8 2 4 4 2 2 2" xfId="21268"/>
    <cellStyle name="Normal 8 2 4 4 2 2 2 2" xfId="35293"/>
    <cellStyle name="Normal 8 2 4 4 2 2 3" xfId="27282"/>
    <cellStyle name="Normal 8 2 4 4 2 3" xfId="15258"/>
    <cellStyle name="Normal 8 2 4 4 2 3 2" xfId="23273"/>
    <cellStyle name="Normal 8 2 4 4 2 3 2 2" xfId="37298"/>
    <cellStyle name="Normal 8 2 4 4 2 3 3" xfId="29287"/>
    <cellStyle name="Normal 8 2 4 4 2 4" xfId="17264"/>
    <cellStyle name="Normal 8 2 4 4 2 4 2" xfId="31289"/>
    <cellStyle name="Normal 8 2 4 4 2 5" xfId="19266"/>
    <cellStyle name="Normal 8 2 4 4 2 5 2" xfId="33291"/>
    <cellStyle name="Normal 8 2 4 4 2 6" xfId="25280"/>
    <cellStyle name="Normal 8 2 4 4 3" xfId="13242"/>
    <cellStyle name="Normal 8 2 4 4 3 2" xfId="21267"/>
    <cellStyle name="Normal 8 2 4 4 3 2 2" xfId="35292"/>
    <cellStyle name="Normal 8 2 4 4 3 3" xfId="27281"/>
    <cellStyle name="Normal 8 2 4 4 4" xfId="15257"/>
    <cellStyle name="Normal 8 2 4 4 4 2" xfId="23272"/>
    <cellStyle name="Normal 8 2 4 4 4 2 2" xfId="37297"/>
    <cellStyle name="Normal 8 2 4 4 4 3" xfId="29286"/>
    <cellStyle name="Normal 8 2 4 4 5" xfId="17263"/>
    <cellStyle name="Normal 8 2 4 4 5 2" xfId="31288"/>
    <cellStyle name="Normal 8 2 4 4 6" xfId="19265"/>
    <cellStyle name="Normal 8 2 4 4 6 2" xfId="33290"/>
    <cellStyle name="Normal 8 2 4 4 7" xfId="25279"/>
    <cellStyle name="Normal 8 2 4 5" xfId="2650"/>
    <cellStyle name="Normal 8 2 4 5 2" xfId="2651"/>
    <cellStyle name="Normal 8 2 4 5 2 2" xfId="13245"/>
    <cellStyle name="Normal 8 2 4 5 2 2 2" xfId="21270"/>
    <cellStyle name="Normal 8 2 4 5 2 2 2 2" xfId="35295"/>
    <cellStyle name="Normal 8 2 4 5 2 2 3" xfId="27284"/>
    <cellStyle name="Normal 8 2 4 5 2 3" xfId="15260"/>
    <cellStyle name="Normal 8 2 4 5 2 3 2" xfId="23275"/>
    <cellStyle name="Normal 8 2 4 5 2 3 2 2" xfId="37300"/>
    <cellStyle name="Normal 8 2 4 5 2 3 3" xfId="29289"/>
    <cellStyle name="Normal 8 2 4 5 2 4" xfId="17266"/>
    <cellStyle name="Normal 8 2 4 5 2 4 2" xfId="31291"/>
    <cellStyle name="Normal 8 2 4 5 2 5" xfId="19268"/>
    <cellStyle name="Normal 8 2 4 5 2 5 2" xfId="33293"/>
    <cellStyle name="Normal 8 2 4 5 2 6" xfId="25282"/>
    <cellStyle name="Normal 8 2 4 5 3" xfId="13244"/>
    <cellStyle name="Normal 8 2 4 5 3 2" xfId="21269"/>
    <cellStyle name="Normal 8 2 4 5 3 2 2" xfId="35294"/>
    <cellStyle name="Normal 8 2 4 5 3 3" xfId="27283"/>
    <cellStyle name="Normal 8 2 4 5 4" xfId="15259"/>
    <cellStyle name="Normal 8 2 4 5 4 2" xfId="23274"/>
    <cellStyle name="Normal 8 2 4 5 4 2 2" xfId="37299"/>
    <cellStyle name="Normal 8 2 4 5 4 3" xfId="29288"/>
    <cellStyle name="Normal 8 2 4 5 5" xfId="17265"/>
    <cellStyle name="Normal 8 2 4 5 5 2" xfId="31290"/>
    <cellStyle name="Normal 8 2 4 5 6" xfId="19267"/>
    <cellStyle name="Normal 8 2 4 5 6 2" xfId="33292"/>
    <cellStyle name="Normal 8 2 4 5 7" xfId="25281"/>
    <cellStyle name="Normal 8 2 4 6" xfId="2652"/>
    <cellStyle name="Normal 8 2 4 6 2" xfId="13246"/>
    <cellStyle name="Normal 8 2 4 6 2 2" xfId="21271"/>
    <cellStyle name="Normal 8 2 4 6 2 2 2" xfId="35296"/>
    <cellStyle name="Normal 8 2 4 6 2 3" xfId="27285"/>
    <cellStyle name="Normal 8 2 4 6 3" xfId="15261"/>
    <cellStyle name="Normal 8 2 4 6 3 2" xfId="23276"/>
    <cellStyle name="Normal 8 2 4 6 3 2 2" xfId="37301"/>
    <cellStyle name="Normal 8 2 4 6 3 3" xfId="29290"/>
    <cellStyle name="Normal 8 2 4 6 4" xfId="17267"/>
    <cellStyle name="Normal 8 2 4 6 4 2" xfId="31292"/>
    <cellStyle name="Normal 8 2 4 6 5" xfId="19269"/>
    <cellStyle name="Normal 8 2 4 6 5 2" xfId="33294"/>
    <cellStyle name="Normal 8 2 4 6 6" xfId="25283"/>
    <cellStyle name="Normal 8 2 4 7" xfId="13227"/>
    <cellStyle name="Normal 8 2 4 7 2" xfId="21252"/>
    <cellStyle name="Normal 8 2 4 7 2 2" xfId="35277"/>
    <cellStyle name="Normal 8 2 4 7 3" xfId="27266"/>
    <cellStyle name="Normal 8 2 4 8" xfId="15242"/>
    <cellStyle name="Normal 8 2 4 8 2" xfId="23257"/>
    <cellStyle name="Normal 8 2 4 8 2 2" xfId="37282"/>
    <cellStyle name="Normal 8 2 4 8 3" xfId="29271"/>
    <cellStyle name="Normal 8 2 4 9" xfId="17248"/>
    <cellStyle name="Normal 8 2 4 9 2" xfId="31273"/>
    <cellStyle name="Normal 8 2 5" xfId="2653"/>
    <cellStyle name="Normal 8 2 5 10" xfId="25284"/>
    <cellStyle name="Normal 8 2 5 2" xfId="2654"/>
    <cellStyle name="Normal 8 2 5 2 2" xfId="2655"/>
    <cellStyle name="Normal 8 2 5 2 2 2" xfId="2656"/>
    <cellStyle name="Normal 8 2 5 2 2 2 2" xfId="13250"/>
    <cellStyle name="Normal 8 2 5 2 2 2 2 2" xfId="21275"/>
    <cellStyle name="Normal 8 2 5 2 2 2 2 2 2" xfId="35300"/>
    <cellStyle name="Normal 8 2 5 2 2 2 2 3" xfId="27289"/>
    <cellStyle name="Normal 8 2 5 2 2 2 3" xfId="15265"/>
    <cellStyle name="Normal 8 2 5 2 2 2 3 2" xfId="23280"/>
    <cellStyle name="Normal 8 2 5 2 2 2 3 2 2" xfId="37305"/>
    <cellStyle name="Normal 8 2 5 2 2 2 3 3" xfId="29294"/>
    <cellStyle name="Normal 8 2 5 2 2 2 4" xfId="17271"/>
    <cellStyle name="Normal 8 2 5 2 2 2 4 2" xfId="31296"/>
    <cellStyle name="Normal 8 2 5 2 2 2 5" xfId="19273"/>
    <cellStyle name="Normal 8 2 5 2 2 2 5 2" xfId="33298"/>
    <cellStyle name="Normal 8 2 5 2 2 2 6" xfId="25287"/>
    <cellStyle name="Normal 8 2 5 2 2 3" xfId="13249"/>
    <cellStyle name="Normal 8 2 5 2 2 3 2" xfId="21274"/>
    <cellStyle name="Normal 8 2 5 2 2 3 2 2" xfId="35299"/>
    <cellStyle name="Normal 8 2 5 2 2 3 3" xfId="27288"/>
    <cellStyle name="Normal 8 2 5 2 2 4" xfId="15264"/>
    <cellStyle name="Normal 8 2 5 2 2 4 2" xfId="23279"/>
    <cellStyle name="Normal 8 2 5 2 2 4 2 2" xfId="37304"/>
    <cellStyle name="Normal 8 2 5 2 2 4 3" xfId="29293"/>
    <cellStyle name="Normal 8 2 5 2 2 5" xfId="17270"/>
    <cellStyle name="Normal 8 2 5 2 2 5 2" xfId="31295"/>
    <cellStyle name="Normal 8 2 5 2 2 6" xfId="19272"/>
    <cellStyle name="Normal 8 2 5 2 2 6 2" xfId="33297"/>
    <cellStyle name="Normal 8 2 5 2 2 7" xfId="25286"/>
    <cellStyle name="Normal 8 2 5 2 3" xfId="2657"/>
    <cellStyle name="Normal 8 2 5 2 3 2" xfId="13251"/>
    <cellStyle name="Normal 8 2 5 2 3 2 2" xfId="21276"/>
    <cellStyle name="Normal 8 2 5 2 3 2 2 2" xfId="35301"/>
    <cellStyle name="Normal 8 2 5 2 3 2 3" xfId="27290"/>
    <cellStyle name="Normal 8 2 5 2 3 3" xfId="15266"/>
    <cellStyle name="Normal 8 2 5 2 3 3 2" xfId="23281"/>
    <cellStyle name="Normal 8 2 5 2 3 3 2 2" xfId="37306"/>
    <cellStyle name="Normal 8 2 5 2 3 3 3" xfId="29295"/>
    <cellStyle name="Normal 8 2 5 2 3 4" xfId="17272"/>
    <cellStyle name="Normal 8 2 5 2 3 4 2" xfId="31297"/>
    <cellStyle name="Normal 8 2 5 2 3 5" xfId="19274"/>
    <cellStyle name="Normal 8 2 5 2 3 5 2" xfId="33299"/>
    <cellStyle name="Normal 8 2 5 2 3 6" xfId="25288"/>
    <cellStyle name="Normal 8 2 5 2 4" xfId="13248"/>
    <cellStyle name="Normal 8 2 5 2 4 2" xfId="21273"/>
    <cellStyle name="Normal 8 2 5 2 4 2 2" xfId="35298"/>
    <cellStyle name="Normal 8 2 5 2 4 3" xfId="27287"/>
    <cellStyle name="Normal 8 2 5 2 5" xfId="15263"/>
    <cellStyle name="Normal 8 2 5 2 5 2" xfId="23278"/>
    <cellStyle name="Normal 8 2 5 2 5 2 2" xfId="37303"/>
    <cellStyle name="Normal 8 2 5 2 5 3" xfId="29292"/>
    <cellStyle name="Normal 8 2 5 2 6" xfId="17269"/>
    <cellStyle name="Normal 8 2 5 2 6 2" xfId="31294"/>
    <cellStyle name="Normal 8 2 5 2 7" xfId="19271"/>
    <cellStyle name="Normal 8 2 5 2 7 2" xfId="33296"/>
    <cellStyle name="Normal 8 2 5 2 8" xfId="25285"/>
    <cellStyle name="Normal 8 2 5 3" xfId="2658"/>
    <cellStyle name="Normal 8 2 5 3 2" xfId="2659"/>
    <cellStyle name="Normal 8 2 5 3 2 2" xfId="13253"/>
    <cellStyle name="Normal 8 2 5 3 2 2 2" xfId="21278"/>
    <cellStyle name="Normal 8 2 5 3 2 2 2 2" xfId="35303"/>
    <cellStyle name="Normal 8 2 5 3 2 2 3" xfId="27292"/>
    <cellStyle name="Normal 8 2 5 3 2 3" xfId="15268"/>
    <cellStyle name="Normal 8 2 5 3 2 3 2" xfId="23283"/>
    <cellStyle name="Normal 8 2 5 3 2 3 2 2" xfId="37308"/>
    <cellStyle name="Normal 8 2 5 3 2 3 3" xfId="29297"/>
    <cellStyle name="Normal 8 2 5 3 2 4" xfId="17274"/>
    <cellStyle name="Normal 8 2 5 3 2 4 2" xfId="31299"/>
    <cellStyle name="Normal 8 2 5 3 2 5" xfId="19276"/>
    <cellStyle name="Normal 8 2 5 3 2 5 2" xfId="33301"/>
    <cellStyle name="Normal 8 2 5 3 2 6" xfId="25290"/>
    <cellStyle name="Normal 8 2 5 3 3" xfId="13252"/>
    <cellStyle name="Normal 8 2 5 3 3 2" xfId="21277"/>
    <cellStyle name="Normal 8 2 5 3 3 2 2" xfId="35302"/>
    <cellStyle name="Normal 8 2 5 3 3 3" xfId="27291"/>
    <cellStyle name="Normal 8 2 5 3 4" xfId="15267"/>
    <cellStyle name="Normal 8 2 5 3 4 2" xfId="23282"/>
    <cellStyle name="Normal 8 2 5 3 4 2 2" xfId="37307"/>
    <cellStyle name="Normal 8 2 5 3 4 3" xfId="29296"/>
    <cellStyle name="Normal 8 2 5 3 5" xfId="17273"/>
    <cellStyle name="Normal 8 2 5 3 5 2" xfId="31298"/>
    <cellStyle name="Normal 8 2 5 3 6" xfId="19275"/>
    <cellStyle name="Normal 8 2 5 3 6 2" xfId="33300"/>
    <cellStyle name="Normal 8 2 5 3 7" xfId="25289"/>
    <cellStyle name="Normal 8 2 5 4" xfId="2660"/>
    <cellStyle name="Normal 8 2 5 4 2" xfId="2661"/>
    <cellStyle name="Normal 8 2 5 4 2 2" xfId="13255"/>
    <cellStyle name="Normal 8 2 5 4 2 2 2" xfId="21280"/>
    <cellStyle name="Normal 8 2 5 4 2 2 2 2" xfId="35305"/>
    <cellStyle name="Normal 8 2 5 4 2 2 3" xfId="27294"/>
    <cellStyle name="Normal 8 2 5 4 2 3" xfId="15270"/>
    <cellStyle name="Normal 8 2 5 4 2 3 2" xfId="23285"/>
    <cellStyle name="Normal 8 2 5 4 2 3 2 2" xfId="37310"/>
    <cellStyle name="Normal 8 2 5 4 2 3 3" xfId="29299"/>
    <cellStyle name="Normal 8 2 5 4 2 4" xfId="17276"/>
    <cellStyle name="Normal 8 2 5 4 2 4 2" xfId="31301"/>
    <cellStyle name="Normal 8 2 5 4 2 5" xfId="19278"/>
    <cellStyle name="Normal 8 2 5 4 2 5 2" xfId="33303"/>
    <cellStyle name="Normal 8 2 5 4 2 6" xfId="25292"/>
    <cellStyle name="Normal 8 2 5 4 3" xfId="13254"/>
    <cellStyle name="Normal 8 2 5 4 3 2" xfId="21279"/>
    <cellStyle name="Normal 8 2 5 4 3 2 2" xfId="35304"/>
    <cellStyle name="Normal 8 2 5 4 3 3" xfId="27293"/>
    <cellStyle name="Normal 8 2 5 4 4" xfId="15269"/>
    <cellStyle name="Normal 8 2 5 4 4 2" xfId="23284"/>
    <cellStyle name="Normal 8 2 5 4 4 2 2" xfId="37309"/>
    <cellStyle name="Normal 8 2 5 4 4 3" xfId="29298"/>
    <cellStyle name="Normal 8 2 5 4 5" xfId="17275"/>
    <cellStyle name="Normal 8 2 5 4 5 2" xfId="31300"/>
    <cellStyle name="Normal 8 2 5 4 6" xfId="19277"/>
    <cellStyle name="Normal 8 2 5 4 6 2" xfId="33302"/>
    <cellStyle name="Normal 8 2 5 4 7" xfId="25291"/>
    <cellStyle name="Normal 8 2 5 5" xfId="2662"/>
    <cellStyle name="Normal 8 2 5 5 2" xfId="13256"/>
    <cellStyle name="Normal 8 2 5 5 2 2" xfId="21281"/>
    <cellStyle name="Normal 8 2 5 5 2 2 2" xfId="35306"/>
    <cellStyle name="Normal 8 2 5 5 2 3" xfId="27295"/>
    <cellStyle name="Normal 8 2 5 5 3" xfId="15271"/>
    <cellStyle name="Normal 8 2 5 5 3 2" xfId="23286"/>
    <cellStyle name="Normal 8 2 5 5 3 2 2" xfId="37311"/>
    <cellStyle name="Normal 8 2 5 5 3 3" xfId="29300"/>
    <cellStyle name="Normal 8 2 5 5 4" xfId="17277"/>
    <cellStyle name="Normal 8 2 5 5 4 2" xfId="31302"/>
    <cellStyle name="Normal 8 2 5 5 5" xfId="19279"/>
    <cellStyle name="Normal 8 2 5 5 5 2" xfId="33304"/>
    <cellStyle name="Normal 8 2 5 5 6" xfId="25293"/>
    <cellStyle name="Normal 8 2 5 6" xfId="13247"/>
    <cellStyle name="Normal 8 2 5 6 2" xfId="21272"/>
    <cellStyle name="Normal 8 2 5 6 2 2" xfId="35297"/>
    <cellStyle name="Normal 8 2 5 6 3" xfId="27286"/>
    <cellStyle name="Normal 8 2 5 7" xfId="15262"/>
    <cellStyle name="Normal 8 2 5 7 2" xfId="23277"/>
    <cellStyle name="Normal 8 2 5 7 2 2" xfId="37302"/>
    <cellStyle name="Normal 8 2 5 7 3" xfId="29291"/>
    <cellStyle name="Normal 8 2 5 8" xfId="17268"/>
    <cellStyle name="Normal 8 2 5 8 2" xfId="31293"/>
    <cellStyle name="Normal 8 2 5 9" xfId="19270"/>
    <cellStyle name="Normal 8 2 5 9 2" xfId="33295"/>
    <cellStyle name="Normal 8 2 6" xfId="2663"/>
    <cellStyle name="Normal 8 2 6 2" xfId="2664"/>
    <cellStyle name="Normal 8 2 6 2 2" xfId="2665"/>
    <cellStyle name="Normal 8 2 6 2 2 2" xfId="13259"/>
    <cellStyle name="Normal 8 2 6 2 2 2 2" xfId="21284"/>
    <cellStyle name="Normal 8 2 6 2 2 2 2 2" xfId="35309"/>
    <cellStyle name="Normal 8 2 6 2 2 2 3" xfId="27298"/>
    <cellStyle name="Normal 8 2 6 2 2 3" xfId="15274"/>
    <cellStyle name="Normal 8 2 6 2 2 3 2" xfId="23289"/>
    <cellStyle name="Normal 8 2 6 2 2 3 2 2" xfId="37314"/>
    <cellStyle name="Normal 8 2 6 2 2 3 3" xfId="29303"/>
    <cellStyle name="Normal 8 2 6 2 2 4" xfId="17280"/>
    <cellStyle name="Normal 8 2 6 2 2 4 2" xfId="31305"/>
    <cellStyle name="Normal 8 2 6 2 2 5" xfId="19282"/>
    <cellStyle name="Normal 8 2 6 2 2 5 2" xfId="33307"/>
    <cellStyle name="Normal 8 2 6 2 2 6" xfId="25296"/>
    <cellStyle name="Normal 8 2 6 2 3" xfId="13258"/>
    <cellStyle name="Normal 8 2 6 2 3 2" xfId="21283"/>
    <cellStyle name="Normal 8 2 6 2 3 2 2" xfId="35308"/>
    <cellStyle name="Normal 8 2 6 2 3 3" xfId="27297"/>
    <cellStyle name="Normal 8 2 6 2 4" xfId="15273"/>
    <cellStyle name="Normal 8 2 6 2 4 2" xfId="23288"/>
    <cellStyle name="Normal 8 2 6 2 4 2 2" xfId="37313"/>
    <cellStyle name="Normal 8 2 6 2 4 3" xfId="29302"/>
    <cellStyle name="Normal 8 2 6 2 5" xfId="17279"/>
    <cellStyle name="Normal 8 2 6 2 5 2" xfId="31304"/>
    <cellStyle name="Normal 8 2 6 2 6" xfId="19281"/>
    <cellStyle name="Normal 8 2 6 2 6 2" xfId="33306"/>
    <cellStyle name="Normal 8 2 6 2 7" xfId="25295"/>
    <cellStyle name="Normal 8 2 6 3" xfId="2666"/>
    <cellStyle name="Normal 8 2 6 3 2" xfId="13260"/>
    <cellStyle name="Normal 8 2 6 3 2 2" xfId="21285"/>
    <cellStyle name="Normal 8 2 6 3 2 2 2" xfId="35310"/>
    <cellStyle name="Normal 8 2 6 3 2 3" xfId="27299"/>
    <cellStyle name="Normal 8 2 6 3 3" xfId="15275"/>
    <cellStyle name="Normal 8 2 6 3 3 2" xfId="23290"/>
    <cellStyle name="Normal 8 2 6 3 3 2 2" xfId="37315"/>
    <cellStyle name="Normal 8 2 6 3 3 3" xfId="29304"/>
    <cellStyle name="Normal 8 2 6 3 4" xfId="17281"/>
    <cellStyle name="Normal 8 2 6 3 4 2" xfId="31306"/>
    <cellStyle name="Normal 8 2 6 3 5" xfId="19283"/>
    <cellStyle name="Normal 8 2 6 3 5 2" xfId="33308"/>
    <cellStyle name="Normal 8 2 6 3 6" xfId="25297"/>
    <cellStyle name="Normal 8 2 6 4" xfId="13257"/>
    <cellStyle name="Normal 8 2 6 4 2" xfId="21282"/>
    <cellStyle name="Normal 8 2 6 4 2 2" xfId="35307"/>
    <cellStyle name="Normal 8 2 6 4 3" xfId="27296"/>
    <cellStyle name="Normal 8 2 6 5" xfId="15272"/>
    <cellStyle name="Normal 8 2 6 5 2" xfId="23287"/>
    <cellStyle name="Normal 8 2 6 5 2 2" xfId="37312"/>
    <cellStyle name="Normal 8 2 6 5 3" xfId="29301"/>
    <cellStyle name="Normal 8 2 6 6" xfId="17278"/>
    <cellStyle name="Normal 8 2 6 6 2" xfId="31303"/>
    <cellStyle name="Normal 8 2 6 7" xfId="19280"/>
    <cellStyle name="Normal 8 2 6 7 2" xfId="33305"/>
    <cellStyle name="Normal 8 2 6 8" xfId="25294"/>
    <cellStyle name="Normal 8 2 7" xfId="2667"/>
    <cellStyle name="Normal 8 2 7 2" xfId="2668"/>
    <cellStyle name="Normal 8 2 7 2 2" xfId="13262"/>
    <cellStyle name="Normal 8 2 7 2 2 2" xfId="21287"/>
    <cellStyle name="Normal 8 2 7 2 2 2 2" xfId="35312"/>
    <cellStyle name="Normal 8 2 7 2 2 3" xfId="27301"/>
    <cellStyle name="Normal 8 2 7 2 3" xfId="15277"/>
    <cellStyle name="Normal 8 2 7 2 3 2" xfId="23292"/>
    <cellStyle name="Normal 8 2 7 2 3 2 2" xfId="37317"/>
    <cellStyle name="Normal 8 2 7 2 3 3" xfId="29306"/>
    <cellStyle name="Normal 8 2 7 2 4" xfId="17283"/>
    <cellStyle name="Normal 8 2 7 2 4 2" xfId="31308"/>
    <cellStyle name="Normal 8 2 7 2 5" xfId="19285"/>
    <cellStyle name="Normal 8 2 7 2 5 2" xfId="33310"/>
    <cellStyle name="Normal 8 2 7 2 6" xfId="25299"/>
    <cellStyle name="Normal 8 2 7 3" xfId="13261"/>
    <cellStyle name="Normal 8 2 7 3 2" xfId="21286"/>
    <cellStyle name="Normal 8 2 7 3 2 2" xfId="35311"/>
    <cellStyle name="Normal 8 2 7 3 3" xfId="27300"/>
    <cellStyle name="Normal 8 2 7 4" xfId="15276"/>
    <cellStyle name="Normal 8 2 7 4 2" xfId="23291"/>
    <cellStyle name="Normal 8 2 7 4 2 2" xfId="37316"/>
    <cellStyle name="Normal 8 2 7 4 3" xfId="29305"/>
    <cellStyle name="Normal 8 2 7 5" xfId="17282"/>
    <cellStyle name="Normal 8 2 7 5 2" xfId="31307"/>
    <cellStyle name="Normal 8 2 7 6" xfId="19284"/>
    <cellStyle name="Normal 8 2 7 6 2" xfId="33309"/>
    <cellStyle name="Normal 8 2 7 7" xfId="25298"/>
    <cellStyle name="Normal 8 2 8" xfId="2669"/>
    <cellStyle name="Normal 8 2 8 2" xfId="2670"/>
    <cellStyle name="Normal 8 2 8 2 2" xfId="13264"/>
    <cellStyle name="Normal 8 2 8 2 2 2" xfId="21289"/>
    <cellStyle name="Normal 8 2 8 2 2 2 2" xfId="35314"/>
    <cellStyle name="Normal 8 2 8 2 2 3" xfId="27303"/>
    <cellStyle name="Normal 8 2 8 2 3" xfId="15279"/>
    <cellStyle name="Normal 8 2 8 2 3 2" xfId="23294"/>
    <cellStyle name="Normal 8 2 8 2 3 2 2" xfId="37319"/>
    <cellStyle name="Normal 8 2 8 2 3 3" xfId="29308"/>
    <cellStyle name="Normal 8 2 8 2 4" xfId="17285"/>
    <cellStyle name="Normal 8 2 8 2 4 2" xfId="31310"/>
    <cellStyle name="Normal 8 2 8 2 5" xfId="19287"/>
    <cellStyle name="Normal 8 2 8 2 5 2" xfId="33312"/>
    <cellStyle name="Normal 8 2 8 2 6" xfId="25301"/>
    <cellStyle name="Normal 8 2 8 3" xfId="13263"/>
    <cellStyle name="Normal 8 2 8 3 2" xfId="21288"/>
    <cellStyle name="Normal 8 2 8 3 2 2" xfId="35313"/>
    <cellStyle name="Normal 8 2 8 3 3" xfId="27302"/>
    <cellStyle name="Normal 8 2 8 4" xfId="15278"/>
    <cellStyle name="Normal 8 2 8 4 2" xfId="23293"/>
    <cellStyle name="Normal 8 2 8 4 2 2" xfId="37318"/>
    <cellStyle name="Normal 8 2 8 4 3" xfId="29307"/>
    <cellStyle name="Normal 8 2 8 5" xfId="17284"/>
    <cellStyle name="Normal 8 2 8 5 2" xfId="31309"/>
    <cellStyle name="Normal 8 2 8 6" xfId="19286"/>
    <cellStyle name="Normal 8 2 8 6 2" xfId="33311"/>
    <cellStyle name="Normal 8 2 8 7" xfId="25300"/>
    <cellStyle name="Normal 8 2 9" xfId="2671"/>
    <cellStyle name="Normal 8 2 9 2" xfId="13265"/>
    <cellStyle name="Normal 8 2 9 2 2" xfId="21290"/>
    <cellStyle name="Normal 8 2 9 2 2 2" xfId="35315"/>
    <cellStyle name="Normal 8 2 9 2 3" xfId="27304"/>
    <cellStyle name="Normal 8 2 9 3" xfId="15280"/>
    <cellStyle name="Normal 8 2 9 3 2" xfId="23295"/>
    <cellStyle name="Normal 8 2 9 3 2 2" xfId="37320"/>
    <cellStyle name="Normal 8 2 9 3 3" xfId="29309"/>
    <cellStyle name="Normal 8 2 9 4" xfId="17286"/>
    <cellStyle name="Normal 8 2 9 4 2" xfId="31311"/>
    <cellStyle name="Normal 8 2 9 5" xfId="19288"/>
    <cellStyle name="Normal 8 2 9 5 2" xfId="33313"/>
    <cellStyle name="Normal 8 2 9 6" xfId="25302"/>
    <cellStyle name="Normal 8 2_3 - Revenue Credits" xfId="581"/>
    <cellStyle name="Normal 8 3" xfId="582"/>
    <cellStyle name="Normal 8 4" xfId="2672"/>
    <cellStyle name="Normal 8 4 10" xfId="17287"/>
    <cellStyle name="Normal 8 4 10 2" xfId="31312"/>
    <cellStyle name="Normal 8 4 11" xfId="19289"/>
    <cellStyle name="Normal 8 4 11 2" xfId="33314"/>
    <cellStyle name="Normal 8 4 12" xfId="25303"/>
    <cellStyle name="Normal 8 4 2" xfId="2673"/>
    <cellStyle name="Normal 8 4 2 10" xfId="19290"/>
    <cellStyle name="Normal 8 4 2 10 2" xfId="33315"/>
    <cellStyle name="Normal 8 4 2 11" xfId="25304"/>
    <cellStyle name="Normal 8 4 2 2" xfId="2674"/>
    <cellStyle name="Normal 8 4 2 2 10" xfId="25305"/>
    <cellStyle name="Normal 8 4 2 2 2" xfId="2675"/>
    <cellStyle name="Normal 8 4 2 2 2 2" xfId="2676"/>
    <cellStyle name="Normal 8 4 2 2 2 2 2" xfId="2677"/>
    <cellStyle name="Normal 8 4 2 2 2 2 2 2" xfId="13271"/>
    <cellStyle name="Normal 8 4 2 2 2 2 2 2 2" xfId="21296"/>
    <cellStyle name="Normal 8 4 2 2 2 2 2 2 2 2" xfId="35321"/>
    <cellStyle name="Normal 8 4 2 2 2 2 2 2 3" xfId="27310"/>
    <cellStyle name="Normal 8 4 2 2 2 2 2 3" xfId="15286"/>
    <cellStyle name="Normal 8 4 2 2 2 2 2 3 2" xfId="23301"/>
    <cellStyle name="Normal 8 4 2 2 2 2 2 3 2 2" xfId="37326"/>
    <cellStyle name="Normal 8 4 2 2 2 2 2 3 3" xfId="29315"/>
    <cellStyle name="Normal 8 4 2 2 2 2 2 4" xfId="17292"/>
    <cellStyle name="Normal 8 4 2 2 2 2 2 4 2" xfId="31317"/>
    <cellStyle name="Normal 8 4 2 2 2 2 2 5" xfId="19294"/>
    <cellStyle name="Normal 8 4 2 2 2 2 2 5 2" xfId="33319"/>
    <cellStyle name="Normal 8 4 2 2 2 2 2 6" xfId="25308"/>
    <cellStyle name="Normal 8 4 2 2 2 2 3" xfId="13270"/>
    <cellStyle name="Normal 8 4 2 2 2 2 3 2" xfId="21295"/>
    <cellStyle name="Normal 8 4 2 2 2 2 3 2 2" xfId="35320"/>
    <cellStyle name="Normal 8 4 2 2 2 2 3 3" xfId="27309"/>
    <cellStyle name="Normal 8 4 2 2 2 2 4" xfId="15285"/>
    <cellStyle name="Normal 8 4 2 2 2 2 4 2" xfId="23300"/>
    <cellStyle name="Normal 8 4 2 2 2 2 4 2 2" xfId="37325"/>
    <cellStyle name="Normal 8 4 2 2 2 2 4 3" xfId="29314"/>
    <cellStyle name="Normal 8 4 2 2 2 2 5" xfId="17291"/>
    <cellStyle name="Normal 8 4 2 2 2 2 5 2" xfId="31316"/>
    <cellStyle name="Normal 8 4 2 2 2 2 6" xfId="19293"/>
    <cellStyle name="Normal 8 4 2 2 2 2 6 2" xfId="33318"/>
    <cellStyle name="Normal 8 4 2 2 2 2 7" xfId="25307"/>
    <cellStyle name="Normal 8 4 2 2 2 3" xfId="2678"/>
    <cellStyle name="Normal 8 4 2 2 2 3 2" xfId="13272"/>
    <cellStyle name="Normal 8 4 2 2 2 3 2 2" xfId="21297"/>
    <cellStyle name="Normal 8 4 2 2 2 3 2 2 2" xfId="35322"/>
    <cellStyle name="Normal 8 4 2 2 2 3 2 3" xfId="27311"/>
    <cellStyle name="Normal 8 4 2 2 2 3 3" xfId="15287"/>
    <cellStyle name="Normal 8 4 2 2 2 3 3 2" xfId="23302"/>
    <cellStyle name="Normal 8 4 2 2 2 3 3 2 2" xfId="37327"/>
    <cellStyle name="Normal 8 4 2 2 2 3 3 3" xfId="29316"/>
    <cellStyle name="Normal 8 4 2 2 2 3 4" xfId="17293"/>
    <cellStyle name="Normal 8 4 2 2 2 3 4 2" xfId="31318"/>
    <cellStyle name="Normal 8 4 2 2 2 3 5" xfId="19295"/>
    <cellStyle name="Normal 8 4 2 2 2 3 5 2" xfId="33320"/>
    <cellStyle name="Normal 8 4 2 2 2 3 6" xfId="25309"/>
    <cellStyle name="Normal 8 4 2 2 2 4" xfId="13269"/>
    <cellStyle name="Normal 8 4 2 2 2 4 2" xfId="21294"/>
    <cellStyle name="Normal 8 4 2 2 2 4 2 2" xfId="35319"/>
    <cellStyle name="Normal 8 4 2 2 2 4 3" xfId="27308"/>
    <cellStyle name="Normal 8 4 2 2 2 5" xfId="15284"/>
    <cellStyle name="Normal 8 4 2 2 2 5 2" xfId="23299"/>
    <cellStyle name="Normal 8 4 2 2 2 5 2 2" xfId="37324"/>
    <cellStyle name="Normal 8 4 2 2 2 5 3" xfId="29313"/>
    <cellStyle name="Normal 8 4 2 2 2 6" xfId="17290"/>
    <cellStyle name="Normal 8 4 2 2 2 6 2" xfId="31315"/>
    <cellStyle name="Normal 8 4 2 2 2 7" xfId="19292"/>
    <cellStyle name="Normal 8 4 2 2 2 7 2" xfId="33317"/>
    <cellStyle name="Normal 8 4 2 2 2 8" xfId="25306"/>
    <cellStyle name="Normal 8 4 2 2 3" xfId="2679"/>
    <cellStyle name="Normal 8 4 2 2 3 2" xfId="2680"/>
    <cellStyle name="Normal 8 4 2 2 3 2 2" xfId="13274"/>
    <cellStyle name="Normal 8 4 2 2 3 2 2 2" xfId="21299"/>
    <cellStyle name="Normal 8 4 2 2 3 2 2 2 2" xfId="35324"/>
    <cellStyle name="Normal 8 4 2 2 3 2 2 3" xfId="27313"/>
    <cellStyle name="Normal 8 4 2 2 3 2 3" xfId="15289"/>
    <cellStyle name="Normal 8 4 2 2 3 2 3 2" xfId="23304"/>
    <cellStyle name="Normal 8 4 2 2 3 2 3 2 2" xfId="37329"/>
    <cellStyle name="Normal 8 4 2 2 3 2 3 3" xfId="29318"/>
    <cellStyle name="Normal 8 4 2 2 3 2 4" xfId="17295"/>
    <cellStyle name="Normal 8 4 2 2 3 2 4 2" xfId="31320"/>
    <cellStyle name="Normal 8 4 2 2 3 2 5" xfId="19297"/>
    <cellStyle name="Normal 8 4 2 2 3 2 5 2" xfId="33322"/>
    <cellStyle name="Normal 8 4 2 2 3 2 6" xfId="25311"/>
    <cellStyle name="Normal 8 4 2 2 3 3" xfId="13273"/>
    <cellStyle name="Normal 8 4 2 2 3 3 2" xfId="21298"/>
    <cellStyle name="Normal 8 4 2 2 3 3 2 2" xfId="35323"/>
    <cellStyle name="Normal 8 4 2 2 3 3 3" xfId="27312"/>
    <cellStyle name="Normal 8 4 2 2 3 4" xfId="15288"/>
    <cellStyle name="Normal 8 4 2 2 3 4 2" xfId="23303"/>
    <cellStyle name="Normal 8 4 2 2 3 4 2 2" xfId="37328"/>
    <cellStyle name="Normal 8 4 2 2 3 4 3" xfId="29317"/>
    <cellStyle name="Normal 8 4 2 2 3 5" xfId="17294"/>
    <cellStyle name="Normal 8 4 2 2 3 5 2" xfId="31319"/>
    <cellStyle name="Normal 8 4 2 2 3 6" xfId="19296"/>
    <cellStyle name="Normal 8 4 2 2 3 6 2" xfId="33321"/>
    <cellStyle name="Normal 8 4 2 2 3 7" xfId="25310"/>
    <cellStyle name="Normal 8 4 2 2 4" xfId="2681"/>
    <cellStyle name="Normal 8 4 2 2 4 2" xfId="2682"/>
    <cellStyle name="Normal 8 4 2 2 4 2 2" xfId="13276"/>
    <cellStyle name="Normal 8 4 2 2 4 2 2 2" xfId="21301"/>
    <cellStyle name="Normal 8 4 2 2 4 2 2 2 2" xfId="35326"/>
    <cellStyle name="Normal 8 4 2 2 4 2 2 3" xfId="27315"/>
    <cellStyle name="Normal 8 4 2 2 4 2 3" xfId="15291"/>
    <cellStyle name="Normal 8 4 2 2 4 2 3 2" xfId="23306"/>
    <cellStyle name="Normal 8 4 2 2 4 2 3 2 2" xfId="37331"/>
    <cellStyle name="Normal 8 4 2 2 4 2 3 3" xfId="29320"/>
    <cellStyle name="Normal 8 4 2 2 4 2 4" xfId="17297"/>
    <cellStyle name="Normal 8 4 2 2 4 2 4 2" xfId="31322"/>
    <cellStyle name="Normal 8 4 2 2 4 2 5" xfId="19299"/>
    <cellStyle name="Normal 8 4 2 2 4 2 5 2" xfId="33324"/>
    <cellStyle name="Normal 8 4 2 2 4 2 6" xfId="25313"/>
    <cellStyle name="Normal 8 4 2 2 4 3" xfId="13275"/>
    <cellStyle name="Normal 8 4 2 2 4 3 2" xfId="21300"/>
    <cellStyle name="Normal 8 4 2 2 4 3 2 2" xfId="35325"/>
    <cellStyle name="Normal 8 4 2 2 4 3 3" xfId="27314"/>
    <cellStyle name="Normal 8 4 2 2 4 4" xfId="15290"/>
    <cellStyle name="Normal 8 4 2 2 4 4 2" xfId="23305"/>
    <cellStyle name="Normal 8 4 2 2 4 4 2 2" xfId="37330"/>
    <cellStyle name="Normal 8 4 2 2 4 4 3" xfId="29319"/>
    <cellStyle name="Normal 8 4 2 2 4 5" xfId="17296"/>
    <cellStyle name="Normal 8 4 2 2 4 5 2" xfId="31321"/>
    <cellStyle name="Normal 8 4 2 2 4 6" xfId="19298"/>
    <cellStyle name="Normal 8 4 2 2 4 6 2" xfId="33323"/>
    <cellStyle name="Normal 8 4 2 2 4 7" xfId="25312"/>
    <cellStyle name="Normal 8 4 2 2 5" xfId="2683"/>
    <cellStyle name="Normal 8 4 2 2 5 2" xfId="13277"/>
    <cellStyle name="Normal 8 4 2 2 5 2 2" xfId="21302"/>
    <cellStyle name="Normal 8 4 2 2 5 2 2 2" xfId="35327"/>
    <cellStyle name="Normal 8 4 2 2 5 2 3" xfId="27316"/>
    <cellStyle name="Normal 8 4 2 2 5 3" xfId="15292"/>
    <cellStyle name="Normal 8 4 2 2 5 3 2" xfId="23307"/>
    <cellStyle name="Normal 8 4 2 2 5 3 2 2" xfId="37332"/>
    <cellStyle name="Normal 8 4 2 2 5 3 3" xfId="29321"/>
    <cellStyle name="Normal 8 4 2 2 5 4" xfId="17298"/>
    <cellStyle name="Normal 8 4 2 2 5 4 2" xfId="31323"/>
    <cellStyle name="Normal 8 4 2 2 5 5" xfId="19300"/>
    <cellStyle name="Normal 8 4 2 2 5 5 2" xfId="33325"/>
    <cellStyle name="Normal 8 4 2 2 5 6" xfId="25314"/>
    <cellStyle name="Normal 8 4 2 2 6" xfId="13268"/>
    <cellStyle name="Normal 8 4 2 2 6 2" xfId="21293"/>
    <cellStyle name="Normal 8 4 2 2 6 2 2" xfId="35318"/>
    <cellStyle name="Normal 8 4 2 2 6 3" xfId="27307"/>
    <cellStyle name="Normal 8 4 2 2 7" xfId="15283"/>
    <cellStyle name="Normal 8 4 2 2 7 2" xfId="23298"/>
    <cellStyle name="Normal 8 4 2 2 7 2 2" xfId="37323"/>
    <cellStyle name="Normal 8 4 2 2 7 3" xfId="29312"/>
    <cellStyle name="Normal 8 4 2 2 8" xfId="17289"/>
    <cellStyle name="Normal 8 4 2 2 8 2" xfId="31314"/>
    <cellStyle name="Normal 8 4 2 2 9" xfId="19291"/>
    <cellStyle name="Normal 8 4 2 2 9 2" xfId="33316"/>
    <cellStyle name="Normal 8 4 2 3" xfId="2684"/>
    <cellStyle name="Normal 8 4 2 3 2" xfId="2685"/>
    <cellStyle name="Normal 8 4 2 3 2 2" xfId="2686"/>
    <cellStyle name="Normal 8 4 2 3 2 2 2" xfId="13280"/>
    <cellStyle name="Normal 8 4 2 3 2 2 2 2" xfId="21305"/>
    <cellStyle name="Normal 8 4 2 3 2 2 2 2 2" xfId="35330"/>
    <cellStyle name="Normal 8 4 2 3 2 2 2 3" xfId="27319"/>
    <cellStyle name="Normal 8 4 2 3 2 2 3" xfId="15295"/>
    <cellStyle name="Normal 8 4 2 3 2 2 3 2" xfId="23310"/>
    <cellStyle name="Normal 8 4 2 3 2 2 3 2 2" xfId="37335"/>
    <cellStyle name="Normal 8 4 2 3 2 2 3 3" xfId="29324"/>
    <cellStyle name="Normal 8 4 2 3 2 2 4" xfId="17301"/>
    <cellStyle name="Normal 8 4 2 3 2 2 4 2" xfId="31326"/>
    <cellStyle name="Normal 8 4 2 3 2 2 5" xfId="19303"/>
    <cellStyle name="Normal 8 4 2 3 2 2 5 2" xfId="33328"/>
    <cellStyle name="Normal 8 4 2 3 2 2 6" xfId="25317"/>
    <cellStyle name="Normal 8 4 2 3 2 3" xfId="13279"/>
    <cellStyle name="Normal 8 4 2 3 2 3 2" xfId="21304"/>
    <cellStyle name="Normal 8 4 2 3 2 3 2 2" xfId="35329"/>
    <cellStyle name="Normal 8 4 2 3 2 3 3" xfId="27318"/>
    <cellStyle name="Normal 8 4 2 3 2 4" xfId="15294"/>
    <cellStyle name="Normal 8 4 2 3 2 4 2" xfId="23309"/>
    <cellStyle name="Normal 8 4 2 3 2 4 2 2" xfId="37334"/>
    <cellStyle name="Normal 8 4 2 3 2 4 3" xfId="29323"/>
    <cellStyle name="Normal 8 4 2 3 2 5" xfId="17300"/>
    <cellStyle name="Normal 8 4 2 3 2 5 2" xfId="31325"/>
    <cellStyle name="Normal 8 4 2 3 2 6" xfId="19302"/>
    <cellStyle name="Normal 8 4 2 3 2 6 2" xfId="33327"/>
    <cellStyle name="Normal 8 4 2 3 2 7" xfId="25316"/>
    <cellStyle name="Normal 8 4 2 3 3" xfId="2687"/>
    <cellStyle name="Normal 8 4 2 3 3 2" xfId="13281"/>
    <cellStyle name="Normal 8 4 2 3 3 2 2" xfId="21306"/>
    <cellStyle name="Normal 8 4 2 3 3 2 2 2" xfId="35331"/>
    <cellStyle name="Normal 8 4 2 3 3 2 3" xfId="27320"/>
    <cellStyle name="Normal 8 4 2 3 3 3" xfId="15296"/>
    <cellStyle name="Normal 8 4 2 3 3 3 2" xfId="23311"/>
    <cellStyle name="Normal 8 4 2 3 3 3 2 2" xfId="37336"/>
    <cellStyle name="Normal 8 4 2 3 3 3 3" xfId="29325"/>
    <cellStyle name="Normal 8 4 2 3 3 4" xfId="17302"/>
    <cellStyle name="Normal 8 4 2 3 3 4 2" xfId="31327"/>
    <cellStyle name="Normal 8 4 2 3 3 5" xfId="19304"/>
    <cellStyle name="Normal 8 4 2 3 3 5 2" xfId="33329"/>
    <cellStyle name="Normal 8 4 2 3 3 6" xfId="25318"/>
    <cellStyle name="Normal 8 4 2 3 4" xfId="13278"/>
    <cellStyle name="Normal 8 4 2 3 4 2" xfId="21303"/>
    <cellStyle name="Normal 8 4 2 3 4 2 2" xfId="35328"/>
    <cellStyle name="Normal 8 4 2 3 4 3" xfId="27317"/>
    <cellStyle name="Normal 8 4 2 3 5" xfId="15293"/>
    <cellStyle name="Normal 8 4 2 3 5 2" xfId="23308"/>
    <cellStyle name="Normal 8 4 2 3 5 2 2" xfId="37333"/>
    <cellStyle name="Normal 8 4 2 3 5 3" xfId="29322"/>
    <cellStyle name="Normal 8 4 2 3 6" xfId="17299"/>
    <cellStyle name="Normal 8 4 2 3 6 2" xfId="31324"/>
    <cellStyle name="Normal 8 4 2 3 7" xfId="19301"/>
    <cellStyle name="Normal 8 4 2 3 7 2" xfId="33326"/>
    <cellStyle name="Normal 8 4 2 3 8" xfId="25315"/>
    <cellStyle name="Normal 8 4 2 4" xfId="2688"/>
    <cellStyle name="Normal 8 4 2 4 2" xfId="2689"/>
    <cellStyle name="Normal 8 4 2 4 2 2" xfId="13283"/>
    <cellStyle name="Normal 8 4 2 4 2 2 2" xfId="21308"/>
    <cellStyle name="Normal 8 4 2 4 2 2 2 2" xfId="35333"/>
    <cellStyle name="Normal 8 4 2 4 2 2 3" xfId="27322"/>
    <cellStyle name="Normal 8 4 2 4 2 3" xfId="15298"/>
    <cellStyle name="Normal 8 4 2 4 2 3 2" xfId="23313"/>
    <cellStyle name="Normal 8 4 2 4 2 3 2 2" xfId="37338"/>
    <cellStyle name="Normal 8 4 2 4 2 3 3" xfId="29327"/>
    <cellStyle name="Normal 8 4 2 4 2 4" xfId="17304"/>
    <cellStyle name="Normal 8 4 2 4 2 4 2" xfId="31329"/>
    <cellStyle name="Normal 8 4 2 4 2 5" xfId="19306"/>
    <cellStyle name="Normal 8 4 2 4 2 5 2" xfId="33331"/>
    <cellStyle name="Normal 8 4 2 4 2 6" xfId="25320"/>
    <cellStyle name="Normal 8 4 2 4 3" xfId="13282"/>
    <cellStyle name="Normal 8 4 2 4 3 2" xfId="21307"/>
    <cellStyle name="Normal 8 4 2 4 3 2 2" xfId="35332"/>
    <cellStyle name="Normal 8 4 2 4 3 3" xfId="27321"/>
    <cellStyle name="Normal 8 4 2 4 4" xfId="15297"/>
    <cellStyle name="Normal 8 4 2 4 4 2" xfId="23312"/>
    <cellStyle name="Normal 8 4 2 4 4 2 2" xfId="37337"/>
    <cellStyle name="Normal 8 4 2 4 4 3" xfId="29326"/>
    <cellStyle name="Normal 8 4 2 4 5" xfId="17303"/>
    <cellStyle name="Normal 8 4 2 4 5 2" xfId="31328"/>
    <cellStyle name="Normal 8 4 2 4 6" xfId="19305"/>
    <cellStyle name="Normal 8 4 2 4 6 2" xfId="33330"/>
    <cellStyle name="Normal 8 4 2 4 7" xfId="25319"/>
    <cellStyle name="Normal 8 4 2 5" xfId="2690"/>
    <cellStyle name="Normal 8 4 2 5 2" xfId="2691"/>
    <cellStyle name="Normal 8 4 2 5 2 2" xfId="13285"/>
    <cellStyle name="Normal 8 4 2 5 2 2 2" xfId="21310"/>
    <cellStyle name="Normal 8 4 2 5 2 2 2 2" xfId="35335"/>
    <cellStyle name="Normal 8 4 2 5 2 2 3" xfId="27324"/>
    <cellStyle name="Normal 8 4 2 5 2 3" xfId="15300"/>
    <cellStyle name="Normal 8 4 2 5 2 3 2" xfId="23315"/>
    <cellStyle name="Normal 8 4 2 5 2 3 2 2" xfId="37340"/>
    <cellStyle name="Normal 8 4 2 5 2 3 3" xfId="29329"/>
    <cellStyle name="Normal 8 4 2 5 2 4" xfId="17306"/>
    <cellStyle name="Normal 8 4 2 5 2 4 2" xfId="31331"/>
    <cellStyle name="Normal 8 4 2 5 2 5" xfId="19308"/>
    <cellStyle name="Normal 8 4 2 5 2 5 2" xfId="33333"/>
    <cellStyle name="Normal 8 4 2 5 2 6" xfId="25322"/>
    <cellStyle name="Normal 8 4 2 5 3" xfId="13284"/>
    <cellStyle name="Normal 8 4 2 5 3 2" xfId="21309"/>
    <cellStyle name="Normal 8 4 2 5 3 2 2" xfId="35334"/>
    <cellStyle name="Normal 8 4 2 5 3 3" xfId="27323"/>
    <cellStyle name="Normal 8 4 2 5 4" xfId="15299"/>
    <cellStyle name="Normal 8 4 2 5 4 2" xfId="23314"/>
    <cellStyle name="Normal 8 4 2 5 4 2 2" xfId="37339"/>
    <cellStyle name="Normal 8 4 2 5 4 3" xfId="29328"/>
    <cellStyle name="Normal 8 4 2 5 5" xfId="17305"/>
    <cellStyle name="Normal 8 4 2 5 5 2" xfId="31330"/>
    <cellStyle name="Normal 8 4 2 5 6" xfId="19307"/>
    <cellStyle name="Normal 8 4 2 5 6 2" xfId="33332"/>
    <cellStyle name="Normal 8 4 2 5 7" xfId="25321"/>
    <cellStyle name="Normal 8 4 2 6" xfId="2692"/>
    <cellStyle name="Normal 8 4 2 6 2" xfId="13286"/>
    <cellStyle name="Normal 8 4 2 6 2 2" xfId="21311"/>
    <cellStyle name="Normal 8 4 2 6 2 2 2" xfId="35336"/>
    <cellStyle name="Normal 8 4 2 6 2 3" xfId="27325"/>
    <cellStyle name="Normal 8 4 2 6 3" xfId="15301"/>
    <cellStyle name="Normal 8 4 2 6 3 2" xfId="23316"/>
    <cellStyle name="Normal 8 4 2 6 3 2 2" xfId="37341"/>
    <cellStyle name="Normal 8 4 2 6 3 3" xfId="29330"/>
    <cellStyle name="Normal 8 4 2 6 4" xfId="17307"/>
    <cellStyle name="Normal 8 4 2 6 4 2" xfId="31332"/>
    <cellStyle name="Normal 8 4 2 6 5" xfId="19309"/>
    <cellStyle name="Normal 8 4 2 6 5 2" xfId="33334"/>
    <cellStyle name="Normal 8 4 2 6 6" xfId="25323"/>
    <cellStyle name="Normal 8 4 2 7" xfId="13267"/>
    <cellStyle name="Normal 8 4 2 7 2" xfId="21292"/>
    <cellStyle name="Normal 8 4 2 7 2 2" xfId="35317"/>
    <cellStyle name="Normal 8 4 2 7 3" xfId="27306"/>
    <cellStyle name="Normal 8 4 2 8" xfId="15282"/>
    <cellStyle name="Normal 8 4 2 8 2" xfId="23297"/>
    <cellStyle name="Normal 8 4 2 8 2 2" xfId="37322"/>
    <cellStyle name="Normal 8 4 2 8 3" xfId="29311"/>
    <cellStyle name="Normal 8 4 2 9" xfId="17288"/>
    <cellStyle name="Normal 8 4 2 9 2" xfId="31313"/>
    <cellStyle name="Normal 8 4 3" xfId="2693"/>
    <cellStyle name="Normal 8 4 3 10" xfId="25324"/>
    <cellStyle name="Normal 8 4 3 2" xfId="2694"/>
    <cellStyle name="Normal 8 4 3 2 2" xfId="2695"/>
    <cellStyle name="Normal 8 4 3 2 2 2" xfId="2696"/>
    <cellStyle name="Normal 8 4 3 2 2 2 2" xfId="13290"/>
    <cellStyle name="Normal 8 4 3 2 2 2 2 2" xfId="21315"/>
    <cellStyle name="Normal 8 4 3 2 2 2 2 2 2" xfId="35340"/>
    <cellStyle name="Normal 8 4 3 2 2 2 2 3" xfId="27329"/>
    <cellStyle name="Normal 8 4 3 2 2 2 3" xfId="15305"/>
    <cellStyle name="Normal 8 4 3 2 2 2 3 2" xfId="23320"/>
    <cellStyle name="Normal 8 4 3 2 2 2 3 2 2" xfId="37345"/>
    <cellStyle name="Normal 8 4 3 2 2 2 3 3" xfId="29334"/>
    <cellStyle name="Normal 8 4 3 2 2 2 4" xfId="17311"/>
    <cellStyle name="Normal 8 4 3 2 2 2 4 2" xfId="31336"/>
    <cellStyle name="Normal 8 4 3 2 2 2 5" xfId="19313"/>
    <cellStyle name="Normal 8 4 3 2 2 2 5 2" xfId="33338"/>
    <cellStyle name="Normal 8 4 3 2 2 2 6" xfId="25327"/>
    <cellStyle name="Normal 8 4 3 2 2 3" xfId="13289"/>
    <cellStyle name="Normal 8 4 3 2 2 3 2" xfId="21314"/>
    <cellStyle name="Normal 8 4 3 2 2 3 2 2" xfId="35339"/>
    <cellStyle name="Normal 8 4 3 2 2 3 3" xfId="27328"/>
    <cellStyle name="Normal 8 4 3 2 2 4" xfId="15304"/>
    <cellStyle name="Normal 8 4 3 2 2 4 2" xfId="23319"/>
    <cellStyle name="Normal 8 4 3 2 2 4 2 2" xfId="37344"/>
    <cellStyle name="Normal 8 4 3 2 2 4 3" xfId="29333"/>
    <cellStyle name="Normal 8 4 3 2 2 5" xfId="17310"/>
    <cellStyle name="Normal 8 4 3 2 2 5 2" xfId="31335"/>
    <cellStyle name="Normal 8 4 3 2 2 6" xfId="19312"/>
    <cellStyle name="Normal 8 4 3 2 2 6 2" xfId="33337"/>
    <cellStyle name="Normal 8 4 3 2 2 7" xfId="25326"/>
    <cellStyle name="Normal 8 4 3 2 3" xfId="2697"/>
    <cellStyle name="Normal 8 4 3 2 3 2" xfId="13291"/>
    <cellStyle name="Normal 8 4 3 2 3 2 2" xfId="21316"/>
    <cellStyle name="Normal 8 4 3 2 3 2 2 2" xfId="35341"/>
    <cellStyle name="Normal 8 4 3 2 3 2 3" xfId="27330"/>
    <cellStyle name="Normal 8 4 3 2 3 3" xfId="15306"/>
    <cellStyle name="Normal 8 4 3 2 3 3 2" xfId="23321"/>
    <cellStyle name="Normal 8 4 3 2 3 3 2 2" xfId="37346"/>
    <cellStyle name="Normal 8 4 3 2 3 3 3" xfId="29335"/>
    <cellStyle name="Normal 8 4 3 2 3 4" xfId="17312"/>
    <cellStyle name="Normal 8 4 3 2 3 4 2" xfId="31337"/>
    <cellStyle name="Normal 8 4 3 2 3 5" xfId="19314"/>
    <cellStyle name="Normal 8 4 3 2 3 5 2" xfId="33339"/>
    <cellStyle name="Normal 8 4 3 2 3 6" xfId="25328"/>
    <cellStyle name="Normal 8 4 3 2 4" xfId="13288"/>
    <cellStyle name="Normal 8 4 3 2 4 2" xfId="21313"/>
    <cellStyle name="Normal 8 4 3 2 4 2 2" xfId="35338"/>
    <cellStyle name="Normal 8 4 3 2 4 3" xfId="27327"/>
    <cellStyle name="Normal 8 4 3 2 5" xfId="15303"/>
    <cellStyle name="Normal 8 4 3 2 5 2" xfId="23318"/>
    <cellStyle name="Normal 8 4 3 2 5 2 2" xfId="37343"/>
    <cellStyle name="Normal 8 4 3 2 5 3" xfId="29332"/>
    <cellStyle name="Normal 8 4 3 2 6" xfId="17309"/>
    <cellStyle name="Normal 8 4 3 2 6 2" xfId="31334"/>
    <cellStyle name="Normal 8 4 3 2 7" xfId="19311"/>
    <cellStyle name="Normal 8 4 3 2 7 2" xfId="33336"/>
    <cellStyle name="Normal 8 4 3 2 8" xfId="25325"/>
    <cellStyle name="Normal 8 4 3 3" xfId="2698"/>
    <cellStyle name="Normal 8 4 3 3 2" xfId="2699"/>
    <cellStyle name="Normal 8 4 3 3 2 2" xfId="13293"/>
    <cellStyle name="Normal 8 4 3 3 2 2 2" xfId="21318"/>
    <cellStyle name="Normal 8 4 3 3 2 2 2 2" xfId="35343"/>
    <cellStyle name="Normal 8 4 3 3 2 2 3" xfId="27332"/>
    <cellStyle name="Normal 8 4 3 3 2 3" xfId="15308"/>
    <cellStyle name="Normal 8 4 3 3 2 3 2" xfId="23323"/>
    <cellStyle name="Normal 8 4 3 3 2 3 2 2" xfId="37348"/>
    <cellStyle name="Normal 8 4 3 3 2 3 3" xfId="29337"/>
    <cellStyle name="Normal 8 4 3 3 2 4" xfId="17314"/>
    <cellStyle name="Normal 8 4 3 3 2 4 2" xfId="31339"/>
    <cellStyle name="Normal 8 4 3 3 2 5" xfId="19316"/>
    <cellStyle name="Normal 8 4 3 3 2 5 2" xfId="33341"/>
    <cellStyle name="Normal 8 4 3 3 2 6" xfId="25330"/>
    <cellStyle name="Normal 8 4 3 3 3" xfId="13292"/>
    <cellStyle name="Normal 8 4 3 3 3 2" xfId="21317"/>
    <cellStyle name="Normal 8 4 3 3 3 2 2" xfId="35342"/>
    <cellStyle name="Normal 8 4 3 3 3 3" xfId="27331"/>
    <cellStyle name="Normal 8 4 3 3 4" xfId="15307"/>
    <cellStyle name="Normal 8 4 3 3 4 2" xfId="23322"/>
    <cellStyle name="Normal 8 4 3 3 4 2 2" xfId="37347"/>
    <cellStyle name="Normal 8 4 3 3 4 3" xfId="29336"/>
    <cellStyle name="Normal 8 4 3 3 5" xfId="17313"/>
    <cellStyle name="Normal 8 4 3 3 5 2" xfId="31338"/>
    <cellStyle name="Normal 8 4 3 3 6" xfId="19315"/>
    <cellStyle name="Normal 8 4 3 3 6 2" xfId="33340"/>
    <cellStyle name="Normal 8 4 3 3 7" xfId="25329"/>
    <cellStyle name="Normal 8 4 3 4" xfId="2700"/>
    <cellStyle name="Normal 8 4 3 4 2" xfId="2701"/>
    <cellStyle name="Normal 8 4 3 4 2 2" xfId="13295"/>
    <cellStyle name="Normal 8 4 3 4 2 2 2" xfId="21320"/>
    <cellStyle name="Normal 8 4 3 4 2 2 2 2" xfId="35345"/>
    <cellStyle name="Normal 8 4 3 4 2 2 3" xfId="27334"/>
    <cellStyle name="Normal 8 4 3 4 2 3" xfId="15310"/>
    <cellStyle name="Normal 8 4 3 4 2 3 2" xfId="23325"/>
    <cellStyle name="Normal 8 4 3 4 2 3 2 2" xfId="37350"/>
    <cellStyle name="Normal 8 4 3 4 2 3 3" xfId="29339"/>
    <cellStyle name="Normal 8 4 3 4 2 4" xfId="17316"/>
    <cellStyle name="Normal 8 4 3 4 2 4 2" xfId="31341"/>
    <cellStyle name="Normal 8 4 3 4 2 5" xfId="19318"/>
    <cellStyle name="Normal 8 4 3 4 2 5 2" xfId="33343"/>
    <cellStyle name="Normal 8 4 3 4 2 6" xfId="25332"/>
    <cellStyle name="Normal 8 4 3 4 3" xfId="13294"/>
    <cellStyle name="Normal 8 4 3 4 3 2" xfId="21319"/>
    <cellStyle name="Normal 8 4 3 4 3 2 2" xfId="35344"/>
    <cellStyle name="Normal 8 4 3 4 3 3" xfId="27333"/>
    <cellStyle name="Normal 8 4 3 4 4" xfId="15309"/>
    <cellStyle name="Normal 8 4 3 4 4 2" xfId="23324"/>
    <cellStyle name="Normal 8 4 3 4 4 2 2" xfId="37349"/>
    <cellStyle name="Normal 8 4 3 4 4 3" xfId="29338"/>
    <cellStyle name="Normal 8 4 3 4 5" xfId="17315"/>
    <cellStyle name="Normal 8 4 3 4 5 2" xfId="31340"/>
    <cellStyle name="Normal 8 4 3 4 6" xfId="19317"/>
    <cellStyle name="Normal 8 4 3 4 6 2" xfId="33342"/>
    <cellStyle name="Normal 8 4 3 4 7" xfId="25331"/>
    <cellStyle name="Normal 8 4 3 5" xfId="2702"/>
    <cellStyle name="Normal 8 4 3 5 2" xfId="13296"/>
    <cellStyle name="Normal 8 4 3 5 2 2" xfId="21321"/>
    <cellStyle name="Normal 8 4 3 5 2 2 2" xfId="35346"/>
    <cellStyle name="Normal 8 4 3 5 2 3" xfId="27335"/>
    <cellStyle name="Normal 8 4 3 5 3" xfId="15311"/>
    <cellStyle name="Normal 8 4 3 5 3 2" xfId="23326"/>
    <cellStyle name="Normal 8 4 3 5 3 2 2" xfId="37351"/>
    <cellStyle name="Normal 8 4 3 5 3 3" xfId="29340"/>
    <cellStyle name="Normal 8 4 3 5 4" xfId="17317"/>
    <cellStyle name="Normal 8 4 3 5 4 2" xfId="31342"/>
    <cellStyle name="Normal 8 4 3 5 5" xfId="19319"/>
    <cellStyle name="Normal 8 4 3 5 5 2" xfId="33344"/>
    <cellStyle name="Normal 8 4 3 5 6" xfId="25333"/>
    <cellStyle name="Normal 8 4 3 6" xfId="13287"/>
    <cellStyle name="Normal 8 4 3 6 2" xfId="21312"/>
    <cellStyle name="Normal 8 4 3 6 2 2" xfId="35337"/>
    <cellStyle name="Normal 8 4 3 6 3" xfId="27326"/>
    <cellStyle name="Normal 8 4 3 7" xfId="15302"/>
    <cellStyle name="Normal 8 4 3 7 2" xfId="23317"/>
    <cellStyle name="Normal 8 4 3 7 2 2" xfId="37342"/>
    <cellStyle name="Normal 8 4 3 7 3" xfId="29331"/>
    <cellStyle name="Normal 8 4 3 8" xfId="17308"/>
    <cellStyle name="Normal 8 4 3 8 2" xfId="31333"/>
    <cellStyle name="Normal 8 4 3 9" xfId="19310"/>
    <cellStyle name="Normal 8 4 3 9 2" xfId="33335"/>
    <cellStyle name="Normal 8 4 4" xfId="2703"/>
    <cellStyle name="Normal 8 4 4 2" xfId="2704"/>
    <cellStyle name="Normal 8 4 4 2 2" xfId="2705"/>
    <cellStyle name="Normal 8 4 4 2 2 2" xfId="13299"/>
    <cellStyle name="Normal 8 4 4 2 2 2 2" xfId="21324"/>
    <cellStyle name="Normal 8 4 4 2 2 2 2 2" xfId="35349"/>
    <cellStyle name="Normal 8 4 4 2 2 2 3" xfId="27338"/>
    <cellStyle name="Normal 8 4 4 2 2 3" xfId="15314"/>
    <cellStyle name="Normal 8 4 4 2 2 3 2" xfId="23329"/>
    <cellStyle name="Normal 8 4 4 2 2 3 2 2" xfId="37354"/>
    <cellStyle name="Normal 8 4 4 2 2 3 3" xfId="29343"/>
    <cellStyle name="Normal 8 4 4 2 2 4" xfId="17320"/>
    <cellStyle name="Normal 8 4 4 2 2 4 2" xfId="31345"/>
    <cellStyle name="Normal 8 4 4 2 2 5" xfId="19322"/>
    <cellStyle name="Normal 8 4 4 2 2 5 2" xfId="33347"/>
    <cellStyle name="Normal 8 4 4 2 2 6" xfId="25336"/>
    <cellStyle name="Normal 8 4 4 2 3" xfId="13298"/>
    <cellStyle name="Normal 8 4 4 2 3 2" xfId="21323"/>
    <cellStyle name="Normal 8 4 4 2 3 2 2" xfId="35348"/>
    <cellStyle name="Normal 8 4 4 2 3 3" xfId="27337"/>
    <cellStyle name="Normal 8 4 4 2 4" xfId="15313"/>
    <cellStyle name="Normal 8 4 4 2 4 2" xfId="23328"/>
    <cellStyle name="Normal 8 4 4 2 4 2 2" xfId="37353"/>
    <cellStyle name="Normal 8 4 4 2 4 3" xfId="29342"/>
    <cellStyle name="Normal 8 4 4 2 5" xfId="17319"/>
    <cellStyle name="Normal 8 4 4 2 5 2" xfId="31344"/>
    <cellStyle name="Normal 8 4 4 2 6" xfId="19321"/>
    <cellStyle name="Normal 8 4 4 2 6 2" xfId="33346"/>
    <cellStyle name="Normal 8 4 4 2 7" xfId="25335"/>
    <cellStyle name="Normal 8 4 4 3" xfId="2706"/>
    <cellStyle name="Normal 8 4 4 3 2" xfId="13300"/>
    <cellStyle name="Normal 8 4 4 3 2 2" xfId="21325"/>
    <cellStyle name="Normal 8 4 4 3 2 2 2" xfId="35350"/>
    <cellStyle name="Normal 8 4 4 3 2 3" xfId="27339"/>
    <cellStyle name="Normal 8 4 4 3 3" xfId="15315"/>
    <cellStyle name="Normal 8 4 4 3 3 2" xfId="23330"/>
    <cellStyle name="Normal 8 4 4 3 3 2 2" xfId="37355"/>
    <cellStyle name="Normal 8 4 4 3 3 3" xfId="29344"/>
    <cellStyle name="Normal 8 4 4 3 4" xfId="17321"/>
    <cellStyle name="Normal 8 4 4 3 4 2" xfId="31346"/>
    <cellStyle name="Normal 8 4 4 3 5" xfId="19323"/>
    <cellStyle name="Normal 8 4 4 3 5 2" xfId="33348"/>
    <cellStyle name="Normal 8 4 4 3 6" xfId="25337"/>
    <cellStyle name="Normal 8 4 4 4" xfId="13297"/>
    <cellStyle name="Normal 8 4 4 4 2" xfId="21322"/>
    <cellStyle name="Normal 8 4 4 4 2 2" xfId="35347"/>
    <cellStyle name="Normal 8 4 4 4 3" xfId="27336"/>
    <cellStyle name="Normal 8 4 4 5" xfId="15312"/>
    <cellStyle name="Normal 8 4 4 5 2" xfId="23327"/>
    <cellStyle name="Normal 8 4 4 5 2 2" xfId="37352"/>
    <cellStyle name="Normal 8 4 4 5 3" xfId="29341"/>
    <cellStyle name="Normal 8 4 4 6" xfId="17318"/>
    <cellStyle name="Normal 8 4 4 6 2" xfId="31343"/>
    <cellStyle name="Normal 8 4 4 7" xfId="19320"/>
    <cellStyle name="Normal 8 4 4 7 2" xfId="33345"/>
    <cellStyle name="Normal 8 4 4 8" xfId="25334"/>
    <cellStyle name="Normal 8 4 5" xfId="2707"/>
    <cellStyle name="Normal 8 4 5 2" xfId="2708"/>
    <cellStyle name="Normal 8 4 5 2 2" xfId="13302"/>
    <cellStyle name="Normal 8 4 5 2 2 2" xfId="21327"/>
    <cellStyle name="Normal 8 4 5 2 2 2 2" xfId="35352"/>
    <cellStyle name="Normal 8 4 5 2 2 3" xfId="27341"/>
    <cellStyle name="Normal 8 4 5 2 3" xfId="15317"/>
    <cellStyle name="Normal 8 4 5 2 3 2" xfId="23332"/>
    <cellStyle name="Normal 8 4 5 2 3 2 2" xfId="37357"/>
    <cellStyle name="Normal 8 4 5 2 3 3" xfId="29346"/>
    <cellStyle name="Normal 8 4 5 2 4" xfId="17323"/>
    <cellStyle name="Normal 8 4 5 2 4 2" xfId="31348"/>
    <cellStyle name="Normal 8 4 5 2 5" xfId="19325"/>
    <cellStyle name="Normal 8 4 5 2 5 2" xfId="33350"/>
    <cellStyle name="Normal 8 4 5 2 6" xfId="25339"/>
    <cellStyle name="Normal 8 4 5 3" xfId="13301"/>
    <cellStyle name="Normal 8 4 5 3 2" xfId="21326"/>
    <cellStyle name="Normal 8 4 5 3 2 2" xfId="35351"/>
    <cellStyle name="Normal 8 4 5 3 3" xfId="27340"/>
    <cellStyle name="Normal 8 4 5 4" xfId="15316"/>
    <cellStyle name="Normal 8 4 5 4 2" xfId="23331"/>
    <cellStyle name="Normal 8 4 5 4 2 2" xfId="37356"/>
    <cellStyle name="Normal 8 4 5 4 3" xfId="29345"/>
    <cellStyle name="Normal 8 4 5 5" xfId="17322"/>
    <cellStyle name="Normal 8 4 5 5 2" xfId="31347"/>
    <cellStyle name="Normal 8 4 5 6" xfId="19324"/>
    <cellStyle name="Normal 8 4 5 6 2" xfId="33349"/>
    <cellStyle name="Normal 8 4 5 7" xfId="25338"/>
    <cellStyle name="Normal 8 4 6" xfId="2709"/>
    <cellStyle name="Normal 8 4 6 2" xfId="2710"/>
    <cellStyle name="Normal 8 4 6 2 2" xfId="13304"/>
    <cellStyle name="Normal 8 4 6 2 2 2" xfId="21329"/>
    <cellStyle name="Normal 8 4 6 2 2 2 2" xfId="35354"/>
    <cellStyle name="Normal 8 4 6 2 2 3" xfId="27343"/>
    <cellStyle name="Normal 8 4 6 2 3" xfId="15319"/>
    <cellStyle name="Normal 8 4 6 2 3 2" xfId="23334"/>
    <cellStyle name="Normal 8 4 6 2 3 2 2" xfId="37359"/>
    <cellStyle name="Normal 8 4 6 2 3 3" xfId="29348"/>
    <cellStyle name="Normal 8 4 6 2 4" xfId="17325"/>
    <cellStyle name="Normal 8 4 6 2 4 2" xfId="31350"/>
    <cellStyle name="Normal 8 4 6 2 5" xfId="19327"/>
    <cellStyle name="Normal 8 4 6 2 5 2" xfId="33352"/>
    <cellStyle name="Normal 8 4 6 2 6" xfId="25341"/>
    <cellStyle name="Normal 8 4 6 3" xfId="13303"/>
    <cellStyle name="Normal 8 4 6 3 2" xfId="21328"/>
    <cellStyle name="Normal 8 4 6 3 2 2" xfId="35353"/>
    <cellStyle name="Normal 8 4 6 3 3" xfId="27342"/>
    <cellStyle name="Normal 8 4 6 4" xfId="15318"/>
    <cellStyle name="Normal 8 4 6 4 2" xfId="23333"/>
    <cellStyle name="Normal 8 4 6 4 2 2" xfId="37358"/>
    <cellStyle name="Normal 8 4 6 4 3" xfId="29347"/>
    <cellStyle name="Normal 8 4 6 5" xfId="17324"/>
    <cellStyle name="Normal 8 4 6 5 2" xfId="31349"/>
    <cellStyle name="Normal 8 4 6 6" xfId="19326"/>
    <cellStyle name="Normal 8 4 6 6 2" xfId="33351"/>
    <cellStyle name="Normal 8 4 6 7" xfId="25340"/>
    <cellStyle name="Normal 8 4 7" xfId="2711"/>
    <cellStyle name="Normal 8 4 7 2" xfId="13305"/>
    <cellStyle name="Normal 8 4 7 2 2" xfId="21330"/>
    <cellStyle name="Normal 8 4 7 2 2 2" xfId="35355"/>
    <cellStyle name="Normal 8 4 7 2 3" xfId="27344"/>
    <cellStyle name="Normal 8 4 7 3" xfId="15320"/>
    <cellStyle name="Normal 8 4 7 3 2" xfId="23335"/>
    <cellStyle name="Normal 8 4 7 3 2 2" xfId="37360"/>
    <cellStyle name="Normal 8 4 7 3 3" xfId="29349"/>
    <cellStyle name="Normal 8 4 7 4" xfId="17326"/>
    <cellStyle name="Normal 8 4 7 4 2" xfId="31351"/>
    <cellStyle name="Normal 8 4 7 5" xfId="19328"/>
    <cellStyle name="Normal 8 4 7 5 2" xfId="33353"/>
    <cellStyle name="Normal 8 4 7 6" xfId="25342"/>
    <cellStyle name="Normal 8 4 8" xfId="13266"/>
    <cellStyle name="Normal 8 4 8 2" xfId="21291"/>
    <cellStyle name="Normal 8 4 8 2 2" xfId="35316"/>
    <cellStyle name="Normal 8 4 8 3" xfId="27305"/>
    <cellStyle name="Normal 8 4 9" xfId="15281"/>
    <cellStyle name="Normal 8 4 9 2" xfId="23296"/>
    <cellStyle name="Normal 8 4 9 2 2" xfId="37321"/>
    <cellStyle name="Normal 8 4 9 3" xfId="29310"/>
    <cellStyle name="Normal 8 5" xfId="2712"/>
    <cellStyle name="Normal 8 5 10" xfId="19329"/>
    <cellStyle name="Normal 8 5 10 2" xfId="33354"/>
    <cellStyle name="Normal 8 5 11" xfId="25343"/>
    <cellStyle name="Normal 8 5 2" xfId="2713"/>
    <cellStyle name="Normal 8 5 2 10" xfId="25344"/>
    <cellStyle name="Normal 8 5 2 2" xfId="2714"/>
    <cellStyle name="Normal 8 5 2 2 2" xfId="2715"/>
    <cellStyle name="Normal 8 5 2 2 2 2" xfId="2716"/>
    <cellStyle name="Normal 8 5 2 2 2 2 2" xfId="13310"/>
    <cellStyle name="Normal 8 5 2 2 2 2 2 2" xfId="21335"/>
    <cellStyle name="Normal 8 5 2 2 2 2 2 2 2" xfId="35360"/>
    <cellStyle name="Normal 8 5 2 2 2 2 2 3" xfId="27349"/>
    <cellStyle name="Normal 8 5 2 2 2 2 3" xfId="15325"/>
    <cellStyle name="Normal 8 5 2 2 2 2 3 2" xfId="23340"/>
    <cellStyle name="Normal 8 5 2 2 2 2 3 2 2" xfId="37365"/>
    <cellStyle name="Normal 8 5 2 2 2 2 3 3" xfId="29354"/>
    <cellStyle name="Normal 8 5 2 2 2 2 4" xfId="17331"/>
    <cellStyle name="Normal 8 5 2 2 2 2 4 2" xfId="31356"/>
    <cellStyle name="Normal 8 5 2 2 2 2 5" xfId="19333"/>
    <cellStyle name="Normal 8 5 2 2 2 2 5 2" xfId="33358"/>
    <cellStyle name="Normal 8 5 2 2 2 2 6" xfId="25347"/>
    <cellStyle name="Normal 8 5 2 2 2 3" xfId="13309"/>
    <cellStyle name="Normal 8 5 2 2 2 3 2" xfId="21334"/>
    <cellStyle name="Normal 8 5 2 2 2 3 2 2" xfId="35359"/>
    <cellStyle name="Normal 8 5 2 2 2 3 3" xfId="27348"/>
    <cellStyle name="Normal 8 5 2 2 2 4" xfId="15324"/>
    <cellStyle name="Normal 8 5 2 2 2 4 2" xfId="23339"/>
    <cellStyle name="Normal 8 5 2 2 2 4 2 2" xfId="37364"/>
    <cellStyle name="Normal 8 5 2 2 2 4 3" xfId="29353"/>
    <cellStyle name="Normal 8 5 2 2 2 5" xfId="17330"/>
    <cellStyle name="Normal 8 5 2 2 2 5 2" xfId="31355"/>
    <cellStyle name="Normal 8 5 2 2 2 6" xfId="19332"/>
    <cellStyle name="Normal 8 5 2 2 2 6 2" xfId="33357"/>
    <cellStyle name="Normal 8 5 2 2 2 7" xfId="25346"/>
    <cellStyle name="Normal 8 5 2 2 3" xfId="2717"/>
    <cellStyle name="Normal 8 5 2 2 3 2" xfId="13311"/>
    <cellStyle name="Normal 8 5 2 2 3 2 2" xfId="21336"/>
    <cellStyle name="Normal 8 5 2 2 3 2 2 2" xfId="35361"/>
    <cellStyle name="Normal 8 5 2 2 3 2 3" xfId="27350"/>
    <cellStyle name="Normal 8 5 2 2 3 3" xfId="15326"/>
    <cellStyle name="Normal 8 5 2 2 3 3 2" xfId="23341"/>
    <cellStyle name="Normal 8 5 2 2 3 3 2 2" xfId="37366"/>
    <cellStyle name="Normal 8 5 2 2 3 3 3" xfId="29355"/>
    <cellStyle name="Normal 8 5 2 2 3 4" xfId="17332"/>
    <cellStyle name="Normal 8 5 2 2 3 4 2" xfId="31357"/>
    <cellStyle name="Normal 8 5 2 2 3 5" xfId="19334"/>
    <cellStyle name="Normal 8 5 2 2 3 5 2" xfId="33359"/>
    <cellStyle name="Normal 8 5 2 2 3 6" xfId="25348"/>
    <cellStyle name="Normal 8 5 2 2 4" xfId="13308"/>
    <cellStyle name="Normal 8 5 2 2 4 2" xfId="21333"/>
    <cellStyle name="Normal 8 5 2 2 4 2 2" xfId="35358"/>
    <cellStyle name="Normal 8 5 2 2 4 3" xfId="27347"/>
    <cellStyle name="Normal 8 5 2 2 5" xfId="15323"/>
    <cellStyle name="Normal 8 5 2 2 5 2" xfId="23338"/>
    <cellStyle name="Normal 8 5 2 2 5 2 2" xfId="37363"/>
    <cellStyle name="Normal 8 5 2 2 5 3" xfId="29352"/>
    <cellStyle name="Normal 8 5 2 2 6" xfId="17329"/>
    <cellStyle name="Normal 8 5 2 2 6 2" xfId="31354"/>
    <cellStyle name="Normal 8 5 2 2 7" xfId="19331"/>
    <cellStyle name="Normal 8 5 2 2 7 2" xfId="33356"/>
    <cellStyle name="Normal 8 5 2 2 8" xfId="25345"/>
    <cellStyle name="Normal 8 5 2 3" xfId="2718"/>
    <cellStyle name="Normal 8 5 2 3 2" xfId="2719"/>
    <cellStyle name="Normal 8 5 2 3 2 2" xfId="13313"/>
    <cellStyle name="Normal 8 5 2 3 2 2 2" xfId="21338"/>
    <cellStyle name="Normal 8 5 2 3 2 2 2 2" xfId="35363"/>
    <cellStyle name="Normal 8 5 2 3 2 2 3" xfId="27352"/>
    <cellStyle name="Normal 8 5 2 3 2 3" xfId="15328"/>
    <cellStyle name="Normal 8 5 2 3 2 3 2" xfId="23343"/>
    <cellStyle name="Normal 8 5 2 3 2 3 2 2" xfId="37368"/>
    <cellStyle name="Normal 8 5 2 3 2 3 3" xfId="29357"/>
    <cellStyle name="Normal 8 5 2 3 2 4" xfId="17334"/>
    <cellStyle name="Normal 8 5 2 3 2 4 2" xfId="31359"/>
    <cellStyle name="Normal 8 5 2 3 2 5" xfId="19336"/>
    <cellStyle name="Normal 8 5 2 3 2 5 2" xfId="33361"/>
    <cellStyle name="Normal 8 5 2 3 2 6" xfId="25350"/>
    <cellStyle name="Normal 8 5 2 3 3" xfId="13312"/>
    <cellStyle name="Normal 8 5 2 3 3 2" xfId="21337"/>
    <cellStyle name="Normal 8 5 2 3 3 2 2" xfId="35362"/>
    <cellStyle name="Normal 8 5 2 3 3 3" xfId="27351"/>
    <cellStyle name="Normal 8 5 2 3 4" xfId="15327"/>
    <cellStyle name="Normal 8 5 2 3 4 2" xfId="23342"/>
    <cellStyle name="Normal 8 5 2 3 4 2 2" xfId="37367"/>
    <cellStyle name="Normal 8 5 2 3 4 3" xfId="29356"/>
    <cellStyle name="Normal 8 5 2 3 5" xfId="17333"/>
    <cellStyle name="Normal 8 5 2 3 5 2" xfId="31358"/>
    <cellStyle name="Normal 8 5 2 3 6" xfId="19335"/>
    <cellStyle name="Normal 8 5 2 3 6 2" xfId="33360"/>
    <cellStyle name="Normal 8 5 2 3 7" xfId="25349"/>
    <cellStyle name="Normal 8 5 2 4" xfId="2720"/>
    <cellStyle name="Normal 8 5 2 4 2" xfId="2721"/>
    <cellStyle name="Normal 8 5 2 4 2 2" xfId="13315"/>
    <cellStyle name="Normal 8 5 2 4 2 2 2" xfId="21340"/>
    <cellStyle name="Normal 8 5 2 4 2 2 2 2" xfId="35365"/>
    <cellStyle name="Normal 8 5 2 4 2 2 3" xfId="27354"/>
    <cellStyle name="Normal 8 5 2 4 2 3" xfId="15330"/>
    <cellStyle name="Normal 8 5 2 4 2 3 2" xfId="23345"/>
    <cellStyle name="Normal 8 5 2 4 2 3 2 2" xfId="37370"/>
    <cellStyle name="Normal 8 5 2 4 2 3 3" xfId="29359"/>
    <cellStyle name="Normal 8 5 2 4 2 4" xfId="17336"/>
    <cellStyle name="Normal 8 5 2 4 2 4 2" xfId="31361"/>
    <cellStyle name="Normal 8 5 2 4 2 5" xfId="19338"/>
    <cellStyle name="Normal 8 5 2 4 2 5 2" xfId="33363"/>
    <cellStyle name="Normal 8 5 2 4 2 6" xfId="25352"/>
    <cellStyle name="Normal 8 5 2 4 3" xfId="13314"/>
    <cellStyle name="Normal 8 5 2 4 3 2" xfId="21339"/>
    <cellStyle name="Normal 8 5 2 4 3 2 2" xfId="35364"/>
    <cellStyle name="Normal 8 5 2 4 3 3" xfId="27353"/>
    <cellStyle name="Normal 8 5 2 4 4" xfId="15329"/>
    <cellStyle name="Normal 8 5 2 4 4 2" xfId="23344"/>
    <cellStyle name="Normal 8 5 2 4 4 2 2" xfId="37369"/>
    <cellStyle name="Normal 8 5 2 4 4 3" xfId="29358"/>
    <cellStyle name="Normal 8 5 2 4 5" xfId="17335"/>
    <cellStyle name="Normal 8 5 2 4 5 2" xfId="31360"/>
    <cellStyle name="Normal 8 5 2 4 6" xfId="19337"/>
    <cellStyle name="Normal 8 5 2 4 6 2" xfId="33362"/>
    <cellStyle name="Normal 8 5 2 4 7" xfId="25351"/>
    <cellStyle name="Normal 8 5 2 5" xfId="2722"/>
    <cellStyle name="Normal 8 5 2 5 2" xfId="13316"/>
    <cellStyle name="Normal 8 5 2 5 2 2" xfId="21341"/>
    <cellStyle name="Normal 8 5 2 5 2 2 2" xfId="35366"/>
    <cellStyle name="Normal 8 5 2 5 2 3" xfId="27355"/>
    <cellStyle name="Normal 8 5 2 5 3" xfId="15331"/>
    <cellStyle name="Normal 8 5 2 5 3 2" xfId="23346"/>
    <cellStyle name="Normal 8 5 2 5 3 2 2" xfId="37371"/>
    <cellStyle name="Normal 8 5 2 5 3 3" xfId="29360"/>
    <cellStyle name="Normal 8 5 2 5 4" xfId="17337"/>
    <cellStyle name="Normal 8 5 2 5 4 2" xfId="31362"/>
    <cellStyle name="Normal 8 5 2 5 5" xfId="19339"/>
    <cellStyle name="Normal 8 5 2 5 5 2" xfId="33364"/>
    <cellStyle name="Normal 8 5 2 5 6" xfId="25353"/>
    <cellStyle name="Normal 8 5 2 6" xfId="13307"/>
    <cellStyle name="Normal 8 5 2 6 2" xfId="21332"/>
    <cellStyle name="Normal 8 5 2 6 2 2" xfId="35357"/>
    <cellStyle name="Normal 8 5 2 6 3" xfId="27346"/>
    <cellStyle name="Normal 8 5 2 7" xfId="15322"/>
    <cellStyle name="Normal 8 5 2 7 2" xfId="23337"/>
    <cellStyle name="Normal 8 5 2 7 2 2" xfId="37362"/>
    <cellStyle name="Normal 8 5 2 7 3" xfId="29351"/>
    <cellStyle name="Normal 8 5 2 8" xfId="17328"/>
    <cellStyle name="Normal 8 5 2 8 2" xfId="31353"/>
    <cellStyle name="Normal 8 5 2 9" xfId="19330"/>
    <cellStyle name="Normal 8 5 2 9 2" xfId="33355"/>
    <cellStyle name="Normal 8 5 3" xfId="2723"/>
    <cellStyle name="Normal 8 5 3 2" xfId="2724"/>
    <cellStyle name="Normal 8 5 3 2 2" xfId="2725"/>
    <cellStyle name="Normal 8 5 3 2 2 2" xfId="13319"/>
    <cellStyle name="Normal 8 5 3 2 2 2 2" xfId="21344"/>
    <cellStyle name="Normal 8 5 3 2 2 2 2 2" xfId="35369"/>
    <cellStyle name="Normal 8 5 3 2 2 2 3" xfId="27358"/>
    <cellStyle name="Normal 8 5 3 2 2 3" xfId="15334"/>
    <cellStyle name="Normal 8 5 3 2 2 3 2" xfId="23349"/>
    <cellStyle name="Normal 8 5 3 2 2 3 2 2" xfId="37374"/>
    <cellStyle name="Normal 8 5 3 2 2 3 3" xfId="29363"/>
    <cellStyle name="Normal 8 5 3 2 2 4" xfId="17340"/>
    <cellStyle name="Normal 8 5 3 2 2 4 2" xfId="31365"/>
    <cellStyle name="Normal 8 5 3 2 2 5" xfId="19342"/>
    <cellStyle name="Normal 8 5 3 2 2 5 2" xfId="33367"/>
    <cellStyle name="Normal 8 5 3 2 2 6" xfId="25356"/>
    <cellStyle name="Normal 8 5 3 2 3" xfId="13318"/>
    <cellStyle name="Normal 8 5 3 2 3 2" xfId="21343"/>
    <cellStyle name="Normal 8 5 3 2 3 2 2" xfId="35368"/>
    <cellStyle name="Normal 8 5 3 2 3 3" xfId="27357"/>
    <cellStyle name="Normal 8 5 3 2 4" xfId="15333"/>
    <cellStyle name="Normal 8 5 3 2 4 2" xfId="23348"/>
    <cellStyle name="Normal 8 5 3 2 4 2 2" xfId="37373"/>
    <cellStyle name="Normal 8 5 3 2 4 3" xfId="29362"/>
    <cellStyle name="Normal 8 5 3 2 5" xfId="17339"/>
    <cellStyle name="Normal 8 5 3 2 5 2" xfId="31364"/>
    <cellStyle name="Normal 8 5 3 2 6" xfId="19341"/>
    <cellStyle name="Normal 8 5 3 2 6 2" xfId="33366"/>
    <cellStyle name="Normal 8 5 3 2 7" xfId="25355"/>
    <cellStyle name="Normal 8 5 3 3" xfId="2726"/>
    <cellStyle name="Normal 8 5 3 3 2" xfId="13320"/>
    <cellStyle name="Normal 8 5 3 3 2 2" xfId="21345"/>
    <cellStyle name="Normal 8 5 3 3 2 2 2" xfId="35370"/>
    <cellStyle name="Normal 8 5 3 3 2 3" xfId="27359"/>
    <cellStyle name="Normal 8 5 3 3 3" xfId="15335"/>
    <cellStyle name="Normal 8 5 3 3 3 2" xfId="23350"/>
    <cellStyle name="Normal 8 5 3 3 3 2 2" xfId="37375"/>
    <cellStyle name="Normal 8 5 3 3 3 3" xfId="29364"/>
    <cellStyle name="Normal 8 5 3 3 4" xfId="17341"/>
    <cellStyle name="Normal 8 5 3 3 4 2" xfId="31366"/>
    <cellStyle name="Normal 8 5 3 3 5" xfId="19343"/>
    <cellStyle name="Normal 8 5 3 3 5 2" xfId="33368"/>
    <cellStyle name="Normal 8 5 3 3 6" xfId="25357"/>
    <cellStyle name="Normal 8 5 3 4" xfId="13317"/>
    <cellStyle name="Normal 8 5 3 4 2" xfId="21342"/>
    <cellStyle name="Normal 8 5 3 4 2 2" xfId="35367"/>
    <cellStyle name="Normal 8 5 3 4 3" xfId="27356"/>
    <cellStyle name="Normal 8 5 3 5" xfId="15332"/>
    <cellStyle name="Normal 8 5 3 5 2" xfId="23347"/>
    <cellStyle name="Normal 8 5 3 5 2 2" xfId="37372"/>
    <cellStyle name="Normal 8 5 3 5 3" xfId="29361"/>
    <cellStyle name="Normal 8 5 3 6" xfId="17338"/>
    <cellStyle name="Normal 8 5 3 6 2" xfId="31363"/>
    <cellStyle name="Normal 8 5 3 7" xfId="19340"/>
    <cellStyle name="Normal 8 5 3 7 2" xfId="33365"/>
    <cellStyle name="Normal 8 5 3 8" xfId="25354"/>
    <cellStyle name="Normal 8 5 4" xfId="2727"/>
    <cellStyle name="Normal 8 5 4 2" xfId="2728"/>
    <cellStyle name="Normal 8 5 4 2 2" xfId="13322"/>
    <cellStyle name="Normal 8 5 4 2 2 2" xfId="21347"/>
    <cellStyle name="Normal 8 5 4 2 2 2 2" xfId="35372"/>
    <cellStyle name="Normal 8 5 4 2 2 3" xfId="27361"/>
    <cellStyle name="Normal 8 5 4 2 3" xfId="15337"/>
    <cellStyle name="Normal 8 5 4 2 3 2" xfId="23352"/>
    <cellStyle name="Normal 8 5 4 2 3 2 2" xfId="37377"/>
    <cellStyle name="Normal 8 5 4 2 3 3" xfId="29366"/>
    <cellStyle name="Normal 8 5 4 2 4" xfId="17343"/>
    <cellStyle name="Normal 8 5 4 2 4 2" xfId="31368"/>
    <cellStyle name="Normal 8 5 4 2 5" xfId="19345"/>
    <cellStyle name="Normal 8 5 4 2 5 2" xfId="33370"/>
    <cellStyle name="Normal 8 5 4 2 6" xfId="25359"/>
    <cellStyle name="Normal 8 5 4 3" xfId="13321"/>
    <cellStyle name="Normal 8 5 4 3 2" xfId="21346"/>
    <cellStyle name="Normal 8 5 4 3 2 2" xfId="35371"/>
    <cellStyle name="Normal 8 5 4 3 3" xfId="27360"/>
    <cellStyle name="Normal 8 5 4 4" xfId="15336"/>
    <cellStyle name="Normal 8 5 4 4 2" xfId="23351"/>
    <cellStyle name="Normal 8 5 4 4 2 2" xfId="37376"/>
    <cellStyle name="Normal 8 5 4 4 3" xfId="29365"/>
    <cellStyle name="Normal 8 5 4 5" xfId="17342"/>
    <cellStyle name="Normal 8 5 4 5 2" xfId="31367"/>
    <cellStyle name="Normal 8 5 4 6" xfId="19344"/>
    <cellStyle name="Normal 8 5 4 6 2" xfId="33369"/>
    <cellStyle name="Normal 8 5 4 7" xfId="25358"/>
    <cellStyle name="Normal 8 5 5" xfId="2729"/>
    <cellStyle name="Normal 8 5 5 2" xfId="2730"/>
    <cellStyle name="Normal 8 5 5 2 2" xfId="13324"/>
    <cellStyle name="Normal 8 5 5 2 2 2" xfId="21349"/>
    <cellStyle name="Normal 8 5 5 2 2 2 2" xfId="35374"/>
    <cellStyle name="Normal 8 5 5 2 2 3" xfId="27363"/>
    <cellStyle name="Normal 8 5 5 2 3" xfId="15339"/>
    <cellStyle name="Normal 8 5 5 2 3 2" xfId="23354"/>
    <cellStyle name="Normal 8 5 5 2 3 2 2" xfId="37379"/>
    <cellStyle name="Normal 8 5 5 2 3 3" xfId="29368"/>
    <cellStyle name="Normal 8 5 5 2 4" xfId="17345"/>
    <cellStyle name="Normal 8 5 5 2 4 2" xfId="31370"/>
    <cellStyle name="Normal 8 5 5 2 5" xfId="19347"/>
    <cellStyle name="Normal 8 5 5 2 5 2" xfId="33372"/>
    <cellStyle name="Normal 8 5 5 2 6" xfId="25361"/>
    <cellStyle name="Normal 8 5 5 3" xfId="13323"/>
    <cellStyle name="Normal 8 5 5 3 2" xfId="21348"/>
    <cellStyle name="Normal 8 5 5 3 2 2" xfId="35373"/>
    <cellStyle name="Normal 8 5 5 3 3" xfId="27362"/>
    <cellStyle name="Normal 8 5 5 4" xfId="15338"/>
    <cellStyle name="Normal 8 5 5 4 2" xfId="23353"/>
    <cellStyle name="Normal 8 5 5 4 2 2" xfId="37378"/>
    <cellStyle name="Normal 8 5 5 4 3" xfId="29367"/>
    <cellStyle name="Normal 8 5 5 5" xfId="17344"/>
    <cellStyle name="Normal 8 5 5 5 2" xfId="31369"/>
    <cellStyle name="Normal 8 5 5 6" xfId="19346"/>
    <cellStyle name="Normal 8 5 5 6 2" xfId="33371"/>
    <cellStyle name="Normal 8 5 5 7" xfId="25360"/>
    <cellStyle name="Normal 8 5 6" xfId="2731"/>
    <cellStyle name="Normal 8 5 6 2" xfId="13325"/>
    <cellStyle name="Normal 8 5 6 2 2" xfId="21350"/>
    <cellStyle name="Normal 8 5 6 2 2 2" xfId="35375"/>
    <cellStyle name="Normal 8 5 6 2 3" xfId="27364"/>
    <cellStyle name="Normal 8 5 6 3" xfId="15340"/>
    <cellStyle name="Normal 8 5 6 3 2" xfId="23355"/>
    <cellStyle name="Normal 8 5 6 3 2 2" xfId="37380"/>
    <cellStyle name="Normal 8 5 6 3 3" xfId="29369"/>
    <cellStyle name="Normal 8 5 6 4" xfId="17346"/>
    <cellStyle name="Normal 8 5 6 4 2" xfId="31371"/>
    <cellStyle name="Normal 8 5 6 5" xfId="19348"/>
    <cellStyle name="Normal 8 5 6 5 2" xfId="33373"/>
    <cellStyle name="Normal 8 5 6 6" xfId="25362"/>
    <cellStyle name="Normal 8 5 7" xfId="13306"/>
    <cellStyle name="Normal 8 5 7 2" xfId="21331"/>
    <cellStyle name="Normal 8 5 7 2 2" xfId="35356"/>
    <cellStyle name="Normal 8 5 7 3" xfId="27345"/>
    <cellStyle name="Normal 8 5 8" xfId="15321"/>
    <cellStyle name="Normal 8 5 8 2" xfId="23336"/>
    <cellStyle name="Normal 8 5 8 2 2" xfId="37361"/>
    <cellStyle name="Normal 8 5 8 3" xfId="29350"/>
    <cellStyle name="Normal 8 5 9" xfId="17327"/>
    <cellStyle name="Normal 8 5 9 2" xfId="31352"/>
    <cellStyle name="Normal 8 6" xfId="2732"/>
    <cellStyle name="Normal 8 6 10" xfId="25363"/>
    <cellStyle name="Normal 8 6 2" xfId="2733"/>
    <cellStyle name="Normal 8 6 2 2" xfId="2734"/>
    <cellStyle name="Normal 8 6 2 2 2" xfId="2735"/>
    <cellStyle name="Normal 8 6 2 2 2 2" xfId="13329"/>
    <cellStyle name="Normal 8 6 2 2 2 2 2" xfId="21354"/>
    <cellStyle name="Normal 8 6 2 2 2 2 2 2" xfId="35379"/>
    <cellStyle name="Normal 8 6 2 2 2 2 3" xfId="27368"/>
    <cellStyle name="Normal 8 6 2 2 2 3" xfId="15344"/>
    <cellStyle name="Normal 8 6 2 2 2 3 2" xfId="23359"/>
    <cellStyle name="Normal 8 6 2 2 2 3 2 2" xfId="37384"/>
    <cellStyle name="Normal 8 6 2 2 2 3 3" xfId="29373"/>
    <cellStyle name="Normal 8 6 2 2 2 4" xfId="17350"/>
    <cellStyle name="Normal 8 6 2 2 2 4 2" xfId="31375"/>
    <cellStyle name="Normal 8 6 2 2 2 5" xfId="19352"/>
    <cellStyle name="Normal 8 6 2 2 2 5 2" xfId="33377"/>
    <cellStyle name="Normal 8 6 2 2 2 6" xfId="25366"/>
    <cellStyle name="Normal 8 6 2 2 3" xfId="13328"/>
    <cellStyle name="Normal 8 6 2 2 3 2" xfId="21353"/>
    <cellStyle name="Normal 8 6 2 2 3 2 2" xfId="35378"/>
    <cellStyle name="Normal 8 6 2 2 3 3" xfId="27367"/>
    <cellStyle name="Normal 8 6 2 2 4" xfId="15343"/>
    <cellStyle name="Normal 8 6 2 2 4 2" xfId="23358"/>
    <cellStyle name="Normal 8 6 2 2 4 2 2" xfId="37383"/>
    <cellStyle name="Normal 8 6 2 2 4 3" xfId="29372"/>
    <cellStyle name="Normal 8 6 2 2 5" xfId="17349"/>
    <cellStyle name="Normal 8 6 2 2 5 2" xfId="31374"/>
    <cellStyle name="Normal 8 6 2 2 6" xfId="19351"/>
    <cellStyle name="Normal 8 6 2 2 6 2" xfId="33376"/>
    <cellStyle name="Normal 8 6 2 2 7" xfId="25365"/>
    <cellStyle name="Normal 8 6 2 3" xfId="2736"/>
    <cellStyle name="Normal 8 6 2 3 2" xfId="13330"/>
    <cellStyle name="Normal 8 6 2 3 2 2" xfId="21355"/>
    <cellStyle name="Normal 8 6 2 3 2 2 2" xfId="35380"/>
    <cellStyle name="Normal 8 6 2 3 2 3" xfId="27369"/>
    <cellStyle name="Normal 8 6 2 3 3" xfId="15345"/>
    <cellStyle name="Normal 8 6 2 3 3 2" xfId="23360"/>
    <cellStyle name="Normal 8 6 2 3 3 2 2" xfId="37385"/>
    <cellStyle name="Normal 8 6 2 3 3 3" xfId="29374"/>
    <cellStyle name="Normal 8 6 2 3 4" xfId="17351"/>
    <cellStyle name="Normal 8 6 2 3 4 2" xfId="31376"/>
    <cellStyle name="Normal 8 6 2 3 5" xfId="19353"/>
    <cellStyle name="Normal 8 6 2 3 5 2" xfId="33378"/>
    <cellStyle name="Normal 8 6 2 3 6" xfId="25367"/>
    <cellStyle name="Normal 8 6 2 4" xfId="13327"/>
    <cellStyle name="Normal 8 6 2 4 2" xfId="21352"/>
    <cellStyle name="Normal 8 6 2 4 2 2" xfId="35377"/>
    <cellStyle name="Normal 8 6 2 4 3" xfId="27366"/>
    <cellStyle name="Normal 8 6 2 5" xfId="15342"/>
    <cellStyle name="Normal 8 6 2 5 2" xfId="23357"/>
    <cellStyle name="Normal 8 6 2 5 2 2" xfId="37382"/>
    <cellStyle name="Normal 8 6 2 5 3" xfId="29371"/>
    <cellStyle name="Normal 8 6 2 6" xfId="17348"/>
    <cellStyle name="Normal 8 6 2 6 2" xfId="31373"/>
    <cellStyle name="Normal 8 6 2 7" xfId="19350"/>
    <cellStyle name="Normal 8 6 2 7 2" xfId="33375"/>
    <cellStyle name="Normal 8 6 2 8" xfId="25364"/>
    <cellStyle name="Normal 8 6 3" xfId="2737"/>
    <cellStyle name="Normal 8 6 3 2" xfId="2738"/>
    <cellStyle name="Normal 8 6 3 2 2" xfId="13332"/>
    <cellStyle name="Normal 8 6 3 2 2 2" xfId="21357"/>
    <cellStyle name="Normal 8 6 3 2 2 2 2" xfId="35382"/>
    <cellStyle name="Normal 8 6 3 2 2 3" xfId="27371"/>
    <cellStyle name="Normal 8 6 3 2 3" xfId="15347"/>
    <cellStyle name="Normal 8 6 3 2 3 2" xfId="23362"/>
    <cellStyle name="Normal 8 6 3 2 3 2 2" xfId="37387"/>
    <cellStyle name="Normal 8 6 3 2 3 3" xfId="29376"/>
    <cellStyle name="Normal 8 6 3 2 4" xfId="17353"/>
    <cellStyle name="Normal 8 6 3 2 4 2" xfId="31378"/>
    <cellStyle name="Normal 8 6 3 2 5" xfId="19355"/>
    <cellStyle name="Normal 8 6 3 2 5 2" xfId="33380"/>
    <cellStyle name="Normal 8 6 3 2 6" xfId="25369"/>
    <cellStyle name="Normal 8 6 3 3" xfId="13331"/>
    <cellStyle name="Normal 8 6 3 3 2" xfId="21356"/>
    <cellStyle name="Normal 8 6 3 3 2 2" xfId="35381"/>
    <cellStyle name="Normal 8 6 3 3 3" xfId="27370"/>
    <cellStyle name="Normal 8 6 3 4" xfId="15346"/>
    <cellStyle name="Normal 8 6 3 4 2" xfId="23361"/>
    <cellStyle name="Normal 8 6 3 4 2 2" xfId="37386"/>
    <cellStyle name="Normal 8 6 3 4 3" xfId="29375"/>
    <cellStyle name="Normal 8 6 3 5" xfId="17352"/>
    <cellStyle name="Normal 8 6 3 5 2" xfId="31377"/>
    <cellStyle name="Normal 8 6 3 6" xfId="19354"/>
    <cellStyle name="Normal 8 6 3 6 2" xfId="33379"/>
    <cellStyle name="Normal 8 6 3 7" xfId="25368"/>
    <cellStyle name="Normal 8 6 4" xfId="2739"/>
    <cellStyle name="Normal 8 6 4 2" xfId="2740"/>
    <cellStyle name="Normal 8 6 4 2 2" xfId="13334"/>
    <cellStyle name="Normal 8 6 4 2 2 2" xfId="21359"/>
    <cellStyle name="Normal 8 6 4 2 2 2 2" xfId="35384"/>
    <cellStyle name="Normal 8 6 4 2 2 3" xfId="27373"/>
    <cellStyle name="Normal 8 6 4 2 3" xfId="15349"/>
    <cellStyle name="Normal 8 6 4 2 3 2" xfId="23364"/>
    <cellStyle name="Normal 8 6 4 2 3 2 2" xfId="37389"/>
    <cellStyle name="Normal 8 6 4 2 3 3" xfId="29378"/>
    <cellStyle name="Normal 8 6 4 2 4" xfId="17355"/>
    <cellStyle name="Normal 8 6 4 2 4 2" xfId="31380"/>
    <cellStyle name="Normal 8 6 4 2 5" xfId="19357"/>
    <cellStyle name="Normal 8 6 4 2 5 2" xfId="33382"/>
    <cellStyle name="Normal 8 6 4 2 6" xfId="25371"/>
    <cellStyle name="Normal 8 6 4 3" xfId="13333"/>
    <cellStyle name="Normal 8 6 4 3 2" xfId="21358"/>
    <cellStyle name="Normal 8 6 4 3 2 2" xfId="35383"/>
    <cellStyle name="Normal 8 6 4 3 3" xfId="27372"/>
    <cellStyle name="Normal 8 6 4 4" xfId="15348"/>
    <cellStyle name="Normal 8 6 4 4 2" xfId="23363"/>
    <cellStyle name="Normal 8 6 4 4 2 2" xfId="37388"/>
    <cellStyle name="Normal 8 6 4 4 3" xfId="29377"/>
    <cellStyle name="Normal 8 6 4 5" xfId="17354"/>
    <cellStyle name="Normal 8 6 4 5 2" xfId="31379"/>
    <cellStyle name="Normal 8 6 4 6" xfId="19356"/>
    <cellStyle name="Normal 8 6 4 6 2" xfId="33381"/>
    <cellStyle name="Normal 8 6 4 7" xfId="25370"/>
    <cellStyle name="Normal 8 6 5" xfId="2741"/>
    <cellStyle name="Normal 8 6 5 2" xfId="13335"/>
    <cellStyle name="Normal 8 6 5 2 2" xfId="21360"/>
    <cellStyle name="Normal 8 6 5 2 2 2" xfId="35385"/>
    <cellStyle name="Normal 8 6 5 2 3" xfId="27374"/>
    <cellStyle name="Normal 8 6 5 3" xfId="15350"/>
    <cellStyle name="Normal 8 6 5 3 2" xfId="23365"/>
    <cellStyle name="Normal 8 6 5 3 2 2" xfId="37390"/>
    <cellStyle name="Normal 8 6 5 3 3" xfId="29379"/>
    <cellStyle name="Normal 8 6 5 4" xfId="17356"/>
    <cellStyle name="Normal 8 6 5 4 2" xfId="31381"/>
    <cellStyle name="Normal 8 6 5 5" xfId="19358"/>
    <cellStyle name="Normal 8 6 5 5 2" xfId="33383"/>
    <cellStyle name="Normal 8 6 5 6" xfId="25372"/>
    <cellStyle name="Normal 8 6 6" xfId="13326"/>
    <cellStyle name="Normal 8 6 6 2" xfId="21351"/>
    <cellStyle name="Normal 8 6 6 2 2" xfId="35376"/>
    <cellStyle name="Normal 8 6 6 3" xfId="27365"/>
    <cellStyle name="Normal 8 6 7" xfId="15341"/>
    <cellStyle name="Normal 8 6 7 2" xfId="23356"/>
    <cellStyle name="Normal 8 6 7 2 2" xfId="37381"/>
    <cellStyle name="Normal 8 6 7 3" xfId="29370"/>
    <cellStyle name="Normal 8 6 8" xfId="17347"/>
    <cellStyle name="Normal 8 6 8 2" xfId="31372"/>
    <cellStyle name="Normal 8 6 9" xfId="19349"/>
    <cellStyle name="Normal 8 6 9 2" xfId="33374"/>
    <cellStyle name="Normal 8 7" xfId="2742"/>
    <cellStyle name="Normal 8 7 2" xfId="2743"/>
    <cellStyle name="Normal 8 7 2 2" xfId="2744"/>
    <cellStyle name="Normal 8 7 2 2 2" xfId="13338"/>
    <cellStyle name="Normal 8 7 2 2 2 2" xfId="21363"/>
    <cellStyle name="Normal 8 7 2 2 2 2 2" xfId="35388"/>
    <cellStyle name="Normal 8 7 2 2 2 3" xfId="27377"/>
    <cellStyle name="Normal 8 7 2 2 3" xfId="15353"/>
    <cellStyle name="Normal 8 7 2 2 3 2" xfId="23368"/>
    <cellStyle name="Normal 8 7 2 2 3 2 2" xfId="37393"/>
    <cellStyle name="Normal 8 7 2 2 3 3" xfId="29382"/>
    <cellStyle name="Normal 8 7 2 2 4" xfId="17359"/>
    <cellStyle name="Normal 8 7 2 2 4 2" xfId="31384"/>
    <cellStyle name="Normal 8 7 2 2 5" xfId="19361"/>
    <cellStyle name="Normal 8 7 2 2 5 2" xfId="33386"/>
    <cellStyle name="Normal 8 7 2 2 6" xfId="25375"/>
    <cellStyle name="Normal 8 7 2 3" xfId="13337"/>
    <cellStyle name="Normal 8 7 2 3 2" xfId="21362"/>
    <cellStyle name="Normal 8 7 2 3 2 2" xfId="35387"/>
    <cellStyle name="Normal 8 7 2 3 3" xfId="27376"/>
    <cellStyle name="Normal 8 7 2 4" xfId="15352"/>
    <cellStyle name="Normal 8 7 2 4 2" xfId="23367"/>
    <cellStyle name="Normal 8 7 2 4 2 2" xfId="37392"/>
    <cellStyle name="Normal 8 7 2 4 3" xfId="29381"/>
    <cellStyle name="Normal 8 7 2 5" xfId="17358"/>
    <cellStyle name="Normal 8 7 2 5 2" xfId="31383"/>
    <cellStyle name="Normal 8 7 2 6" xfId="19360"/>
    <cellStyle name="Normal 8 7 2 6 2" xfId="33385"/>
    <cellStyle name="Normal 8 7 2 7" xfId="25374"/>
    <cellStyle name="Normal 8 7 3" xfId="2745"/>
    <cellStyle name="Normal 8 7 3 2" xfId="13339"/>
    <cellStyle name="Normal 8 7 3 2 2" xfId="21364"/>
    <cellStyle name="Normal 8 7 3 2 2 2" xfId="35389"/>
    <cellStyle name="Normal 8 7 3 2 3" xfId="27378"/>
    <cellStyle name="Normal 8 7 3 3" xfId="15354"/>
    <cellStyle name="Normal 8 7 3 3 2" xfId="23369"/>
    <cellStyle name="Normal 8 7 3 3 2 2" xfId="37394"/>
    <cellStyle name="Normal 8 7 3 3 3" xfId="29383"/>
    <cellStyle name="Normal 8 7 3 4" xfId="17360"/>
    <cellStyle name="Normal 8 7 3 4 2" xfId="31385"/>
    <cellStyle name="Normal 8 7 3 5" xfId="19362"/>
    <cellStyle name="Normal 8 7 3 5 2" xfId="33387"/>
    <cellStyle name="Normal 8 7 3 6" xfId="25376"/>
    <cellStyle name="Normal 8 7 4" xfId="13336"/>
    <cellStyle name="Normal 8 7 4 2" xfId="21361"/>
    <cellStyle name="Normal 8 7 4 2 2" xfId="35386"/>
    <cellStyle name="Normal 8 7 4 3" xfId="27375"/>
    <cellStyle name="Normal 8 7 5" xfId="15351"/>
    <cellStyle name="Normal 8 7 5 2" xfId="23366"/>
    <cellStyle name="Normal 8 7 5 2 2" xfId="37391"/>
    <cellStyle name="Normal 8 7 5 3" xfId="29380"/>
    <cellStyle name="Normal 8 7 6" xfId="17357"/>
    <cellStyle name="Normal 8 7 6 2" xfId="31382"/>
    <cellStyle name="Normal 8 7 7" xfId="19359"/>
    <cellStyle name="Normal 8 7 7 2" xfId="33384"/>
    <cellStyle name="Normal 8 7 8" xfId="25373"/>
    <cellStyle name="Normal 8 8" xfId="2746"/>
    <cellStyle name="Normal 8 8 2" xfId="2747"/>
    <cellStyle name="Normal 8 8 2 2" xfId="13341"/>
    <cellStyle name="Normal 8 8 2 2 2" xfId="21366"/>
    <cellStyle name="Normal 8 8 2 2 2 2" xfId="35391"/>
    <cellStyle name="Normal 8 8 2 2 3" xfId="27380"/>
    <cellStyle name="Normal 8 8 2 3" xfId="15356"/>
    <cellStyle name="Normal 8 8 2 3 2" xfId="23371"/>
    <cellStyle name="Normal 8 8 2 3 2 2" xfId="37396"/>
    <cellStyle name="Normal 8 8 2 3 3" xfId="29385"/>
    <cellStyle name="Normal 8 8 2 4" xfId="17362"/>
    <cellStyle name="Normal 8 8 2 4 2" xfId="31387"/>
    <cellStyle name="Normal 8 8 2 5" xfId="19364"/>
    <cellStyle name="Normal 8 8 2 5 2" xfId="33389"/>
    <cellStyle name="Normal 8 8 2 6" xfId="25378"/>
    <cellStyle name="Normal 8 8 3" xfId="13340"/>
    <cellStyle name="Normal 8 8 3 2" xfId="21365"/>
    <cellStyle name="Normal 8 8 3 2 2" xfId="35390"/>
    <cellStyle name="Normal 8 8 3 3" xfId="27379"/>
    <cellStyle name="Normal 8 8 4" xfId="15355"/>
    <cellStyle name="Normal 8 8 4 2" xfId="23370"/>
    <cellStyle name="Normal 8 8 4 2 2" xfId="37395"/>
    <cellStyle name="Normal 8 8 4 3" xfId="29384"/>
    <cellStyle name="Normal 8 8 5" xfId="17361"/>
    <cellStyle name="Normal 8 8 5 2" xfId="31386"/>
    <cellStyle name="Normal 8 8 6" xfId="19363"/>
    <cellStyle name="Normal 8 8 6 2" xfId="33388"/>
    <cellStyle name="Normal 8 8 7" xfId="25377"/>
    <cellStyle name="Normal 8 9" xfId="2748"/>
    <cellStyle name="Normal 8 9 2" xfId="2749"/>
    <cellStyle name="Normal 8 9 2 2" xfId="13343"/>
    <cellStyle name="Normal 8 9 2 2 2" xfId="21368"/>
    <cellStyle name="Normal 8 9 2 2 2 2" xfId="35393"/>
    <cellStyle name="Normal 8 9 2 2 3" xfId="27382"/>
    <cellStyle name="Normal 8 9 2 3" xfId="15358"/>
    <cellStyle name="Normal 8 9 2 3 2" xfId="23373"/>
    <cellStyle name="Normal 8 9 2 3 2 2" xfId="37398"/>
    <cellStyle name="Normal 8 9 2 3 3" xfId="29387"/>
    <cellStyle name="Normal 8 9 2 4" xfId="17364"/>
    <cellStyle name="Normal 8 9 2 4 2" xfId="31389"/>
    <cellStyle name="Normal 8 9 2 5" xfId="19366"/>
    <cellStyle name="Normal 8 9 2 5 2" xfId="33391"/>
    <cellStyle name="Normal 8 9 2 6" xfId="25380"/>
    <cellStyle name="Normal 8 9 3" xfId="13342"/>
    <cellStyle name="Normal 8 9 3 2" xfId="21367"/>
    <cellStyle name="Normal 8 9 3 2 2" xfId="35392"/>
    <cellStyle name="Normal 8 9 3 3" xfId="27381"/>
    <cellStyle name="Normal 8 9 4" xfId="15357"/>
    <cellStyle name="Normal 8 9 4 2" xfId="23372"/>
    <cellStyle name="Normal 8 9 4 2 2" xfId="37397"/>
    <cellStyle name="Normal 8 9 4 3" xfId="29386"/>
    <cellStyle name="Normal 8 9 5" xfId="17363"/>
    <cellStyle name="Normal 8 9 5 2" xfId="31388"/>
    <cellStyle name="Normal 8 9 6" xfId="19365"/>
    <cellStyle name="Normal 8 9 6 2" xfId="33390"/>
    <cellStyle name="Normal 8 9 7" xfId="25379"/>
    <cellStyle name="Normal 8_10-15-10-Stmt AU - Period I - Working 1 0" xfId="583"/>
    <cellStyle name="Normal 9" xfId="584"/>
    <cellStyle name="Normal 9 10" xfId="2750"/>
    <cellStyle name="Normal 9 10 2" xfId="13344"/>
    <cellStyle name="Normal 9 10 2 2" xfId="21369"/>
    <cellStyle name="Normal 9 10 2 2 2" xfId="35394"/>
    <cellStyle name="Normal 9 10 2 3" xfId="27383"/>
    <cellStyle name="Normal 9 10 3" xfId="15359"/>
    <cellStyle name="Normal 9 10 3 2" xfId="23374"/>
    <cellStyle name="Normal 9 10 3 2 2" xfId="37399"/>
    <cellStyle name="Normal 9 10 3 3" xfId="29388"/>
    <cellStyle name="Normal 9 10 4" xfId="17365"/>
    <cellStyle name="Normal 9 10 4 2" xfId="31390"/>
    <cellStyle name="Normal 9 10 5" xfId="19367"/>
    <cellStyle name="Normal 9 10 5 2" xfId="33392"/>
    <cellStyle name="Normal 9 10 6" xfId="25381"/>
    <cellStyle name="Normal 9 11" xfId="11640"/>
    <cellStyle name="Normal 9 2" xfId="585"/>
    <cellStyle name="Normal 9 2 10" xfId="2751"/>
    <cellStyle name="Normal 9 2 10 2" xfId="13345"/>
    <cellStyle name="Normal 9 2 10 2 2" xfId="21370"/>
    <cellStyle name="Normal 9 2 10 2 2 2" xfId="35395"/>
    <cellStyle name="Normal 9 2 10 2 3" xfId="27384"/>
    <cellStyle name="Normal 9 2 10 3" xfId="15360"/>
    <cellStyle name="Normal 9 2 10 3 2" xfId="23375"/>
    <cellStyle name="Normal 9 2 10 3 2 2" xfId="37400"/>
    <cellStyle name="Normal 9 2 10 3 3" xfId="29389"/>
    <cellStyle name="Normal 9 2 10 4" xfId="17366"/>
    <cellStyle name="Normal 9 2 10 4 2" xfId="31391"/>
    <cellStyle name="Normal 9 2 10 5" xfId="19368"/>
    <cellStyle name="Normal 9 2 10 5 2" xfId="33393"/>
    <cellStyle name="Normal 9 2 10 6" xfId="25382"/>
    <cellStyle name="Normal 9 2 11" xfId="11641"/>
    <cellStyle name="Normal 9 2 2" xfId="586"/>
    <cellStyle name="Normal 9 2 3" xfId="2752"/>
    <cellStyle name="Normal 9 2 3 10" xfId="17367"/>
    <cellStyle name="Normal 9 2 3 10 2" xfId="31392"/>
    <cellStyle name="Normal 9 2 3 11" xfId="19369"/>
    <cellStyle name="Normal 9 2 3 11 2" xfId="33394"/>
    <cellStyle name="Normal 9 2 3 12" xfId="25383"/>
    <cellStyle name="Normal 9 2 3 2" xfId="2753"/>
    <cellStyle name="Normal 9 2 3 2 10" xfId="19370"/>
    <cellStyle name="Normal 9 2 3 2 10 2" xfId="33395"/>
    <cellStyle name="Normal 9 2 3 2 11" xfId="25384"/>
    <cellStyle name="Normal 9 2 3 2 2" xfId="2754"/>
    <cellStyle name="Normal 9 2 3 2 2 10" xfId="25385"/>
    <cellStyle name="Normal 9 2 3 2 2 2" xfId="2755"/>
    <cellStyle name="Normal 9 2 3 2 2 2 2" xfId="2756"/>
    <cellStyle name="Normal 9 2 3 2 2 2 2 2" xfId="2757"/>
    <cellStyle name="Normal 9 2 3 2 2 2 2 2 2" xfId="13351"/>
    <cellStyle name="Normal 9 2 3 2 2 2 2 2 2 2" xfId="21376"/>
    <cellStyle name="Normal 9 2 3 2 2 2 2 2 2 2 2" xfId="35401"/>
    <cellStyle name="Normal 9 2 3 2 2 2 2 2 2 3" xfId="27390"/>
    <cellStyle name="Normal 9 2 3 2 2 2 2 2 3" xfId="15366"/>
    <cellStyle name="Normal 9 2 3 2 2 2 2 2 3 2" xfId="23381"/>
    <cellStyle name="Normal 9 2 3 2 2 2 2 2 3 2 2" xfId="37406"/>
    <cellStyle name="Normal 9 2 3 2 2 2 2 2 3 3" xfId="29395"/>
    <cellStyle name="Normal 9 2 3 2 2 2 2 2 4" xfId="17372"/>
    <cellStyle name="Normal 9 2 3 2 2 2 2 2 4 2" xfId="31397"/>
    <cellStyle name="Normal 9 2 3 2 2 2 2 2 5" xfId="19374"/>
    <cellStyle name="Normal 9 2 3 2 2 2 2 2 5 2" xfId="33399"/>
    <cellStyle name="Normal 9 2 3 2 2 2 2 2 6" xfId="25388"/>
    <cellStyle name="Normal 9 2 3 2 2 2 2 3" xfId="13350"/>
    <cellStyle name="Normal 9 2 3 2 2 2 2 3 2" xfId="21375"/>
    <cellStyle name="Normal 9 2 3 2 2 2 2 3 2 2" xfId="35400"/>
    <cellStyle name="Normal 9 2 3 2 2 2 2 3 3" xfId="27389"/>
    <cellStyle name="Normal 9 2 3 2 2 2 2 4" xfId="15365"/>
    <cellStyle name="Normal 9 2 3 2 2 2 2 4 2" xfId="23380"/>
    <cellStyle name="Normal 9 2 3 2 2 2 2 4 2 2" xfId="37405"/>
    <cellStyle name="Normal 9 2 3 2 2 2 2 4 3" xfId="29394"/>
    <cellStyle name="Normal 9 2 3 2 2 2 2 5" xfId="17371"/>
    <cellStyle name="Normal 9 2 3 2 2 2 2 5 2" xfId="31396"/>
    <cellStyle name="Normal 9 2 3 2 2 2 2 6" xfId="19373"/>
    <cellStyle name="Normal 9 2 3 2 2 2 2 6 2" xfId="33398"/>
    <cellStyle name="Normal 9 2 3 2 2 2 2 7" xfId="25387"/>
    <cellStyle name="Normal 9 2 3 2 2 2 3" xfId="2758"/>
    <cellStyle name="Normal 9 2 3 2 2 2 3 2" xfId="13352"/>
    <cellStyle name="Normal 9 2 3 2 2 2 3 2 2" xfId="21377"/>
    <cellStyle name="Normal 9 2 3 2 2 2 3 2 2 2" xfId="35402"/>
    <cellStyle name="Normal 9 2 3 2 2 2 3 2 3" xfId="27391"/>
    <cellStyle name="Normal 9 2 3 2 2 2 3 3" xfId="15367"/>
    <cellStyle name="Normal 9 2 3 2 2 2 3 3 2" xfId="23382"/>
    <cellStyle name="Normal 9 2 3 2 2 2 3 3 2 2" xfId="37407"/>
    <cellStyle name="Normal 9 2 3 2 2 2 3 3 3" xfId="29396"/>
    <cellStyle name="Normal 9 2 3 2 2 2 3 4" xfId="17373"/>
    <cellStyle name="Normal 9 2 3 2 2 2 3 4 2" xfId="31398"/>
    <cellStyle name="Normal 9 2 3 2 2 2 3 5" xfId="19375"/>
    <cellStyle name="Normal 9 2 3 2 2 2 3 5 2" xfId="33400"/>
    <cellStyle name="Normal 9 2 3 2 2 2 3 6" xfId="25389"/>
    <cellStyle name="Normal 9 2 3 2 2 2 4" xfId="13349"/>
    <cellStyle name="Normal 9 2 3 2 2 2 4 2" xfId="21374"/>
    <cellStyle name="Normal 9 2 3 2 2 2 4 2 2" xfId="35399"/>
    <cellStyle name="Normal 9 2 3 2 2 2 4 3" xfId="27388"/>
    <cellStyle name="Normal 9 2 3 2 2 2 5" xfId="15364"/>
    <cellStyle name="Normal 9 2 3 2 2 2 5 2" xfId="23379"/>
    <cellStyle name="Normal 9 2 3 2 2 2 5 2 2" xfId="37404"/>
    <cellStyle name="Normal 9 2 3 2 2 2 5 3" xfId="29393"/>
    <cellStyle name="Normal 9 2 3 2 2 2 6" xfId="17370"/>
    <cellStyle name="Normal 9 2 3 2 2 2 6 2" xfId="31395"/>
    <cellStyle name="Normal 9 2 3 2 2 2 7" xfId="19372"/>
    <cellStyle name="Normal 9 2 3 2 2 2 7 2" xfId="33397"/>
    <cellStyle name="Normal 9 2 3 2 2 2 8" xfId="25386"/>
    <cellStyle name="Normal 9 2 3 2 2 3" xfId="2759"/>
    <cellStyle name="Normal 9 2 3 2 2 3 2" xfId="2760"/>
    <cellStyle name="Normal 9 2 3 2 2 3 2 2" xfId="13354"/>
    <cellStyle name="Normal 9 2 3 2 2 3 2 2 2" xfId="21379"/>
    <cellStyle name="Normal 9 2 3 2 2 3 2 2 2 2" xfId="35404"/>
    <cellStyle name="Normal 9 2 3 2 2 3 2 2 3" xfId="27393"/>
    <cellStyle name="Normal 9 2 3 2 2 3 2 3" xfId="15369"/>
    <cellStyle name="Normal 9 2 3 2 2 3 2 3 2" xfId="23384"/>
    <cellStyle name="Normal 9 2 3 2 2 3 2 3 2 2" xfId="37409"/>
    <cellStyle name="Normal 9 2 3 2 2 3 2 3 3" xfId="29398"/>
    <cellStyle name="Normal 9 2 3 2 2 3 2 4" xfId="17375"/>
    <cellStyle name="Normal 9 2 3 2 2 3 2 4 2" xfId="31400"/>
    <cellStyle name="Normal 9 2 3 2 2 3 2 5" xfId="19377"/>
    <cellStyle name="Normal 9 2 3 2 2 3 2 5 2" xfId="33402"/>
    <cellStyle name="Normal 9 2 3 2 2 3 2 6" xfId="25391"/>
    <cellStyle name="Normal 9 2 3 2 2 3 3" xfId="13353"/>
    <cellStyle name="Normal 9 2 3 2 2 3 3 2" xfId="21378"/>
    <cellStyle name="Normal 9 2 3 2 2 3 3 2 2" xfId="35403"/>
    <cellStyle name="Normal 9 2 3 2 2 3 3 3" xfId="27392"/>
    <cellStyle name="Normal 9 2 3 2 2 3 4" xfId="15368"/>
    <cellStyle name="Normal 9 2 3 2 2 3 4 2" xfId="23383"/>
    <cellStyle name="Normal 9 2 3 2 2 3 4 2 2" xfId="37408"/>
    <cellStyle name="Normal 9 2 3 2 2 3 4 3" xfId="29397"/>
    <cellStyle name="Normal 9 2 3 2 2 3 5" xfId="17374"/>
    <cellStyle name="Normal 9 2 3 2 2 3 5 2" xfId="31399"/>
    <cellStyle name="Normal 9 2 3 2 2 3 6" xfId="19376"/>
    <cellStyle name="Normal 9 2 3 2 2 3 6 2" xfId="33401"/>
    <cellStyle name="Normal 9 2 3 2 2 3 7" xfId="25390"/>
    <cellStyle name="Normal 9 2 3 2 2 4" xfId="2761"/>
    <cellStyle name="Normal 9 2 3 2 2 4 2" xfId="2762"/>
    <cellStyle name="Normal 9 2 3 2 2 4 2 2" xfId="13356"/>
    <cellStyle name="Normal 9 2 3 2 2 4 2 2 2" xfId="21381"/>
    <cellStyle name="Normal 9 2 3 2 2 4 2 2 2 2" xfId="35406"/>
    <cellStyle name="Normal 9 2 3 2 2 4 2 2 3" xfId="27395"/>
    <cellStyle name="Normal 9 2 3 2 2 4 2 3" xfId="15371"/>
    <cellStyle name="Normal 9 2 3 2 2 4 2 3 2" xfId="23386"/>
    <cellStyle name="Normal 9 2 3 2 2 4 2 3 2 2" xfId="37411"/>
    <cellStyle name="Normal 9 2 3 2 2 4 2 3 3" xfId="29400"/>
    <cellStyle name="Normal 9 2 3 2 2 4 2 4" xfId="17377"/>
    <cellStyle name="Normal 9 2 3 2 2 4 2 4 2" xfId="31402"/>
    <cellStyle name="Normal 9 2 3 2 2 4 2 5" xfId="19379"/>
    <cellStyle name="Normal 9 2 3 2 2 4 2 5 2" xfId="33404"/>
    <cellStyle name="Normal 9 2 3 2 2 4 2 6" xfId="25393"/>
    <cellStyle name="Normal 9 2 3 2 2 4 3" xfId="13355"/>
    <cellStyle name="Normal 9 2 3 2 2 4 3 2" xfId="21380"/>
    <cellStyle name="Normal 9 2 3 2 2 4 3 2 2" xfId="35405"/>
    <cellStyle name="Normal 9 2 3 2 2 4 3 3" xfId="27394"/>
    <cellStyle name="Normal 9 2 3 2 2 4 4" xfId="15370"/>
    <cellStyle name="Normal 9 2 3 2 2 4 4 2" xfId="23385"/>
    <cellStyle name="Normal 9 2 3 2 2 4 4 2 2" xfId="37410"/>
    <cellStyle name="Normal 9 2 3 2 2 4 4 3" xfId="29399"/>
    <cellStyle name="Normal 9 2 3 2 2 4 5" xfId="17376"/>
    <cellStyle name="Normal 9 2 3 2 2 4 5 2" xfId="31401"/>
    <cellStyle name="Normal 9 2 3 2 2 4 6" xfId="19378"/>
    <cellStyle name="Normal 9 2 3 2 2 4 6 2" xfId="33403"/>
    <cellStyle name="Normal 9 2 3 2 2 4 7" xfId="25392"/>
    <cellStyle name="Normal 9 2 3 2 2 5" xfId="2763"/>
    <cellStyle name="Normal 9 2 3 2 2 5 2" xfId="13357"/>
    <cellStyle name="Normal 9 2 3 2 2 5 2 2" xfId="21382"/>
    <cellStyle name="Normal 9 2 3 2 2 5 2 2 2" xfId="35407"/>
    <cellStyle name="Normal 9 2 3 2 2 5 2 3" xfId="27396"/>
    <cellStyle name="Normal 9 2 3 2 2 5 3" xfId="15372"/>
    <cellStyle name="Normal 9 2 3 2 2 5 3 2" xfId="23387"/>
    <cellStyle name="Normal 9 2 3 2 2 5 3 2 2" xfId="37412"/>
    <cellStyle name="Normal 9 2 3 2 2 5 3 3" xfId="29401"/>
    <cellStyle name="Normal 9 2 3 2 2 5 4" xfId="17378"/>
    <cellStyle name="Normal 9 2 3 2 2 5 4 2" xfId="31403"/>
    <cellStyle name="Normal 9 2 3 2 2 5 5" xfId="19380"/>
    <cellStyle name="Normal 9 2 3 2 2 5 5 2" xfId="33405"/>
    <cellStyle name="Normal 9 2 3 2 2 5 6" xfId="25394"/>
    <cellStyle name="Normal 9 2 3 2 2 6" xfId="13348"/>
    <cellStyle name="Normal 9 2 3 2 2 6 2" xfId="21373"/>
    <cellStyle name="Normal 9 2 3 2 2 6 2 2" xfId="35398"/>
    <cellStyle name="Normal 9 2 3 2 2 6 3" xfId="27387"/>
    <cellStyle name="Normal 9 2 3 2 2 7" xfId="15363"/>
    <cellStyle name="Normal 9 2 3 2 2 7 2" xfId="23378"/>
    <cellStyle name="Normal 9 2 3 2 2 7 2 2" xfId="37403"/>
    <cellStyle name="Normal 9 2 3 2 2 7 3" xfId="29392"/>
    <cellStyle name="Normal 9 2 3 2 2 8" xfId="17369"/>
    <cellStyle name="Normal 9 2 3 2 2 8 2" xfId="31394"/>
    <cellStyle name="Normal 9 2 3 2 2 9" xfId="19371"/>
    <cellStyle name="Normal 9 2 3 2 2 9 2" xfId="33396"/>
    <cellStyle name="Normal 9 2 3 2 3" xfId="2764"/>
    <cellStyle name="Normal 9 2 3 2 3 2" xfId="2765"/>
    <cellStyle name="Normal 9 2 3 2 3 2 2" xfId="2766"/>
    <cellStyle name="Normal 9 2 3 2 3 2 2 2" xfId="13360"/>
    <cellStyle name="Normal 9 2 3 2 3 2 2 2 2" xfId="21385"/>
    <cellStyle name="Normal 9 2 3 2 3 2 2 2 2 2" xfId="35410"/>
    <cellStyle name="Normal 9 2 3 2 3 2 2 2 3" xfId="27399"/>
    <cellStyle name="Normal 9 2 3 2 3 2 2 3" xfId="15375"/>
    <cellStyle name="Normal 9 2 3 2 3 2 2 3 2" xfId="23390"/>
    <cellStyle name="Normal 9 2 3 2 3 2 2 3 2 2" xfId="37415"/>
    <cellStyle name="Normal 9 2 3 2 3 2 2 3 3" xfId="29404"/>
    <cellStyle name="Normal 9 2 3 2 3 2 2 4" xfId="17381"/>
    <cellStyle name="Normal 9 2 3 2 3 2 2 4 2" xfId="31406"/>
    <cellStyle name="Normal 9 2 3 2 3 2 2 5" xfId="19383"/>
    <cellStyle name="Normal 9 2 3 2 3 2 2 5 2" xfId="33408"/>
    <cellStyle name="Normal 9 2 3 2 3 2 2 6" xfId="25397"/>
    <cellStyle name="Normal 9 2 3 2 3 2 3" xfId="13359"/>
    <cellStyle name="Normal 9 2 3 2 3 2 3 2" xfId="21384"/>
    <cellStyle name="Normal 9 2 3 2 3 2 3 2 2" xfId="35409"/>
    <cellStyle name="Normal 9 2 3 2 3 2 3 3" xfId="27398"/>
    <cellStyle name="Normal 9 2 3 2 3 2 4" xfId="15374"/>
    <cellStyle name="Normal 9 2 3 2 3 2 4 2" xfId="23389"/>
    <cellStyle name="Normal 9 2 3 2 3 2 4 2 2" xfId="37414"/>
    <cellStyle name="Normal 9 2 3 2 3 2 4 3" xfId="29403"/>
    <cellStyle name="Normal 9 2 3 2 3 2 5" xfId="17380"/>
    <cellStyle name="Normal 9 2 3 2 3 2 5 2" xfId="31405"/>
    <cellStyle name="Normal 9 2 3 2 3 2 6" xfId="19382"/>
    <cellStyle name="Normal 9 2 3 2 3 2 6 2" xfId="33407"/>
    <cellStyle name="Normal 9 2 3 2 3 2 7" xfId="25396"/>
    <cellStyle name="Normal 9 2 3 2 3 3" xfId="2767"/>
    <cellStyle name="Normal 9 2 3 2 3 3 2" xfId="13361"/>
    <cellStyle name="Normal 9 2 3 2 3 3 2 2" xfId="21386"/>
    <cellStyle name="Normal 9 2 3 2 3 3 2 2 2" xfId="35411"/>
    <cellStyle name="Normal 9 2 3 2 3 3 2 3" xfId="27400"/>
    <cellStyle name="Normal 9 2 3 2 3 3 3" xfId="15376"/>
    <cellStyle name="Normal 9 2 3 2 3 3 3 2" xfId="23391"/>
    <cellStyle name="Normal 9 2 3 2 3 3 3 2 2" xfId="37416"/>
    <cellStyle name="Normal 9 2 3 2 3 3 3 3" xfId="29405"/>
    <cellStyle name="Normal 9 2 3 2 3 3 4" xfId="17382"/>
    <cellStyle name="Normal 9 2 3 2 3 3 4 2" xfId="31407"/>
    <cellStyle name="Normal 9 2 3 2 3 3 5" xfId="19384"/>
    <cellStyle name="Normal 9 2 3 2 3 3 5 2" xfId="33409"/>
    <cellStyle name="Normal 9 2 3 2 3 3 6" xfId="25398"/>
    <cellStyle name="Normal 9 2 3 2 3 4" xfId="13358"/>
    <cellStyle name="Normal 9 2 3 2 3 4 2" xfId="21383"/>
    <cellStyle name="Normal 9 2 3 2 3 4 2 2" xfId="35408"/>
    <cellStyle name="Normal 9 2 3 2 3 4 3" xfId="27397"/>
    <cellStyle name="Normal 9 2 3 2 3 5" xfId="15373"/>
    <cellStyle name="Normal 9 2 3 2 3 5 2" xfId="23388"/>
    <cellStyle name="Normal 9 2 3 2 3 5 2 2" xfId="37413"/>
    <cellStyle name="Normal 9 2 3 2 3 5 3" xfId="29402"/>
    <cellStyle name="Normal 9 2 3 2 3 6" xfId="17379"/>
    <cellStyle name="Normal 9 2 3 2 3 6 2" xfId="31404"/>
    <cellStyle name="Normal 9 2 3 2 3 7" xfId="19381"/>
    <cellStyle name="Normal 9 2 3 2 3 7 2" xfId="33406"/>
    <cellStyle name="Normal 9 2 3 2 3 8" xfId="25395"/>
    <cellStyle name="Normal 9 2 3 2 4" xfId="2768"/>
    <cellStyle name="Normal 9 2 3 2 4 2" xfId="2769"/>
    <cellStyle name="Normal 9 2 3 2 4 2 2" xfId="13363"/>
    <cellStyle name="Normal 9 2 3 2 4 2 2 2" xfId="21388"/>
    <cellStyle name="Normal 9 2 3 2 4 2 2 2 2" xfId="35413"/>
    <cellStyle name="Normal 9 2 3 2 4 2 2 3" xfId="27402"/>
    <cellStyle name="Normal 9 2 3 2 4 2 3" xfId="15378"/>
    <cellStyle name="Normal 9 2 3 2 4 2 3 2" xfId="23393"/>
    <cellStyle name="Normal 9 2 3 2 4 2 3 2 2" xfId="37418"/>
    <cellStyle name="Normal 9 2 3 2 4 2 3 3" xfId="29407"/>
    <cellStyle name="Normal 9 2 3 2 4 2 4" xfId="17384"/>
    <cellStyle name="Normal 9 2 3 2 4 2 4 2" xfId="31409"/>
    <cellStyle name="Normal 9 2 3 2 4 2 5" xfId="19386"/>
    <cellStyle name="Normal 9 2 3 2 4 2 5 2" xfId="33411"/>
    <cellStyle name="Normal 9 2 3 2 4 2 6" xfId="25400"/>
    <cellStyle name="Normal 9 2 3 2 4 3" xfId="13362"/>
    <cellStyle name="Normal 9 2 3 2 4 3 2" xfId="21387"/>
    <cellStyle name="Normal 9 2 3 2 4 3 2 2" xfId="35412"/>
    <cellStyle name="Normal 9 2 3 2 4 3 3" xfId="27401"/>
    <cellStyle name="Normal 9 2 3 2 4 4" xfId="15377"/>
    <cellStyle name="Normal 9 2 3 2 4 4 2" xfId="23392"/>
    <cellStyle name="Normal 9 2 3 2 4 4 2 2" xfId="37417"/>
    <cellStyle name="Normal 9 2 3 2 4 4 3" xfId="29406"/>
    <cellStyle name="Normal 9 2 3 2 4 5" xfId="17383"/>
    <cellStyle name="Normal 9 2 3 2 4 5 2" xfId="31408"/>
    <cellStyle name="Normal 9 2 3 2 4 6" xfId="19385"/>
    <cellStyle name="Normal 9 2 3 2 4 6 2" xfId="33410"/>
    <cellStyle name="Normal 9 2 3 2 4 7" xfId="25399"/>
    <cellStyle name="Normal 9 2 3 2 5" xfId="2770"/>
    <cellStyle name="Normal 9 2 3 2 5 2" xfId="2771"/>
    <cellStyle name="Normal 9 2 3 2 5 2 2" xfId="13365"/>
    <cellStyle name="Normal 9 2 3 2 5 2 2 2" xfId="21390"/>
    <cellStyle name="Normal 9 2 3 2 5 2 2 2 2" xfId="35415"/>
    <cellStyle name="Normal 9 2 3 2 5 2 2 3" xfId="27404"/>
    <cellStyle name="Normal 9 2 3 2 5 2 3" xfId="15380"/>
    <cellStyle name="Normal 9 2 3 2 5 2 3 2" xfId="23395"/>
    <cellStyle name="Normal 9 2 3 2 5 2 3 2 2" xfId="37420"/>
    <cellStyle name="Normal 9 2 3 2 5 2 3 3" xfId="29409"/>
    <cellStyle name="Normal 9 2 3 2 5 2 4" xfId="17386"/>
    <cellStyle name="Normal 9 2 3 2 5 2 4 2" xfId="31411"/>
    <cellStyle name="Normal 9 2 3 2 5 2 5" xfId="19388"/>
    <cellStyle name="Normal 9 2 3 2 5 2 5 2" xfId="33413"/>
    <cellStyle name="Normal 9 2 3 2 5 2 6" xfId="25402"/>
    <cellStyle name="Normal 9 2 3 2 5 3" xfId="13364"/>
    <cellStyle name="Normal 9 2 3 2 5 3 2" xfId="21389"/>
    <cellStyle name="Normal 9 2 3 2 5 3 2 2" xfId="35414"/>
    <cellStyle name="Normal 9 2 3 2 5 3 3" xfId="27403"/>
    <cellStyle name="Normal 9 2 3 2 5 4" xfId="15379"/>
    <cellStyle name="Normal 9 2 3 2 5 4 2" xfId="23394"/>
    <cellStyle name="Normal 9 2 3 2 5 4 2 2" xfId="37419"/>
    <cellStyle name="Normal 9 2 3 2 5 4 3" xfId="29408"/>
    <cellStyle name="Normal 9 2 3 2 5 5" xfId="17385"/>
    <cellStyle name="Normal 9 2 3 2 5 5 2" xfId="31410"/>
    <cellStyle name="Normal 9 2 3 2 5 6" xfId="19387"/>
    <cellStyle name="Normal 9 2 3 2 5 6 2" xfId="33412"/>
    <cellStyle name="Normal 9 2 3 2 5 7" xfId="25401"/>
    <cellStyle name="Normal 9 2 3 2 6" xfId="2772"/>
    <cellStyle name="Normal 9 2 3 2 6 2" xfId="13366"/>
    <cellStyle name="Normal 9 2 3 2 6 2 2" xfId="21391"/>
    <cellStyle name="Normal 9 2 3 2 6 2 2 2" xfId="35416"/>
    <cellStyle name="Normal 9 2 3 2 6 2 3" xfId="27405"/>
    <cellStyle name="Normal 9 2 3 2 6 3" xfId="15381"/>
    <cellStyle name="Normal 9 2 3 2 6 3 2" xfId="23396"/>
    <cellStyle name="Normal 9 2 3 2 6 3 2 2" xfId="37421"/>
    <cellStyle name="Normal 9 2 3 2 6 3 3" xfId="29410"/>
    <cellStyle name="Normal 9 2 3 2 6 4" xfId="17387"/>
    <cellStyle name="Normal 9 2 3 2 6 4 2" xfId="31412"/>
    <cellStyle name="Normal 9 2 3 2 6 5" xfId="19389"/>
    <cellStyle name="Normal 9 2 3 2 6 5 2" xfId="33414"/>
    <cellStyle name="Normal 9 2 3 2 6 6" xfId="25403"/>
    <cellStyle name="Normal 9 2 3 2 7" xfId="13347"/>
    <cellStyle name="Normal 9 2 3 2 7 2" xfId="21372"/>
    <cellStyle name="Normal 9 2 3 2 7 2 2" xfId="35397"/>
    <cellStyle name="Normal 9 2 3 2 7 3" xfId="27386"/>
    <cellStyle name="Normal 9 2 3 2 8" xfId="15362"/>
    <cellStyle name="Normal 9 2 3 2 8 2" xfId="23377"/>
    <cellStyle name="Normal 9 2 3 2 8 2 2" xfId="37402"/>
    <cellStyle name="Normal 9 2 3 2 8 3" xfId="29391"/>
    <cellStyle name="Normal 9 2 3 2 9" xfId="17368"/>
    <cellStyle name="Normal 9 2 3 2 9 2" xfId="31393"/>
    <cellStyle name="Normal 9 2 3 3" xfId="2773"/>
    <cellStyle name="Normal 9 2 3 3 10" xfId="25404"/>
    <cellStyle name="Normal 9 2 3 3 2" xfId="2774"/>
    <cellStyle name="Normal 9 2 3 3 2 2" xfId="2775"/>
    <cellStyle name="Normal 9 2 3 3 2 2 2" xfId="2776"/>
    <cellStyle name="Normal 9 2 3 3 2 2 2 2" xfId="13370"/>
    <cellStyle name="Normal 9 2 3 3 2 2 2 2 2" xfId="21395"/>
    <cellStyle name="Normal 9 2 3 3 2 2 2 2 2 2" xfId="35420"/>
    <cellStyle name="Normal 9 2 3 3 2 2 2 2 3" xfId="27409"/>
    <cellStyle name="Normal 9 2 3 3 2 2 2 3" xfId="15385"/>
    <cellStyle name="Normal 9 2 3 3 2 2 2 3 2" xfId="23400"/>
    <cellStyle name="Normal 9 2 3 3 2 2 2 3 2 2" xfId="37425"/>
    <cellStyle name="Normal 9 2 3 3 2 2 2 3 3" xfId="29414"/>
    <cellStyle name="Normal 9 2 3 3 2 2 2 4" xfId="17391"/>
    <cellStyle name="Normal 9 2 3 3 2 2 2 4 2" xfId="31416"/>
    <cellStyle name="Normal 9 2 3 3 2 2 2 5" xfId="19393"/>
    <cellStyle name="Normal 9 2 3 3 2 2 2 5 2" xfId="33418"/>
    <cellStyle name="Normal 9 2 3 3 2 2 2 6" xfId="25407"/>
    <cellStyle name="Normal 9 2 3 3 2 2 3" xfId="13369"/>
    <cellStyle name="Normal 9 2 3 3 2 2 3 2" xfId="21394"/>
    <cellStyle name="Normal 9 2 3 3 2 2 3 2 2" xfId="35419"/>
    <cellStyle name="Normal 9 2 3 3 2 2 3 3" xfId="27408"/>
    <cellStyle name="Normal 9 2 3 3 2 2 4" xfId="15384"/>
    <cellStyle name="Normal 9 2 3 3 2 2 4 2" xfId="23399"/>
    <cellStyle name="Normal 9 2 3 3 2 2 4 2 2" xfId="37424"/>
    <cellStyle name="Normal 9 2 3 3 2 2 4 3" xfId="29413"/>
    <cellStyle name="Normal 9 2 3 3 2 2 5" xfId="17390"/>
    <cellStyle name="Normal 9 2 3 3 2 2 5 2" xfId="31415"/>
    <cellStyle name="Normal 9 2 3 3 2 2 6" xfId="19392"/>
    <cellStyle name="Normal 9 2 3 3 2 2 6 2" xfId="33417"/>
    <cellStyle name="Normal 9 2 3 3 2 2 7" xfId="25406"/>
    <cellStyle name="Normal 9 2 3 3 2 3" xfId="2777"/>
    <cellStyle name="Normal 9 2 3 3 2 3 2" xfId="13371"/>
    <cellStyle name="Normal 9 2 3 3 2 3 2 2" xfId="21396"/>
    <cellStyle name="Normal 9 2 3 3 2 3 2 2 2" xfId="35421"/>
    <cellStyle name="Normal 9 2 3 3 2 3 2 3" xfId="27410"/>
    <cellStyle name="Normal 9 2 3 3 2 3 3" xfId="15386"/>
    <cellStyle name="Normal 9 2 3 3 2 3 3 2" xfId="23401"/>
    <cellStyle name="Normal 9 2 3 3 2 3 3 2 2" xfId="37426"/>
    <cellStyle name="Normal 9 2 3 3 2 3 3 3" xfId="29415"/>
    <cellStyle name="Normal 9 2 3 3 2 3 4" xfId="17392"/>
    <cellStyle name="Normal 9 2 3 3 2 3 4 2" xfId="31417"/>
    <cellStyle name="Normal 9 2 3 3 2 3 5" xfId="19394"/>
    <cellStyle name="Normal 9 2 3 3 2 3 5 2" xfId="33419"/>
    <cellStyle name="Normal 9 2 3 3 2 3 6" xfId="25408"/>
    <cellStyle name="Normal 9 2 3 3 2 4" xfId="13368"/>
    <cellStyle name="Normal 9 2 3 3 2 4 2" xfId="21393"/>
    <cellStyle name="Normal 9 2 3 3 2 4 2 2" xfId="35418"/>
    <cellStyle name="Normal 9 2 3 3 2 4 3" xfId="27407"/>
    <cellStyle name="Normal 9 2 3 3 2 5" xfId="15383"/>
    <cellStyle name="Normal 9 2 3 3 2 5 2" xfId="23398"/>
    <cellStyle name="Normal 9 2 3 3 2 5 2 2" xfId="37423"/>
    <cellStyle name="Normal 9 2 3 3 2 5 3" xfId="29412"/>
    <cellStyle name="Normal 9 2 3 3 2 6" xfId="17389"/>
    <cellStyle name="Normal 9 2 3 3 2 6 2" xfId="31414"/>
    <cellStyle name="Normal 9 2 3 3 2 7" xfId="19391"/>
    <cellStyle name="Normal 9 2 3 3 2 7 2" xfId="33416"/>
    <cellStyle name="Normal 9 2 3 3 2 8" xfId="25405"/>
    <cellStyle name="Normal 9 2 3 3 3" xfId="2778"/>
    <cellStyle name="Normal 9 2 3 3 3 2" xfId="2779"/>
    <cellStyle name="Normal 9 2 3 3 3 2 2" xfId="13373"/>
    <cellStyle name="Normal 9 2 3 3 3 2 2 2" xfId="21398"/>
    <cellStyle name="Normal 9 2 3 3 3 2 2 2 2" xfId="35423"/>
    <cellStyle name="Normal 9 2 3 3 3 2 2 3" xfId="27412"/>
    <cellStyle name="Normal 9 2 3 3 3 2 3" xfId="15388"/>
    <cellStyle name="Normal 9 2 3 3 3 2 3 2" xfId="23403"/>
    <cellStyle name="Normal 9 2 3 3 3 2 3 2 2" xfId="37428"/>
    <cellStyle name="Normal 9 2 3 3 3 2 3 3" xfId="29417"/>
    <cellStyle name="Normal 9 2 3 3 3 2 4" xfId="17394"/>
    <cellStyle name="Normal 9 2 3 3 3 2 4 2" xfId="31419"/>
    <cellStyle name="Normal 9 2 3 3 3 2 5" xfId="19396"/>
    <cellStyle name="Normal 9 2 3 3 3 2 5 2" xfId="33421"/>
    <cellStyle name="Normal 9 2 3 3 3 2 6" xfId="25410"/>
    <cellStyle name="Normal 9 2 3 3 3 3" xfId="13372"/>
    <cellStyle name="Normal 9 2 3 3 3 3 2" xfId="21397"/>
    <cellStyle name="Normal 9 2 3 3 3 3 2 2" xfId="35422"/>
    <cellStyle name="Normal 9 2 3 3 3 3 3" xfId="27411"/>
    <cellStyle name="Normal 9 2 3 3 3 4" xfId="15387"/>
    <cellStyle name="Normal 9 2 3 3 3 4 2" xfId="23402"/>
    <cellStyle name="Normal 9 2 3 3 3 4 2 2" xfId="37427"/>
    <cellStyle name="Normal 9 2 3 3 3 4 3" xfId="29416"/>
    <cellStyle name="Normal 9 2 3 3 3 5" xfId="17393"/>
    <cellStyle name="Normal 9 2 3 3 3 5 2" xfId="31418"/>
    <cellStyle name="Normal 9 2 3 3 3 6" xfId="19395"/>
    <cellStyle name="Normal 9 2 3 3 3 6 2" xfId="33420"/>
    <cellStyle name="Normal 9 2 3 3 3 7" xfId="25409"/>
    <cellStyle name="Normal 9 2 3 3 4" xfId="2780"/>
    <cellStyle name="Normal 9 2 3 3 4 2" xfId="2781"/>
    <cellStyle name="Normal 9 2 3 3 4 2 2" xfId="13375"/>
    <cellStyle name="Normal 9 2 3 3 4 2 2 2" xfId="21400"/>
    <cellStyle name="Normal 9 2 3 3 4 2 2 2 2" xfId="35425"/>
    <cellStyle name="Normal 9 2 3 3 4 2 2 3" xfId="27414"/>
    <cellStyle name="Normal 9 2 3 3 4 2 3" xfId="15390"/>
    <cellStyle name="Normal 9 2 3 3 4 2 3 2" xfId="23405"/>
    <cellStyle name="Normal 9 2 3 3 4 2 3 2 2" xfId="37430"/>
    <cellStyle name="Normal 9 2 3 3 4 2 3 3" xfId="29419"/>
    <cellStyle name="Normal 9 2 3 3 4 2 4" xfId="17396"/>
    <cellStyle name="Normal 9 2 3 3 4 2 4 2" xfId="31421"/>
    <cellStyle name="Normal 9 2 3 3 4 2 5" xfId="19398"/>
    <cellStyle name="Normal 9 2 3 3 4 2 5 2" xfId="33423"/>
    <cellStyle name="Normal 9 2 3 3 4 2 6" xfId="25412"/>
    <cellStyle name="Normal 9 2 3 3 4 3" xfId="13374"/>
    <cellStyle name="Normal 9 2 3 3 4 3 2" xfId="21399"/>
    <cellStyle name="Normal 9 2 3 3 4 3 2 2" xfId="35424"/>
    <cellStyle name="Normal 9 2 3 3 4 3 3" xfId="27413"/>
    <cellStyle name="Normal 9 2 3 3 4 4" xfId="15389"/>
    <cellStyle name="Normal 9 2 3 3 4 4 2" xfId="23404"/>
    <cellStyle name="Normal 9 2 3 3 4 4 2 2" xfId="37429"/>
    <cellStyle name="Normal 9 2 3 3 4 4 3" xfId="29418"/>
    <cellStyle name="Normal 9 2 3 3 4 5" xfId="17395"/>
    <cellStyle name="Normal 9 2 3 3 4 5 2" xfId="31420"/>
    <cellStyle name="Normal 9 2 3 3 4 6" xfId="19397"/>
    <cellStyle name="Normal 9 2 3 3 4 6 2" xfId="33422"/>
    <cellStyle name="Normal 9 2 3 3 4 7" xfId="25411"/>
    <cellStyle name="Normal 9 2 3 3 5" xfId="2782"/>
    <cellStyle name="Normal 9 2 3 3 5 2" xfId="13376"/>
    <cellStyle name="Normal 9 2 3 3 5 2 2" xfId="21401"/>
    <cellStyle name="Normal 9 2 3 3 5 2 2 2" xfId="35426"/>
    <cellStyle name="Normal 9 2 3 3 5 2 3" xfId="27415"/>
    <cellStyle name="Normal 9 2 3 3 5 3" xfId="15391"/>
    <cellStyle name="Normal 9 2 3 3 5 3 2" xfId="23406"/>
    <cellStyle name="Normal 9 2 3 3 5 3 2 2" xfId="37431"/>
    <cellStyle name="Normal 9 2 3 3 5 3 3" xfId="29420"/>
    <cellStyle name="Normal 9 2 3 3 5 4" xfId="17397"/>
    <cellStyle name="Normal 9 2 3 3 5 4 2" xfId="31422"/>
    <cellStyle name="Normal 9 2 3 3 5 5" xfId="19399"/>
    <cellStyle name="Normal 9 2 3 3 5 5 2" xfId="33424"/>
    <cellStyle name="Normal 9 2 3 3 5 6" xfId="25413"/>
    <cellStyle name="Normal 9 2 3 3 6" xfId="13367"/>
    <cellStyle name="Normal 9 2 3 3 6 2" xfId="21392"/>
    <cellStyle name="Normal 9 2 3 3 6 2 2" xfId="35417"/>
    <cellStyle name="Normal 9 2 3 3 6 3" xfId="27406"/>
    <cellStyle name="Normal 9 2 3 3 7" xfId="15382"/>
    <cellStyle name="Normal 9 2 3 3 7 2" xfId="23397"/>
    <cellStyle name="Normal 9 2 3 3 7 2 2" xfId="37422"/>
    <cellStyle name="Normal 9 2 3 3 7 3" xfId="29411"/>
    <cellStyle name="Normal 9 2 3 3 8" xfId="17388"/>
    <cellStyle name="Normal 9 2 3 3 8 2" xfId="31413"/>
    <cellStyle name="Normal 9 2 3 3 9" xfId="19390"/>
    <cellStyle name="Normal 9 2 3 3 9 2" xfId="33415"/>
    <cellStyle name="Normal 9 2 3 4" xfId="2783"/>
    <cellStyle name="Normal 9 2 3 4 2" xfId="2784"/>
    <cellStyle name="Normal 9 2 3 4 2 2" xfId="2785"/>
    <cellStyle name="Normal 9 2 3 4 2 2 2" xfId="13379"/>
    <cellStyle name="Normal 9 2 3 4 2 2 2 2" xfId="21404"/>
    <cellStyle name="Normal 9 2 3 4 2 2 2 2 2" xfId="35429"/>
    <cellStyle name="Normal 9 2 3 4 2 2 2 3" xfId="27418"/>
    <cellStyle name="Normal 9 2 3 4 2 2 3" xfId="15394"/>
    <cellStyle name="Normal 9 2 3 4 2 2 3 2" xfId="23409"/>
    <cellStyle name="Normal 9 2 3 4 2 2 3 2 2" xfId="37434"/>
    <cellStyle name="Normal 9 2 3 4 2 2 3 3" xfId="29423"/>
    <cellStyle name="Normal 9 2 3 4 2 2 4" xfId="17400"/>
    <cellStyle name="Normal 9 2 3 4 2 2 4 2" xfId="31425"/>
    <cellStyle name="Normal 9 2 3 4 2 2 5" xfId="19402"/>
    <cellStyle name="Normal 9 2 3 4 2 2 5 2" xfId="33427"/>
    <cellStyle name="Normal 9 2 3 4 2 2 6" xfId="25416"/>
    <cellStyle name="Normal 9 2 3 4 2 3" xfId="13378"/>
    <cellStyle name="Normal 9 2 3 4 2 3 2" xfId="21403"/>
    <cellStyle name="Normal 9 2 3 4 2 3 2 2" xfId="35428"/>
    <cellStyle name="Normal 9 2 3 4 2 3 3" xfId="27417"/>
    <cellStyle name="Normal 9 2 3 4 2 4" xfId="15393"/>
    <cellStyle name="Normal 9 2 3 4 2 4 2" xfId="23408"/>
    <cellStyle name="Normal 9 2 3 4 2 4 2 2" xfId="37433"/>
    <cellStyle name="Normal 9 2 3 4 2 4 3" xfId="29422"/>
    <cellStyle name="Normal 9 2 3 4 2 5" xfId="17399"/>
    <cellStyle name="Normal 9 2 3 4 2 5 2" xfId="31424"/>
    <cellStyle name="Normal 9 2 3 4 2 6" xfId="19401"/>
    <cellStyle name="Normal 9 2 3 4 2 6 2" xfId="33426"/>
    <cellStyle name="Normal 9 2 3 4 2 7" xfId="25415"/>
    <cellStyle name="Normal 9 2 3 4 3" xfId="2786"/>
    <cellStyle name="Normal 9 2 3 4 3 2" xfId="13380"/>
    <cellStyle name="Normal 9 2 3 4 3 2 2" xfId="21405"/>
    <cellStyle name="Normal 9 2 3 4 3 2 2 2" xfId="35430"/>
    <cellStyle name="Normal 9 2 3 4 3 2 3" xfId="27419"/>
    <cellStyle name="Normal 9 2 3 4 3 3" xfId="15395"/>
    <cellStyle name="Normal 9 2 3 4 3 3 2" xfId="23410"/>
    <cellStyle name="Normal 9 2 3 4 3 3 2 2" xfId="37435"/>
    <cellStyle name="Normal 9 2 3 4 3 3 3" xfId="29424"/>
    <cellStyle name="Normal 9 2 3 4 3 4" xfId="17401"/>
    <cellStyle name="Normal 9 2 3 4 3 4 2" xfId="31426"/>
    <cellStyle name="Normal 9 2 3 4 3 5" xfId="19403"/>
    <cellStyle name="Normal 9 2 3 4 3 5 2" xfId="33428"/>
    <cellStyle name="Normal 9 2 3 4 3 6" xfId="25417"/>
    <cellStyle name="Normal 9 2 3 4 4" xfId="13377"/>
    <cellStyle name="Normal 9 2 3 4 4 2" xfId="21402"/>
    <cellStyle name="Normal 9 2 3 4 4 2 2" xfId="35427"/>
    <cellStyle name="Normal 9 2 3 4 4 3" xfId="27416"/>
    <cellStyle name="Normal 9 2 3 4 5" xfId="15392"/>
    <cellStyle name="Normal 9 2 3 4 5 2" xfId="23407"/>
    <cellStyle name="Normal 9 2 3 4 5 2 2" xfId="37432"/>
    <cellStyle name="Normal 9 2 3 4 5 3" xfId="29421"/>
    <cellStyle name="Normal 9 2 3 4 6" xfId="17398"/>
    <cellStyle name="Normal 9 2 3 4 6 2" xfId="31423"/>
    <cellStyle name="Normal 9 2 3 4 7" xfId="19400"/>
    <cellStyle name="Normal 9 2 3 4 7 2" xfId="33425"/>
    <cellStyle name="Normal 9 2 3 4 8" xfId="25414"/>
    <cellStyle name="Normal 9 2 3 5" xfId="2787"/>
    <cellStyle name="Normal 9 2 3 5 2" xfId="2788"/>
    <cellStyle name="Normal 9 2 3 5 2 2" xfId="13382"/>
    <cellStyle name="Normal 9 2 3 5 2 2 2" xfId="21407"/>
    <cellStyle name="Normal 9 2 3 5 2 2 2 2" xfId="35432"/>
    <cellStyle name="Normal 9 2 3 5 2 2 3" xfId="27421"/>
    <cellStyle name="Normal 9 2 3 5 2 3" xfId="15397"/>
    <cellStyle name="Normal 9 2 3 5 2 3 2" xfId="23412"/>
    <cellStyle name="Normal 9 2 3 5 2 3 2 2" xfId="37437"/>
    <cellStyle name="Normal 9 2 3 5 2 3 3" xfId="29426"/>
    <cellStyle name="Normal 9 2 3 5 2 4" xfId="17403"/>
    <cellStyle name="Normal 9 2 3 5 2 4 2" xfId="31428"/>
    <cellStyle name="Normal 9 2 3 5 2 5" xfId="19405"/>
    <cellStyle name="Normal 9 2 3 5 2 5 2" xfId="33430"/>
    <cellStyle name="Normal 9 2 3 5 2 6" xfId="25419"/>
    <cellStyle name="Normal 9 2 3 5 3" xfId="13381"/>
    <cellStyle name="Normal 9 2 3 5 3 2" xfId="21406"/>
    <cellStyle name="Normal 9 2 3 5 3 2 2" xfId="35431"/>
    <cellStyle name="Normal 9 2 3 5 3 3" xfId="27420"/>
    <cellStyle name="Normal 9 2 3 5 4" xfId="15396"/>
    <cellStyle name="Normal 9 2 3 5 4 2" xfId="23411"/>
    <cellStyle name="Normal 9 2 3 5 4 2 2" xfId="37436"/>
    <cellStyle name="Normal 9 2 3 5 4 3" xfId="29425"/>
    <cellStyle name="Normal 9 2 3 5 5" xfId="17402"/>
    <cellStyle name="Normal 9 2 3 5 5 2" xfId="31427"/>
    <cellStyle name="Normal 9 2 3 5 6" xfId="19404"/>
    <cellStyle name="Normal 9 2 3 5 6 2" xfId="33429"/>
    <cellStyle name="Normal 9 2 3 5 7" xfId="25418"/>
    <cellStyle name="Normal 9 2 3 6" xfId="2789"/>
    <cellStyle name="Normal 9 2 3 6 2" xfId="2790"/>
    <cellStyle name="Normal 9 2 3 6 2 2" xfId="13384"/>
    <cellStyle name="Normal 9 2 3 6 2 2 2" xfId="21409"/>
    <cellStyle name="Normal 9 2 3 6 2 2 2 2" xfId="35434"/>
    <cellStyle name="Normal 9 2 3 6 2 2 3" xfId="27423"/>
    <cellStyle name="Normal 9 2 3 6 2 3" xfId="15399"/>
    <cellStyle name="Normal 9 2 3 6 2 3 2" xfId="23414"/>
    <cellStyle name="Normal 9 2 3 6 2 3 2 2" xfId="37439"/>
    <cellStyle name="Normal 9 2 3 6 2 3 3" xfId="29428"/>
    <cellStyle name="Normal 9 2 3 6 2 4" xfId="17405"/>
    <cellStyle name="Normal 9 2 3 6 2 4 2" xfId="31430"/>
    <cellStyle name="Normal 9 2 3 6 2 5" xfId="19407"/>
    <cellStyle name="Normal 9 2 3 6 2 5 2" xfId="33432"/>
    <cellStyle name="Normal 9 2 3 6 2 6" xfId="25421"/>
    <cellStyle name="Normal 9 2 3 6 3" xfId="13383"/>
    <cellStyle name="Normal 9 2 3 6 3 2" xfId="21408"/>
    <cellStyle name="Normal 9 2 3 6 3 2 2" xfId="35433"/>
    <cellStyle name="Normal 9 2 3 6 3 3" xfId="27422"/>
    <cellStyle name="Normal 9 2 3 6 4" xfId="15398"/>
    <cellStyle name="Normal 9 2 3 6 4 2" xfId="23413"/>
    <cellStyle name="Normal 9 2 3 6 4 2 2" xfId="37438"/>
    <cellStyle name="Normal 9 2 3 6 4 3" xfId="29427"/>
    <cellStyle name="Normal 9 2 3 6 5" xfId="17404"/>
    <cellStyle name="Normal 9 2 3 6 5 2" xfId="31429"/>
    <cellStyle name="Normal 9 2 3 6 6" xfId="19406"/>
    <cellStyle name="Normal 9 2 3 6 6 2" xfId="33431"/>
    <cellStyle name="Normal 9 2 3 6 7" xfId="25420"/>
    <cellStyle name="Normal 9 2 3 7" xfId="2791"/>
    <cellStyle name="Normal 9 2 3 7 2" xfId="13385"/>
    <cellStyle name="Normal 9 2 3 7 2 2" xfId="21410"/>
    <cellStyle name="Normal 9 2 3 7 2 2 2" xfId="35435"/>
    <cellStyle name="Normal 9 2 3 7 2 3" xfId="27424"/>
    <cellStyle name="Normal 9 2 3 7 3" xfId="15400"/>
    <cellStyle name="Normal 9 2 3 7 3 2" xfId="23415"/>
    <cellStyle name="Normal 9 2 3 7 3 2 2" xfId="37440"/>
    <cellStyle name="Normal 9 2 3 7 3 3" xfId="29429"/>
    <cellStyle name="Normal 9 2 3 7 4" xfId="17406"/>
    <cellStyle name="Normal 9 2 3 7 4 2" xfId="31431"/>
    <cellStyle name="Normal 9 2 3 7 5" xfId="19408"/>
    <cellStyle name="Normal 9 2 3 7 5 2" xfId="33433"/>
    <cellStyle name="Normal 9 2 3 7 6" xfId="25422"/>
    <cellStyle name="Normal 9 2 3 8" xfId="13346"/>
    <cellStyle name="Normal 9 2 3 8 2" xfId="21371"/>
    <cellStyle name="Normal 9 2 3 8 2 2" xfId="35396"/>
    <cellStyle name="Normal 9 2 3 8 3" xfId="27385"/>
    <cellStyle name="Normal 9 2 3 9" xfId="15361"/>
    <cellStyle name="Normal 9 2 3 9 2" xfId="23376"/>
    <cellStyle name="Normal 9 2 3 9 2 2" xfId="37401"/>
    <cellStyle name="Normal 9 2 3 9 3" xfId="29390"/>
    <cellStyle name="Normal 9 2 4" xfId="2792"/>
    <cellStyle name="Normal 9 2 4 10" xfId="19409"/>
    <cellStyle name="Normal 9 2 4 10 2" xfId="33434"/>
    <cellStyle name="Normal 9 2 4 11" xfId="25423"/>
    <cellStyle name="Normal 9 2 4 2" xfId="2793"/>
    <cellStyle name="Normal 9 2 4 2 10" xfId="25424"/>
    <cellStyle name="Normal 9 2 4 2 2" xfId="2794"/>
    <cellStyle name="Normal 9 2 4 2 2 2" xfId="2795"/>
    <cellStyle name="Normal 9 2 4 2 2 2 2" xfId="2796"/>
    <cellStyle name="Normal 9 2 4 2 2 2 2 2" xfId="13390"/>
    <cellStyle name="Normal 9 2 4 2 2 2 2 2 2" xfId="21415"/>
    <cellStyle name="Normal 9 2 4 2 2 2 2 2 2 2" xfId="35440"/>
    <cellStyle name="Normal 9 2 4 2 2 2 2 2 3" xfId="27429"/>
    <cellStyle name="Normal 9 2 4 2 2 2 2 3" xfId="15405"/>
    <cellStyle name="Normal 9 2 4 2 2 2 2 3 2" xfId="23420"/>
    <cellStyle name="Normal 9 2 4 2 2 2 2 3 2 2" xfId="37445"/>
    <cellStyle name="Normal 9 2 4 2 2 2 2 3 3" xfId="29434"/>
    <cellStyle name="Normal 9 2 4 2 2 2 2 4" xfId="17411"/>
    <cellStyle name="Normal 9 2 4 2 2 2 2 4 2" xfId="31436"/>
    <cellStyle name="Normal 9 2 4 2 2 2 2 5" xfId="19413"/>
    <cellStyle name="Normal 9 2 4 2 2 2 2 5 2" xfId="33438"/>
    <cellStyle name="Normal 9 2 4 2 2 2 2 6" xfId="25427"/>
    <cellStyle name="Normal 9 2 4 2 2 2 3" xfId="13389"/>
    <cellStyle name="Normal 9 2 4 2 2 2 3 2" xfId="21414"/>
    <cellStyle name="Normal 9 2 4 2 2 2 3 2 2" xfId="35439"/>
    <cellStyle name="Normal 9 2 4 2 2 2 3 3" xfId="27428"/>
    <cellStyle name="Normal 9 2 4 2 2 2 4" xfId="15404"/>
    <cellStyle name="Normal 9 2 4 2 2 2 4 2" xfId="23419"/>
    <cellStyle name="Normal 9 2 4 2 2 2 4 2 2" xfId="37444"/>
    <cellStyle name="Normal 9 2 4 2 2 2 4 3" xfId="29433"/>
    <cellStyle name="Normal 9 2 4 2 2 2 5" xfId="17410"/>
    <cellStyle name="Normal 9 2 4 2 2 2 5 2" xfId="31435"/>
    <cellStyle name="Normal 9 2 4 2 2 2 6" xfId="19412"/>
    <cellStyle name="Normal 9 2 4 2 2 2 6 2" xfId="33437"/>
    <cellStyle name="Normal 9 2 4 2 2 2 7" xfId="25426"/>
    <cellStyle name="Normal 9 2 4 2 2 3" xfId="2797"/>
    <cellStyle name="Normal 9 2 4 2 2 3 2" xfId="13391"/>
    <cellStyle name="Normal 9 2 4 2 2 3 2 2" xfId="21416"/>
    <cellStyle name="Normal 9 2 4 2 2 3 2 2 2" xfId="35441"/>
    <cellStyle name="Normal 9 2 4 2 2 3 2 3" xfId="27430"/>
    <cellStyle name="Normal 9 2 4 2 2 3 3" xfId="15406"/>
    <cellStyle name="Normal 9 2 4 2 2 3 3 2" xfId="23421"/>
    <cellStyle name="Normal 9 2 4 2 2 3 3 2 2" xfId="37446"/>
    <cellStyle name="Normal 9 2 4 2 2 3 3 3" xfId="29435"/>
    <cellStyle name="Normal 9 2 4 2 2 3 4" xfId="17412"/>
    <cellStyle name="Normal 9 2 4 2 2 3 4 2" xfId="31437"/>
    <cellStyle name="Normal 9 2 4 2 2 3 5" xfId="19414"/>
    <cellStyle name="Normal 9 2 4 2 2 3 5 2" xfId="33439"/>
    <cellStyle name="Normal 9 2 4 2 2 3 6" xfId="25428"/>
    <cellStyle name="Normal 9 2 4 2 2 4" xfId="13388"/>
    <cellStyle name="Normal 9 2 4 2 2 4 2" xfId="21413"/>
    <cellStyle name="Normal 9 2 4 2 2 4 2 2" xfId="35438"/>
    <cellStyle name="Normal 9 2 4 2 2 4 3" xfId="27427"/>
    <cellStyle name="Normal 9 2 4 2 2 5" xfId="15403"/>
    <cellStyle name="Normal 9 2 4 2 2 5 2" xfId="23418"/>
    <cellStyle name="Normal 9 2 4 2 2 5 2 2" xfId="37443"/>
    <cellStyle name="Normal 9 2 4 2 2 5 3" xfId="29432"/>
    <cellStyle name="Normal 9 2 4 2 2 6" xfId="17409"/>
    <cellStyle name="Normal 9 2 4 2 2 6 2" xfId="31434"/>
    <cellStyle name="Normal 9 2 4 2 2 7" xfId="19411"/>
    <cellStyle name="Normal 9 2 4 2 2 7 2" xfId="33436"/>
    <cellStyle name="Normal 9 2 4 2 2 8" xfId="25425"/>
    <cellStyle name="Normal 9 2 4 2 3" xfId="2798"/>
    <cellStyle name="Normal 9 2 4 2 3 2" xfId="2799"/>
    <cellStyle name="Normal 9 2 4 2 3 2 2" xfId="13393"/>
    <cellStyle name="Normal 9 2 4 2 3 2 2 2" xfId="21418"/>
    <cellStyle name="Normal 9 2 4 2 3 2 2 2 2" xfId="35443"/>
    <cellStyle name="Normal 9 2 4 2 3 2 2 3" xfId="27432"/>
    <cellStyle name="Normal 9 2 4 2 3 2 3" xfId="15408"/>
    <cellStyle name="Normal 9 2 4 2 3 2 3 2" xfId="23423"/>
    <cellStyle name="Normal 9 2 4 2 3 2 3 2 2" xfId="37448"/>
    <cellStyle name="Normal 9 2 4 2 3 2 3 3" xfId="29437"/>
    <cellStyle name="Normal 9 2 4 2 3 2 4" xfId="17414"/>
    <cellStyle name="Normal 9 2 4 2 3 2 4 2" xfId="31439"/>
    <cellStyle name="Normal 9 2 4 2 3 2 5" xfId="19416"/>
    <cellStyle name="Normal 9 2 4 2 3 2 5 2" xfId="33441"/>
    <cellStyle name="Normal 9 2 4 2 3 2 6" xfId="25430"/>
    <cellStyle name="Normal 9 2 4 2 3 3" xfId="13392"/>
    <cellStyle name="Normal 9 2 4 2 3 3 2" xfId="21417"/>
    <cellStyle name="Normal 9 2 4 2 3 3 2 2" xfId="35442"/>
    <cellStyle name="Normal 9 2 4 2 3 3 3" xfId="27431"/>
    <cellStyle name="Normal 9 2 4 2 3 4" xfId="15407"/>
    <cellStyle name="Normal 9 2 4 2 3 4 2" xfId="23422"/>
    <cellStyle name="Normal 9 2 4 2 3 4 2 2" xfId="37447"/>
    <cellStyle name="Normal 9 2 4 2 3 4 3" xfId="29436"/>
    <cellStyle name="Normal 9 2 4 2 3 5" xfId="17413"/>
    <cellStyle name="Normal 9 2 4 2 3 5 2" xfId="31438"/>
    <cellStyle name="Normal 9 2 4 2 3 6" xfId="19415"/>
    <cellStyle name="Normal 9 2 4 2 3 6 2" xfId="33440"/>
    <cellStyle name="Normal 9 2 4 2 3 7" xfId="25429"/>
    <cellStyle name="Normal 9 2 4 2 4" xfId="2800"/>
    <cellStyle name="Normal 9 2 4 2 4 2" xfId="2801"/>
    <cellStyle name="Normal 9 2 4 2 4 2 2" xfId="13395"/>
    <cellStyle name="Normal 9 2 4 2 4 2 2 2" xfId="21420"/>
    <cellStyle name="Normal 9 2 4 2 4 2 2 2 2" xfId="35445"/>
    <cellStyle name="Normal 9 2 4 2 4 2 2 3" xfId="27434"/>
    <cellStyle name="Normal 9 2 4 2 4 2 3" xfId="15410"/>
    <cellStyle name="Normal 9 2 4 2 4 2 3 2" xfId="23425"/>
    <cellStyle name="Normal 9 2 4 2 4 2 3 2 2" xfId="37450"/>
    <cellStyle name="Normal 9 2 4 2 4 2 3 3" xfId="29439"/>
    <cellStyle name="Normal 9 2 4 2 4 2 4" xfId="17416"/>
    <cellStyle name="Normal 9 2 4 2 4 2 4 2" xfId="31441"/>
    <cellStyle name="Normal 9 2 4 2 4 2 5" xfId="19418"/>
    <cellStyle name="Normal 9 2 4 2 4 2 5 2" xfId="33443"/>
    <cellStyle name="Normal 9 2 4 2 4 2 6" xfId="25432"/>
    <cellStyle name="Normal 9 2 4 2 4 3" xfId="13394"/>
    <cellStyle name="Normal 9 2 4 2 4 3 2" xfId="21419"/>
    <cellStyle name="Normal 9 2 4 2 4 3 2 2" xfId="35444"/>
    <cellStyle name="Normal 9 2 4 2 4 3 3" xfId="27433"/>
    <cellStyle name="Normal 9 2 4 2 4 4" xfId="15409"/>
    <cellStyle name="Normal 9 2 4 2 4 4 2" xfId="23424"/>
    <cellStyle name="Normal 9 2 4 2 4 4 2 2" xfId="37449"/>
    <cellStyle name="Normal 9 2 4 2 4 4 3" xfId="29438"/>
    <cellStyle name="Normal 9 2 4 2 4 5" xfId="17415"/>
    <cellStyle name="Normal 9 2 4 2 4 5 2" xfId="31440"/>
    <cellStyle name="Normal 9 2 4 2 4 6" xfId="19417"/>
    <cellStyle name="Normal 9 2 4 2 4 6 2" xfId="33442"/>
    <cellStyle name="Normal 9 2 4 2 4 7" xfId="25431"/>
    <cellStyle name="Normal 9 2 4 2 5" xfId="2802"/>
    <cellStyle name="Normal 9 2 4 2 5 2" xfId="13396"/>
    <cellStyle name="Normal 9 2 4 2 5 2 2" xfId="21421"/>
    <cellStyle name="Normal 9 2 4 2 5 2 2 2" xfId="35446"/>
    <cellStyle name="Normal 9 2 4 2 5 2 3" xfId="27435"/>
    <cellStyle name="Normal 9 2 4 2 5 3" xfId="15411"/>
    <cellStyle name="Normal 9 2 4 2 5 3 2" xfId="23426"/>
    <cellStyle name="Normal 9 2 4 2 5 3 2 2" xfId="37451"/>
    <cellStyle name="Normal 9 2 4 2 5 3 3" xfId="29440"/>
    <cellStyle name="Normal 9 2 4 2 5 4" xfId="17417"/>
    <cellStyle name="Normal 9 2 4 2 5 4 2" xfId="31442"/>
    <cellStyle name="Normal 9 2 4 2 5 5" xfId="19419"/>
    <cellStyle name="Normal 9 2 4 2 5 5 2" xfId="33444"/>
    <cellStyle name="Normal 9 2 4 2 5 6" xfId="25433"/>
    <cellStyle name="Normal 9 2 4 2 6" xfId="13387"/>
    <cellStyle name="Normal 9 2 4 2 6 2" xfId="21412"/>
    <cellStyle name="Normal 9 2 4 2 6 2 2" xfId="35437"/>
    <cellStyle name="Normal 9 2 4 2 6 3" xfId="27426"/>
    <cellStyle name="Normal 9 2 4 2 7" xfId="15402"/>
    <cellStyle name="Normal 9 2 4 2 7 2" xfId="23417"/>
    <cellStyle name="Normal 9 2 4 2 7 2 2" xfId="37442"/>
    <cellStyle name="Normal 9 2 4 2 7 3" xfId="29431"/>
    <cellStyle name="Normal 9 2 4 2 8" xfId="17408"/>
    <cellStyle name="Normal 9 2 4 2 8 2" xfId="31433"/>
    <cellStyle name="Normal 9 2 4 2 9" xfId="19410"/>
    <cellStyle name="Normal 9 2 4 2 9 2" xfId="33435"/>
    <cellStyle name="Normal 9 2 4 3" xfId="2803"/>
    <cellStyle name="Normal 9 2 4 3 2" xfId="2804"/>
    <cellStyle name="Normal 9 2 4 3 2 2" xfId="2805"/>
    <cellStyle name="Normal 9 2 4 3 2 2 2" xfId="13399"/>
    <cellStyle name="Normal 9 2 4 3 2 2 2 2" xfId="21424"/>
    <cellStyle name="Normal 9 2 4 3 2 2 2 2 2" xfId="35449"/>
    <cellStyle name="Normal 9 2 4 3 2 2 2 3" xfId="27438"/>
    <cellStyle name="Normal 9 2 4 3 2 2 3" xfId="15414"/>
    <cellStyle name="Normal 9 2 4 3 2 2 3 2" xfId="23429"/>
    <cellStyle name="Normal 9 2 4 3 2 2 3 2 2" xfId="37454"/>
    <cellStyle name="Normal 9 2 4 3 2 2 3 3" xfId="29443"/>
    <cellStyle name="Normal 9 2 4 3 2 2 4" xfId="17420"/>
    <cellStyle name="Normal 9 2 4 3 2 2 4 2" xfId="31445"/>
    <cellStyle name="Normal 9 2 4 3 2 2 5" xfId="19422"/>
    <cellStyle name="Normal 9 2 4 3 2 2 5 2" xfId="33447"/>
    <cellStyle name="Normal 9 2 4 3 2 2 6" xfId="25436"/>
    <cellStyle name="Normal 9 2 4 3 2 3" xfId="13398"/>
    <cellStyle name="Normal 9 2 4 3 2 3 2" xfId="21423"/>
    <cellStyle name="Normal 9 2 4 3 2 3 2 2" xfId="35448"/>
    <cellStyle name="Normal 9 2 4 3 2 3 3" xfId="27437"/>
    <cellStyle name="Normal 9 2 4 3 2 4" xfId="15413"/>
    <cellStyle name="Normal 9 2 4 3 2 4 2" xfId="23428"/>
    <cellStyle name="Normal 9 2 4 3 2 4 2 2" xfId="37453"/>
    <cellStyle name="Normal 9 2 4 3 2 4 3" xfId="29442"/>
    <cellStyle name="Normal 9 2 4 3 2 5" xfId="17419"/>
    <cellStyle name="Normal 9 2 4 3 2 5 2" xfId="31444"/>
    <cellStyle name="Normal 9 2 4 3 2 6" xfId="19421"/>
    <cellStyle name="Normal 9 2 4 3 2 6 2" xfId="33446"/>
    <cellStyle name="Normal 9 2 4 3 2 7" xfId="25435"/>
    <cellStyle name="Normal 9 2 4 3 3" xfId="2806"/>
    <cellStyle name="Normal 9 2 4 3 3 2" xfId="13400"/>
    <cellStyle name="Normal 9 2 4 3 3 2 2" xfId="21425"/>
    <cellStyle name="Normal 9 2 4 3 3 2 2 2" xfId="35450"/>
    <cellStyle name="Normal 9 2 4 3 3 2 3" xfId="27439"/>
    <cellStyle name="Normal 9 2 4 3 3 3" xfId="15415"/>
    <cellStyle name="Normal 9 2 4 3 3 3 2" xfId="23430"/>
    <cellStyle name="Normal 9 2 4 3 3 3 2 2" xfId="37455"/>
    <cellStyle name="Normal 9 2 4 3 3 3 3" xfId="29444"/>
    <cellStyle name="Normal 9 2 4 3 3 4" xfId="17421"/>
    <cellStyle name="Normal 9 2 4 3 3 4 2" xfId="31446"/>
    <cellStyle name="Normal 9 2 4 3 3 5" xfId="19423"/>
    <cellStyle name="Normal 9 2 4 3 3 5 2" xfId="33448"/>
    <cellStyle name="Normal 9 2 4 3 3 6" xfId="25437"/>
    <cellStyle name="Normal 9 2 4 3 4" xfId="13397"/>
    <cellStyle name="Normal 9 2 4 3 4 2" xfId="21422"/>
    <cellStyle name="Normal 9 2 4 3 4 2 2" xfId="35447"/>
    <cellStyle name="Normal 9 2 4 3 4 3" xfId="27436"/>
    <cellStyle name="Normal 9 2 4 3 5" xfId="15412"/>
    <cellStyle name="Normal 9 2 4 3 5 2" xfId="23427"/>
    <cellStyle name="Normal 9 2 4 3 5 2 2" xfId="37452"/>
    <cellStyle name="Normal 9 2 4 3 5 3" xfId="29441"/>
    <cellStyle name="Normal 9 2 4 3 6" xfId="17418"/>
    <cellStyle name="Normal 9 2 4 3 6 2" xfId="31443"/>
    <cellStyle name="Normal 9 2 4 3 7" xfId="19420"/>
    <cellStyle name="Normal 9 2 4 3 7 2" xfId="33445"/>
    <cellStyle name="Normal 9 2 4 3 8" xfId="25434"/>
    <cellStyle name="Normal 9 2 4 4" xfId="2807"/>
    <cellStyle name="Normal 9 2 4 4 2" xfId="2808"/>
    <cellStyle name="Normal 9 2 4 4 2 2" xfId="13402"/>
    <cellStyle name="Normal 9 2 4 4 2 2 2" xfId="21427"/>
    <cellStyle name="Normal 9 2 4 4 2 2 2 2" xfId="35452"/>
    <cellStyle name="Normal 9 2 4 4 2 2 3" xfId="27441"/>
    <cellStyle name="Normal 9 2 4 4 2 3" xfId="15417"/>
    <cellStyle name="Normal 9 2 4 4 2 3 2" xfId="23432"/>
    <cellStyle name="Normal 9 2 4 4 2 3 2 2" xfId="37457"/>
    <cellStyle name="Normal 9 2 4 4 2 3 3" xfId="29446"/>
    <cellStyle name="Normal 9 2 4 4 2 4" xfId="17423"/>
    <cellStyle name="Normal 9 2 4 4 2 4 2" xfId="31448"/>
    <cellStyle name="Normal 9 2 4 4 2 5" xfId="19425"/>
    <cellStyle name="Normal 9 2 4 4 2 5 2" xfId="33450"/>
    <cellStyle name="Normal 9 2 4 4 2 6" xfId="25439"/>
    <cellStyle name="Normal 9 2 4 4 3" xfId="13401"/>
    <cellStyle name="Normal 9 2 4 4 3 2" xfId="21426"/>
    <cellStyle name="Normal 9 2 4 4 3 2 2" xfId="35451"/>
    <cellStyle name="Normal 9 2 4 4 3 3" xfId="27440"/>
    <cellStyle name="Normal 9 2 4 4 4" xfId="15416"/>
    <cellStyle name="Normal 9 2 4 4 4 2" xfId="23431"/>
    <cellStyle name="Normal 9 2 4 4 4 2 2" xfId="37456"/>
    <cellStyle name="Normal 9 2 4 4 4 3" xfId="29445"/>
    <cellStyle name="Normal 9 2 4 4 5" xfId="17422"/>
    <cellStyle name="Normal 9 2 4 4 5 2" xfId="31447"/>
    <cellStyle name="Normal 9 2 4 4 6" xfId="19424"/>
    <cellStyle name="Normal 9 2 4 4 6 2" xfId="33449"/>
    <cellStyle name="Normal 9 2 4 4 7" xfId="25438"/>
    <cellStyle name="Normal 9 2 4 5" xfId="2809"/>
    <cellStyle name="Normal 9 2 4 5 2" xfId="2810"/>
    <cellStyle name="Normal 9 2 4 5 2 2" xfId="13404"/>
    <cellStyle name="Normal 9 2 4 5 2 2 2" xfId="21429"/>
    <cellStyle name="Normal 9 2 4 5 2 2 2 2" xfId="35454"/>
    <cellStyle name="Normal 9 2 4 5 2 2 3" xfId="27443"/>
    <cellStyle name="Normal 9 2 4 5 2 3" xfId="15419"/>
    <cellStyle name="Normal 9 2 4 5 2 3 2" xfId="23434"/>
    <cellStyle name="Normal 9 2 4 5 2 3 2 2" xfId="37459"/>
    <cellStyle name="Normal 9 2 4 5 2 3 3" xfId="29448"/>
    <cellStyle name="Normal 9 2 4 5 2 4" xfId="17425"/>
    <cellStyle name="Normal 9 2 4 5 2 4 2" xfId="31450"/>
    <cellStyle name="Normal 9 2 4 5 2 5" xfId="19427"/>
    <cellStyle name="Normal 9 2 4 5 2 5 2" xfId="33452"/>
    <cellStyle name="Normal 9 2 4 5 2 6" xfId="25441"/>
    <cellStyle name="Normal 9 2 4 5 3" xfId="13403"/>
    <cellStyle name="Normal 9 2 4 5 3 2" xfId="21428"/>
    <cellStyle name="Normal 9 2 4 5 3 2 2" xfId="35453"/>
    <cellStyle name="Normal 9 2 4 5 3 3" xfId="27442"/>
    <cellStyle name="Normal 9 2 4 5 4" xfId="15418"/>
    <cellStyle name="Normal 9 2 4 5 4 2" xfId="23433"/>
    <cellStyle name="Normal 9 2 4 5 4 2 2" xfId="37458"/>
    <cellStyle name="Normal 9 2 4 5 4 3" xfId="29447"/>
    <cellStyle name="Normal 9 2 4 5 5" xfId="17424"/>
    <cellStyle name="Normal 9 2 4 5 5 2" xfId="31449"/>
    <cellStyle name="Normal 9 2 4 5 6" xfId="19426"/>
    <cellStyle name="Normal 9 2 4 5 6 2" xfId="33451"/>
    <cellStyle name="Normal 9 2 4 5 7" xfId="25440"/>
    <cellStyle name="Normal 9 2 4 6" xfId="2811"/>
    <cellStyle name="Normal 9 2 4 6 2" xfId="13405"/>
    <cellStyle name="Normal 9 2 4 6 2 2" xfId="21430"/>
    <cellStyle name="Normal 9 2 4 6 2 2 2" xfId="35455"/>
    <cellStyle name="Normal 9 2 4 6 2 3" xfId="27444"/>
    <cellStyle name="Normal 9 2 4 6 3" xfId="15420"/>
    <cellStyle name="Normal 9 2 4 6 3 2" xfId="23435"/>
    <cellStyle name="Normal 9 2 4 6 3 2 2" xfId="37460"/>
    <cellStyle name="Normal 9 2 4 6 3 3" xfId="29449"/>
    <cellStyle name="Normal 9 2 4 6 4" xfId="17426"/>
    <cellStyle name="Normal 9 2 4 6 4 2" xfId="31451"/>
    <cellStyle name="Normal 9 2 4 6 5" xfId="19428"/>
    <cellStyle name="Normal 9 2 4 6 5 2" xfId="33453"/>
    <cellStyle name="Normal 9 2 4 6 6" xfId="25442"/>
    <cellStyle name="Normal 9 2 4 7" xfId="13386"/>
    <cellStyle name="Normal 9 2 4 7 2" xfId="21411"/>
    <cellStyle name="Normal 9 2 4 7 2 2" xfId="35436"/>
    <cellStyle name="Normal 9 2 4 7 3" xfId="27425"/>
    <cellStyle name="Normal 9 2 4 8" xfId="15401"/>
    <cellStyle name="Normal 9 2 4 8 2" xfId="23416"/>
    <cellStyle name="Normal 9 2 4 8 2 2" xfId="37441"/>
    <cellStyle name="Normal 9 2 4 8 3" xfId="29430"/>
    <cellStyle name="Normal 9 2 4 9" xfId="17407"/>
    <cellStyle name="Normal 9 2 4 9 2" xfId="31432"/>
    <cellStyle name="Normal 9 2 5" xfId="2812"/>
    <cellStyle name="Normal 9 2 5 10" xfId="25443"/>
    <cellStyle name="Normal 9 2 5 2" xfId="2813"/>
    <cellStyle name="Normal 9 2 5 2 2" xfId="2814"/>
    <cellStyle name="Normal 9 2 5 2 2 2" xfId="2815"/>
    <cellStyle name="Normal 9 2 5 2 2 2 2" xfId="13409"/>
    <cellStyle name="Normal 9 2 5 2 2 2 2 2" xfId="21434"/>
    <cellStyle name="Normal 9 2 5 2 2 2 2 2 2" xfId="35459"/>
    <cellStyle name="Normal 9 2 5 2 2 2 2 3" xfId="27448"/>
    <cellStyle name="Normal 9 2 5 2 2 2 3" xfId="15424"/>
    <cellStyle name="Normal 9 2 5 2 2 2 3 2" xfId="23439"/>
    <cellStyle name="Normal 9 2 5 2 2 2 3 2 2" xfId="37464"/>
    <cellStyle name="Normal 9 2 5 2 2 2 3 3" xfId="29453"/>
    <cellStyle name="Normal 9 2 5 2 2 2 4" xfId="17430"/>
    <cellStyle name="Normal 9 2 5 2 2 2 4 2" xfId="31455"/>
    <cellStyle name="Normal 9 2 5 2 2 2 5" xfId="19432"/>
    <cellStyle name="Normal 9 2 5 2 2 2 5 2" xfId="33457"/>
    <cellStyle name="Normal 9 2 5 2 2 2 6" xfId="25446"/>
    <cellStyle name="Normal 9 2 5 2 2 3" xfId="13408"/>
    <cellStyle name="Normal 9 2 5 2 2 3 2" xfId="21433"/>
    <cellStyle name="Normal 9 2 5 2 2 3 2 2" xfId="35458"/>
    <cellStyle name="Normal 9 2 5 2 2 3 3" xfId="27447"/>
    <cellStyle name="Normal 9 2 5 2 2 4" xfId="15423"/>
    <cellStyle name="Normal 9 2 5 2 2 4 2" xfId="23438"/>
    <cellStyle name="Normal 9 2 5 2 2 4 2 2" xfId="37463"/>
    <cellStyle name="Normal 9 2 5 2 2 4 3" xfId="29452"/>
    <cellStyle name="Normal 9 2 5 2 2 5" xfId="17429"/>
    <cellStyle name="Normal 9 2 5 2 2 5 2" xfId="31454"/>
    <cellStyle name="Normal 9 2 5 2 2 6" xfId="19431"/>
    <cellStyle name="Normal 9 2 5 2 2 6 2" xfId="33456"/>
    <cellStyle name="Normal 9 2 5 2 2 7" xfId="25445"/>
    <cellStyle name="Normal 9 2 5 2 3" xfId="2816"/>
    <cellStyle name="Normal 9 2 5 2 3 2" xfId="13410"/>
    <cellStyle name="Normal 9 2 5 2 3 2 2" xfId="21435"/>
    <cellStyle name="Normal 9 2 5 2 3 2 2 2" xfId="35460"/>
    <cellStyle name="Normal 9 2 5 2 3 2 3" xfId="27449"/>
    <cellStyle name="Normal 9 2 5 2 3 3" xfId="15425"/>
    <cellStyle name="Normal 9 2 5 2 3 3 2" xfId="23440"/>
    <cellStyle name="Normal 9 2 5 2 3 3 2 2" xfId="37465"/>
    <cellStyle name="Normal 9 2 5 2 3 3 3" xfId="29454"/>
    <cellStyle name="Normal 9 2 5 2 3 4" xfId="17431"/>
    <cellStyle name="Normal 9 2 5 2 3 4 2" xfId="31456"/>
    <cellStyle name="Normal 9 2 5 2 3 5" xfId="19433"/>
    <cellStyle name="Normal 9 2 5 2 3 5 2" xfId="33458"/>
    <cellStyle name="Normal 9 2 5 2 3 6" xfId="25447"/>
    <cellStyle name="Normal 9 2 5 2 4" xfId="13407"/>
    <cellStyle name="Normal 9 2 5 2 4 2" xfId="21432"/>
    <cellStyle name="Normal 9 2 5 2 4 2 2" xfId="35457"/>
    <cellStyle name="Normal 9 2 5 2 4 3" xfId="27446"/>
    <cellStyle name="Normal 9 2 5 2 5" xfId="15422"/>
    <cellStyle name="Normal 9 2 5 2 5 2" xfId="23437"/>
    <cellStyle name="Normal 9 2 5 2 5 2 2" xfId="37462"/>
    <cellStyle name="Normal 9 2 5 2 5 3" xfId="29451"/>
    <cellStyle name="Normal 9 2 5 2 6" xfId="17428"/>
    <cellStyle name="Normal 9 2 5 2 6 2" xfId="31453"/>
    <cellStyle name="Normal 9 2 5 2 7" xfId="19430"/>
    <cellStyle name="Normal 9 2 5 2 7 2" xfId="33455"/>
    <cellStyle name="Normal 9 2 5 2 8" xfId="25444"/>
    <cellStyle name="Normal 9 2 5 3" xfId="2817"/>
    <cellStyle name="Normal 9 2 5 3 2" xfId="2818"/>
    <cellStyle name="Normal 9 2 5 3 2 2" xfId="13412"/>
    <cellStyle name="Normal 9 2 5 3 2 2 2" xfId="21437"/>
    <cellStyle name="Normal 9 2 5 3 2 2 2 2" xfId="35462"/>
    <cellStyle name="Normal 9 2 5 3 2 2 3" xfId="27451"/>
    <cellStyle name="Normal 9 2 5 3 2 3" xfId="15427"/>
    <cellStyle name="Normal 9 2 5 3 2 3 2" xfId="23442"/>
    <cellStyle name="Normal 9 2 5 3 2 3 2 2" xfId="37467"/>
    <cellStyle name="Normal 9 2 5 3 2 3 3" xfId="29456"/>
    <cellStyle name="Normal 9 2 5 3 2 4" xfId="17433"/>
    <cellStyle name="Normal 9 2 5 3 2 4 2" xfId="31458"/>
    <cellStyle name="Normal 9 2 5 3 2 5" xfId="19435"/>
    <cellStyle name="Normal 9 2 5 3 2 5 2" xfId="33460"/>
    <cellStyle name="Normal 9 2 5 3 2 6" xfId="25449"/>
    <cellStyle name="Normal 9 2 5 3 3" xfId="13411"/>
    <cellStyle name="Normal 9 2 5 3 3 2" xfId="21436"/>
    <cellStyle name="Normal 9 2 5 3 3 2 2" xfId="35461"/>
    <cellStyle name="Normal 9 2 5 3 3 3" xfId="27450"/>
    <cellStyle name="Normal 9 2 5 3 4" xfId="15426"/>
    <cellStyle name="Normal 9 2 5 3 4 2" xfId="23441"/>
    <cellStyle name="Normal 9 2 5 3 4 2 2" xfId="37466"/>
    <cellStyle name="Normal 9 2 5 3 4 3" xfId="29455"/>
    <cellStyle name="Normal 9 2 5 3 5" xfId="17432"/>
    <cellStyle name="Normal 9 2 5 3 5 2" xfId="31457"/>
    <cellStyle name="Normal 9 2 5 3 6" xfId="19434"/>
    <cellStyle name="Normal 9 2 5 3 6 2" xfId="33459"/>
    <cellStyle name="Normal 9 2 5 3 7" xfId="25448"/>
    <cellStyle name="Normal 9 2 5 4" xfId="2819"/>
    <cellStyle name="Normal 9 2 5 4 2" xfId="2820"/>
    <cellStyle name="Normal 9 2 5 4 2 2" xfId="13414"/>
    <cellStyle name="Normal 9 2 5 4 2 2 2" xfId="21439"/>
    <cellStyle name="Normal 9 2 5 4 2 2 2 2" xfId="35464"/>
    <cellStyle name="Normal 9 2 5 4 2 2 3" xfId="27453"/>
    <cellStyle name="Normal 9 2 5 4 2 3" xfId="15429"/>
    <cellStyle name="Normal 9 2 5 4 2 3 2" xfId="23444"/>
    <cellStyle name="Normal 9 2 5 4 2 3 2 2" xfId="37469"/>
    <cellStyle name="Normal 9 2 5 4 2 3 3" xfId="29458"/>
    <cellStyle name="Normal 9 2 5 4 2 4" xfId="17435"/>
    <cellStyle name="Normal 9 2 5 4 2 4 2" xfId="31460"/>
    <cellStyle name="Normal 9 2 5 4 2 5" xfId="19437"/>
    <cellStyle name="Normal 9 2 5 4 2 5 2" xfId="33462"/>
    <cellStyle name="Normal 9 2 5 4 2 6" xfId="25451"/>
    <cellStyle name="Normal 9 2 5 4 3" xfId="13413"/>
    <cellStyle name="Normal 9 2 5 4 3 2" xfId="21438"/>
    <cellStyle name="Normal 9 2 5 4 3 2 2" xfId="35463"/>
    <cellStyle name="Normal 9 2 5 4 3 3" xfId="27452"/>
    <cellStyle name="Normal 9 2 5 4 4" xfId="15428"/>
    <cellStyle name="Normal 9 2 5 4 4 2" xfId="23443"/>
    <cellStyle name="Normal 9 2 5 4 4 2 2" xfId="37468"/>
    <cellStyle name="Normal 9 2 5 4 4 3" xfId="29457"/>
    <cellStyle name="Normal 9 2 5 4 5" xfId="17434"/>
    <cellStyle name="Normal 9 2 5 4 5 2" xfId="31459"/>
    <cellStyle name="Normal 9 2 5 4 6" xfId="19436"/>
    <cellStyle name="Normal 9 2 5 4 6 2" xfId="33461"/>
    <cellStyle name="Normal 9 2 5 4 7" xfId="25450"/>
    <cellStyle name="Normal 9 2 5 5" xfId="2821"/>
    <cellStyle name="Normal 9 2 5 5 2" xfId="13415"/>
    <cellStyle name="Normal 9 2 5 5 2 2" xfId="21440"/>
    <cellStyle name="Normal 9 2 5 5 2 2 2" xfId="35465"/>
    <cellStyle name="Normal 9 2 5 5 2 3" xfId="27454"/>
    <cellStyle name="Normal 9 2 5 5 3" xfId="15430"/>
    <cellStyle name="Normal 9 2 5 5 3 2" xfId="23445"/>
    <cellStyle name="Normal 9 2 5 5 3 2 2" xfId="37470"/>
    <cellStyle name="Normal 9 2 5 5 3 3" xfId="29459"/>
    <cellStyle name="Normal 9 2 5 5 4" xfId="17436"/>
    <cellStyle name="Normal 9 2 5 5 4 2" xfId="31461"/>
    <cellStyle name="Normal 9 2 5 5 5" xfId="19438"/>
    <cellStyle name="Normal 9 2 5 5 5 2" xfId="33463"/>
    <cellStyle name="Normal 9 2 5 5 6" xfId="25452"/>
    <cellStyle name="Normal 9 2 5 6" xfId="13406"/>
    <cellStyle name="Normal 9 2 5 6 2" xfId="21431"/>
    <cellStyle name="Normal 9 2 5 6 2 2" xfId="35456"/>
    <cellStyle name="Normal 9 2 5 6 3" xfId="27445"/>
    <cellStyle name="Normal 9 2 5 7" xfId="15421"/>
    <cellStyle name="Normal 9 2 5 7 2" xfId="23436"/>
    <cellStyle name="Normal 9 2 5 7 2 2" xfId="37461"/>
    <cellStyle name="Normal 9 2 5 7 3" xfId="29450"/>
    <cellStyle name="Normal 9 2 5 8" xfId="17427"/>
    <cellStyle name="Normal 9 2 5 8 2" xfId="31452"/>
    <cellStyle name="Normal 9 2 5 9" xfId="19429"/>
    <cellStyle name="Normal 9 2 5 9 2" xfId="33454"/>
    <cellStyle name="Normal 9 2 6" xfId="2822"/>
    <cellStyle name="Normal 9 2 6 10" xfId="25453"/>
    <cellStyle name="Normal 9 2 6 2" xfId="2823"/>
    <cellStyle name="Normal 9 2 6 2 2" xfId="2824"/>
    <cellStyle name="Normal 9 2 6 2 2 2" xfId="2825"/>
    <cellStyle name="Normal 9 2 6 2 2 2 2" xfId="13419"/>
    <cellStyle name="Normal 9 2 6 2 2 2 2 2" xfId="21444"/>
    <cellStyle name="Normal 9 2 6 2 2 2 2 2 2" xfId="35469"/>
    <cellStyle name="Normal 9 2 6 2 2 2 2 3" xfId="27458"/>
    <cellStyle name="Normal 9 2 6 2 2 2 3" xfId="15434"/>
    <cellStyle name="Normal 9 2 6 2 2 2 3 2" xfId="23449"/>
    <cellStyle name="Normal 9 2 6 2 2 2 3 2 2" xfId="37474"/>
    <cellStyle name="Normal 9 2 6 2 2 2 3 3" xfId="29463"/>
    <cellStyle name="Normal 9 2 6 2 2 2 4" xfId="17440"/>
    <cellStyle name="Normal 9 2 6 2 2 2 4 2" xfId="31465"/>
    <cellStyle name="Normal 9 2 6 2 2 2 5" xfId="19442"/>
    <cellStyle name="Normal 9 2 6 2 2 2 5 2" xfId="33467"/>
    <cellStyle name="Normal 9 2 6 2 2 2 6" xfId="25456"/>
    <cellStyle name="Normal 9 2 6 2 2 3" xfId="13418"/>
    <cellStyle name="Normal 9 2 6 2 2 3 2" xfId="21443"/>
    <cellStyle name="Normal 9 2 6 2 2 3 2 2" xfId="35468"/>
    <cellStyle name="Normal 9 2 6 2 2 3 3" xfId="27457"/>
    <cellStyle name="Normal 9 2 6 2 2 4" xfId="15433"/>
    <cellStyle name="Normal 9 2 6 2 2 4 2" xfId="23448"/>
    <cellStyle name="Normal 9 2 6 2 2 4 2 2" xfId="37473"/>
    <cellStyle name="Normal 9 2 6 2 2 4 3" xfId="29462"/>
    <cellStyle name="Normal 9 2 6 2 2 5" xfId="17439"/>
    <cellStyle name="Normal 9 2 6 2 2 5 2" xfId="31464"/>
    <cellStyle name="Normal 9 2 6 2 2 6" xfId="19441"/>
    <cellStyle name="Normal 9 2 6 2 2 6 2" xfId="33466"/>
    <cellStyle name="Normal 9 2 6 2 2 7" xfId="25455"/>
    <cellStyle name="Normal 9 2 6 2 3" xfId="2826"/>
    <cellStyle name="Normal 9 2 6 2 3 2" xfId="13420"/>
    <cellStyle name="Normal 9 2 6 2 3 2 2" xfId="21445"/>
    <cellStyle name="Normal 9 2 6 2 3 2 2 2" xfId="35470"/>
    <cellStyle name="Normal 9 2 6 2 3 2 3" xfId="27459"/>
    <cellStyle name="Normal 9 2 6 2 3 3" xfId="15435"/>
    <cellStyle name="Normal 9 2 6 2 3 3 2" xfId="23450"/>
    <cellStyle name="Normal 9 2 6 2 3 3 2 2" xfId="37475"/>
    <cellStyle name="Normal 9 2 6 2 3 3 3" xfId="29464"/>
    <cellStyle name="Normal 9 2 6 2 3 4" xfId="17441"/>
    <cellStyle name="Normal 9 2 6 2 3 4 2" xfId="31466"/>
    <cellStyle name="Normal 9 2 6 2 3 5" xfId="19443"/>
    <cellStyle name="Normal 9 2 6 2 3 5 2" xfId="33468"/>
    <cellStyle name="Normal 9 2 6 2 3 6" xfId="25457"/>
    <cellStyle name="Normal 9 2 6 2 4" xfId="13417"/>
    <cellStyle name="Normal 9 2 6 2 4 2" xfId="21442"/>
    <cellStyle name="Normal 9 2 6 2 4 2 2" xfId="35467"/>
    <cellStyle name="Normal 9 2 6 2 4 3" xfId="27456"/>
    <cellStyle name="Normal 9 2 6 2 5" xfId="15432"/>
    <cellStyle name="Normal 9 2 6 2 5 2" xfId="23447"/>
    <cellStyle name="Normal 9 2 6 2 5 2 2" xfId="37472"/>
    <cellStyle name="Normal 9 2 6 2 5 3" xfId="29461"/>
    <cellStyle name="Normal 9 2 6 2 6" xfId="17438"/>
    <cellStyle name="Normal 9 2 6 2 6 2" xfId="31463"/>
    <cellStyle name="Normal 9 2 6 2 7" xfId="19440"/>
    <cellStyle name="Normal 9 2 6 2 7 2" xfId="33465"/>
    <cellStyle name="Normal 9 2 6 2 8" xfId="25454"/>
    <cellStyle name="Normal 9 2 6 3" xfId="2827"/>
    <cellStyle name="Normal 9 2 6 3 2" xfId="2828"/>
    <cellStyle name="Normal 9 2 6 3 2 2" xfId="13422"/>
    <cellStyle name="Normal 9 2 6 3 2 2 2" xfId="21447"/>
    <cellStyle name="Normal 9 2 6 3 2 2 2 2" xfId="35472"/>
    <cellStyle name="Normal 9 2 6 3 2 2 3" xfId="27461"/>
    <cellStyle name="Normal 9 2 6 3 2 3" xfId="15437"/>
    <cellStyle name="Normal 9 2 6 3 2 3 2" xfId="23452"/>
    <cellStyle name="Normal 9 2 6 3 2 3 2 2" xfId="37477"/>
    <cellStyle name="Normal 9 2 6 3 2 3 3" xfId="29466"/>
    <cellStyle name="Normal 9 2 6 3 2 4" xfId="17443"/>
    <cellStyle name="Normal 9 2 6 3 2 4 2" xfId="31468"/>
    <cellStyle name="Normal 9 2 6 3 2 5" xfId="19445"/>
    <cellStyle name="Normal 9 2 6 3 2 5 2" xfId="33470"/>
    <cellStyle name="Normal 9 2 6 3 2 6" xfId="25459"/>
    <cellStyle name="Normal 9 2 6 3 3" xfId="13421"/>
    <cellStyle name="Normal 9 2 6 3 3 2" xfId="21446"/>
    <cellStyle name="Normal 9 2 6 3 3 2 2" xfId="35471"/>
    <cellStyle name="Normal 9 2 6 3 3 3" xfId="27460"/>
    <cellStyle name="Normal 9 2 6 3 4" xfId="15436"/>
    <cellStyle name="Normal 9 2 6 3 4 2" xfId="23451"/>
    <cellStyle name="Normal 9 2 6 3 4 2 2" xfId="37476"/>
    <cellStyle name="Normal 9 2 6 3 4 3" xfId="29465"/>
    <cellStyle name="Normal 9 2 6 3 5" xfId="17442"/>
    <cellStyle name="Normal 9 2 6 3 5 2" xfId="31467"/>
    <cellStyle name="Normal 9 2 6 3 6" xfId="19444"/>
    <cellStyle name="Normal 9 2 6 3 6 2" xfId="33469"/>
    <cellStyle name="Normal 9 2 6 3 7" xfId="25458"/>
    <cellStyle name="Normal 9 2 6 4" xfId="2829"/>
    <cellStyle name="Normal 9 2 6 4 2" xfId="2830"/>
    <cellStyle name="Normal 9 2 6 4 2 2" xfId="13424"/>
    <cellStyle name="Normal 9 2 6 4 2 2 2" xfId="21449"/>
    <cellStyle name="Normal 9 2 6 4 2 2 2 2" xfId="35474"/>
    <cellStyle name="Normal 9 2 6 4 2 2 3" xfId="27463"/>
    <cellStyle name="Normal 9 2 6 4 2 3" xfId="15439"/>
    <cellStyle name="Normal 9 2 6 4 2 3 2" xfId="23454"/>
    <cellStyle name="Normal 9 2 6 4 2 3 2 2" xfId="37479"/>
    <cellStyle name="Normal 9 2 6 4 2 3 3" xfId="29468"/>
    <cellStyle name="Normal 9 2 6 4 2 4" xfId="17445"/>
    <cellStyle name="Normal 9 2 6 4 2 4 2" xfId="31470"/>
    <cellStyle name="Normal 9 2 6 4 2 5" xfId="19447"/>
    <cellStyle name="Normal 9 2 6 4 2 5 2" xfId="33472"/>
    <cellStyle name="Normal 9 2 6 4 2 6" xfId="25461"/>
    <cellStyle name="Normal 9 2 6 4 3" xfId="13423"/>
    <cellStyle name="Normal 9 2 6 4 3 2" xfId="21448"/>
    <cellStyle name="Normal 9 2 6 4 3 2 2" xfId="35473"/>
    <cellStyle name="Normal 9 2 6 4 3 3" xfId="27462"/>
    <cellStyle name="Normal 9 2 6 4 4" xfId="15438"/>
    <cellStyle name="Normal 9 2 6 4 4 2" xfId="23453"/>
    <cellStyle name="Normal 9 2 6 4 4 2 2" xfId="37478"/>
    <cellStyle name="Normal 9 2 6 4 4 3" xfId="29467"/>
    <cellStyle name="Normal 9 2 6 4 5" xfId="17444"/>
    <cellStyle name="Normal 9 2 6 4 5 2" xfId="31469"/>
    <cellStyle name="Normal 9 2 6 4 6" xfId="19446"/>
    <cellStyle name="Normal 9 2 6 4 6 2" xfId="33471"/>
    <cellStyle name="Normal 9 2 6 4 7" xfId="25460"/>
    <cellStyle name="Normal 9 2 6 5" xfId="2831"/>
    <cellStyle name="Normal 9 2 6 5 2" xfId="13425"/>
    <cellStyle name="Normal 9 2 6 5 2 2" xfId="21450"/>
    <cellStyle name="Normal 9 2 6 5 2 2 2" xfId="35475"/>
    <cellStyle name="Normal 9 2 6 5 2 3" xfId="27464"/>
    <cellStyle name="Normal 9 2 6 5 3" xfId="15440"/>
    <cellStyle name="Normal 9 2 6 5 3 2" xfId="23455"/>
    <cellStyle name="Normal 9 2 6 5 3 2 2" xfId="37480"/>
    <cellStyle name="Normal 9 2 6 5 3 3" xfId="29469"/>
    <cellStyle name="Normal 9 2 6 5 4" xfId="17446"/>
    <cellStyle name="Normal 9 2 6 5 4 2" xfId="31471"/>
    <cellStyle name="Normal 9 2 6 5 5" xfId="19448"/>
    <cellStyle name="Normal 9 2 6 5 5 2" xfId="33473"/>
    <cellStyle name="Normal 9 2 6 5 6" xfId="25462"/>
    <cellStyle name="Normal 9 2 6 6" xfId="13416"/>
    <cellStyle name="Normal 9 2 6 6 2" xfId="21441"/>
    <cellStyle name="Normal 9 2 6 6 2 2" xfId="35466"/>
    <cellStyle name="Normal 9 2 6 6 3" xfId="27455"/>
    <cellStyle name="Normal 9 2 6 7" xfId="15431"/>
    <cellStyle name="Normal 9 2 6 7 2" xfId="23446"/>
    <cellStyle name="Normal 9 2 6 7 2 2" xfId="37471"/>
    <cellStyle name="Normal 9 2 6 7 3" xfId="29460"/>
    <cellStyle name="Normal 9 2 6 8" xfId="17437"/>
    <cellStyle name="Normal 9 2 6 8 2" xfId="31462"/>
    <cellStyle name="Normal 9 2 6 9" xfId="19439"/>
    <cellStyle name="Normal 9 2 6 9 2" xfId="33464"/>
    <cellStyle name="Normal 9 2 7" xfId="2832"/>
    <cellStyle name="Normal 9 2 7 2" xfId="2833"/>
    <cellStyle name="Normal 9 2 7 2 2" xfId="2834"/>
    <cellStyle name="Normal 9 2 7 2 2 2" xfId="13428"/>
    <cellStyle name="Normal 9 2 7 2 2 2 2" xfId="21453"/>
    <cellStyle name="Normal 9 2 7 2 2 2 2 2" xfId="35478"/>
    <cellStyle name="Normal 9 2 7 2 2 2 3" xfId="27467"/>
    <cellStyle name="Normal 9 2 7 2 2 3" xfId="15443"/>
    <cellStyle name="Normal 9 2 7 2 2 3 2" xfId="23458"/>
    <cellStyle name="Normal 9 2 7 2 2 3 2 2" xfId="37483"/>
    <cellStyle name="Normal 9 2 7 2 2 3 3" xfId="29472"/>
    <cellStyle name="Normal 9 2 7 2 2 4" xfId="17449"/>
    <cellStyle name="Normal 9 2 7 2 2 4 2" xfId="31474"/>
    <cellStyle name="Normal 9 2 7 2 2 5" xfId="19451"/>
    <cellStyle name="Normal 9 2 7 2 2 5 2" xfId="33476"/>
    <cellStyle name="Normal 9 2 7 2 2 6" xfId="25465"/>
    <cellStyle name="Normal 9 2 7 2 3" xfId="13427"/>
    <cellStyle name="Normal 9 2 7 2 3 2" xfId="21452"/>
    <cellStyle name="Normal 9 2 7 2 3 2 2" xfId="35477"/>
    <cellStyle name="Normal 9 2 7 2 3 3" xfId="27466"/>
    <cellStyle name="Normal 9 2 7 2 4" xfId="15442"/>
    <cellStyle name="Normal 9 2 7 2 4 2" xfId="23457"/>
    <cellStyle name="Normal 9 2 7 2 4 2 2" xfId="37482"/>
    <cellStyle name="Normal 9 2 7 2 4 3" xfId="29471"/>
    <cellStyle name="Normal 9 2 7 2 5" xfId="17448"/>
    <cellStyle name="Normal 9 2 7 2 5 2" xfId="31473"/>
    <cellStyle name="Normal 9 2 7 2 6" xfId="19450"/>
    <cellStyle name="Normal 9 2 7 2 6 2" xfId="33475"/>
    <cellStyle name="Normal 9 2 7 2 7" xfId="25464"/>
    <cellStyle name="Normal 9 2 7 3" xfId="2835"/>
    <cellStyle name="Normal 9 2 7 3 2" xfId="13429"/>
    <cellStyle name="Normal 9 2 7 3 2 2" xfId="21454"/>
    <cellStyle name="Normal 9 2 7 3 2 2 2" xfId="35479"/>
    <cellStyle name="Normal 9 2 7 3 2 3" xfId="27468"/>
    <cellStyle name="Normal 9 2 7 3 3" xfId="15444"/>
    <cellStyle name="Normal 9 2 7 3 3 2" xfId="23459"/>
    <cellStyle name="Normal 9 2 7 3 3 2 2" xfId="37484"/>
    <cellStyle name="Normal 9 2 7 3 3 3" xfId="29473"/>
    <cellStyle name="Normal 9 2 7 3 4" xfId="17450"/>
    <cellStyle name="Normal 9 2 7 3 4 2" xfId="31475"/>
    <cellStyle name="Normal 9 2 7 3 5" xfId="19452"/>
    <cellStyle name="Normal 9 2 7 3 5 2" xfId="33477"/>
    <cellStyle name="Normal 9 2 7 3 6" xfId="25466"/>
    <cellStyle name="Normal 9 2 7 4" xfId="13426"/>
    <cellStyle name="Normal 9 2 7 4 2" xfId="21451"/>
    <cellStyle name="Normal 9 2 7 4 2 2" xfId="35476"/>
    <cellStyle name="Normal 9 2 7 4 3" xfId="27465"/>
    <cellStyle name="Normal 9 2 7 5" xfId="15441"/>
    <cellStyle name="Normal 9 2 7 5 2" xfId="23456"/>
    <cellStyle name="Normal 9 2 7 5 2 2" xfId="37481"/>
    <cellStyle name="Normal 9 2 7 5 3" xfId="29470"/>
    <cellStyle name="Normal 9 2 7 6" xfId="17447"/>
    <cellStyle name="Normal 9 2 7 6 2" xfId="31472"/>
    <cellStyle name="Normal 9 2 7 7" xfId="19449"/>
    <cellStyle name="Normal 9 2 7 7 2" xfId="33474"/>
    <cellStyle name="Normal 9 2 7 8" xfId="25463"/>
    <cellStyle name="Normal 9 2 8" xfId="2836"/>
    <cellStyle name="Normal 9 2 8 2" xfId="2837"/>
    <cellStyle name="Normal 9 2 8 2 2" xfId="13431"/>
    <cellStyle name="Normal 9 2 8 2 2 2" xfId="21456"/>
    <cellStyle name="Normal 9 2 8 2 2 2 2" xfId="35481"/>
    <cellStyle name="Normal 9 2 8 2 2 3" xfId="27470"/>
    <cellStyle name="Normal 9 2 8 2 3" xfId="15446"/>
    <cellStyle name="Normal 9 2 8 2 3 2" xfId="23461"/>
    <cellStyle name="Normal 9 2 8 2 3 2 2" xfId="37486"/>
    <cellStyle name="Normal 9 2 8 2 3 3" xfId="29475"/>
    <cellStyle name="Normal 9 2 8 2 4" xfId="17452"/>
    <cellStyle name="Normal 9 2 8 2 4 2" xfId="31477"/>
    <cellStyle name="Normal 9 2 8 2 5" xfId="19454"/>
    <cellStyle name="Normal 9 2 8 2 5 2" xfId="33479"/>
    <cellStyle name="Normal 9 2 8 2 6" xfId="25468"/>
    <cellStyle name="Normal 9 2 8 3" xfId="13430"/>
    <cellStyle name="Normal 9 2 8 3 2" xfId="21455"/>
    <cellStyle name="Normal 9 2 8 3 2 2" xfId="35480"/>
    <cellStyle name="Normal 9 2 8 3 3" xfId="27469"/>
    <cellStyle name="Normal 9 2 8 4" xfId="15445"/>
    <cellStyle name="Normal 9 2 8 4 2" xfId="23460"/>
    <cellStyle name="Normal 9 2 8 4 2 2" xfId="37485"/>
    <cellStyle name="Normal 9 2 8 4 3" xfId="29474"/>
    <cellStyle name="Normal 9 2 8 5" xfId="17451"/>
    <cellStyle name="Normal 9 2 8 5 2" xfId="31476"/>
    <cellStyle name="Normal 9 2 8 6" xfId="19453"/>
    <cellStyle name="Normal 9 2 8 6 2" xfId="33478"/>
    <cellStyle name="Normal 9 2 8 7" xfId="25467"/>
    <cellStyle name="Normal 9 2 9" xfId="2838"/>
    <cellStyle name="Normal 9 2 9 2" xfId="2839"/>
    <cellStyle name="Normal 9 2 9 2 2" xfId="13433"/>
    <cellStyle name="Normal 9 2 9 2 2 2" xfId="21458"/>
    <cellStyle name="Normal 9 2 9 2 2 2 2" xfId="35483"/>
    <cellStyle name="Normal 9 2 9 2 2 3" xfId="27472"/>
    <cellStyle name="Normal 9 2 9 2 3" xfId="15448"/>
    <cellStyle name="Normal 9 2 9 2 3 2" xfId="23463"/>
    <cellStyle name="Normal 9 2 9 2 3 2 2" xfId="37488"/>
    <cellStyle name="Normal 9 2 9 2 3 3" xfId="29477"/>
    <cellStyle name="Normal 9 2 9 2 4" xfId="17454"/>
    <cellStyle name="Normal 9 2 9 2 4 2" xfId="31479"/>
    <cellStyle name="Normal 9 2 9 2 5" xfId="19456"/>
    <cellStyle name="Normal 9 2 9 2 5 2" xfId="33481"/>
    <cellStyle name="Normal 9 2 9 2 6" xfId="25470"/>
    <cellStyle name="Normal 9 2 9 3" xfId="13432"/>
    <cellStyle name="Normal 9 2 9 3 2" xfId="21457"/>
    <cellStyle name="Normal 9 2 9 3 2 2" xfId="35482"/>
    <cellStyle name="Normal 9 2 9 3 3" xfId="27471"/>
    <cellStyle name="Normal 9 2 9 4" xfId="15447"/>
    <cellStyle name="Normal 9 2 9 4 2" xfId="23462"/>
    <cellStyle name="Normal 9 2 9 4 2 2" xfId="37487"/>
    <cellStyle name="Normal 9 2 9 4 3" xfId="29476"/>
    <cellStyle name="Normal 9 2 9 5" xfId="17453"/>
    <cellStyle name="Normal 9 2 9 5 2" xfId="31478"/>
    <cellStyle name="Normal 9 2 9 6" xfId="19455"/>
    <cellStyle name="Normal 9 2 9 6 2" xfId="33480"/>
    <cellStyle name="Normal 9 2 9 7" xfId="25469"/>
    <cellStyle name="Normal 9 2_3 - Revenue Credits" xfId="587"/>
    <cellStyle name="Normal 9 3" xfId="588"/>
    <cellStyle name="Normal 9 4" xfId="2840"/>
    <cellStyle name="Normal 9 4 10" xfId="17455"/>
    <cellStyle name="Normal 9 4 10 2" xfId="31480"/>
    <cellStyle name="Normal 9 4 11" xfId="19457"/>
    <cellStyle name="Normal 9 4 11 2" xfId="33482"/>
    <cellStyle name="Normal 9 4 12" xfId="25471"/>
    <cellStyle name="Normal 9 4 2" xfId="2841"/>
    <cellStyle name="Normal 9 4 2 10" xfId="19458"/>
    <cellStyle name="Normal 9 4 2 10 2" xfId="33483"/>
    <cellStyle name="Normal 9 4 2 11" xfId="25472"/>
    <cellStyle name="Normal 9 4 2 2" xfId="2842"/>
    <cellStyle name="Normal 9 4 2 2 10" xfId="25473"/>
    <cellStyle name="Normal 9 4 2 2 2" xfId="2843"/>
    <cellStyle name="Normal 9 4 2 2 2 2" xfId="2844"/>
    <cellStyle name="Normal 9 4 2 2 2 2 2" xfId="2845"/>
    <cellStyle name="Normal 9 4 2 2 2 2 2 2" xfId="13439"/>
    <cellStyle name="Normal 9 4 2 2 2 2 2 2 2" xfId="21464"/>
    <cellStyle name="Normal 9 4 2 2 2 2 2 2 2 2" xfId="35489"/>
    <cellStyle name="Normal 9 4 2 2 2 2 2 2 3" xfId="27478"/>
    <cellStyle name="Normal 9 4 2 2 2 2 2 3" xfId="15454"/>
    <cellStyle name="Normal 9 4 2 2 2 2 2 3 2" xfId="23469"/>
    <cellStyle name="Normal 9 4 2 2 2 2 2 3 2 2" xfId="37494"/>
    <cellStyle name="Normal 9 4 2 2 2 2 2 3 3" xfId="29483"/>
    <cellStyle name="Normal 9 4 2 2 2 2 2 4" xfId="17460"/>
    <cellStyle name="Normal 9 4 2 2 2 2 2 4 2" xfId="31485"/>
    <cellStyle name="Normal 9 4 2 2 2 2 2 5" xfId="19462"/>
    <cellStyle name="Normal 9 4 2 2 2 2 2 5 2" xfId="33487"/>
    <cellStyle name="Normal 9 4 2 2 2 2 2 6" xfId="25476"/>
    <cellStyle name="Normal 9 4 2 2 2 2 3" xfId="13438"/>
    <cellStyle name="Normal 9 4 2 2 2 2 3 2" xfId="21463"/>
    <cellStyle name="Normal 9 4 2 2 2 2 3 2 2" xfId="35488"/>
    <cellStyle name="Normal 9 4 2 2 2 2 3 3" xfId="27477"/>
    <cellStyle name="Normal 9 4 2 2 2 2 4" xfId="15453"/>
    <cellStyle name="Normal 9 4 2 2 2 2 4 2" xfId="23468"/>
    <cellStyle name="Normal 9 4 2 2 2 2 4 2 2" xfId="37493"/>
    <cellStyle name="Normal 9 4 2 2 2 2 4 3" xfId="29482"/>
    <cellStyle name="Normal 9 4 2 2 2 2 5" xfId="17459"/>
    <cellStyle name="Normal 9 4 2 2 2 2 5 2" xfId="31484"/>
    <cellStyle name="Normal 9 4 2 2 2 2 6" xfId="19461"/>
    <cellStyle name="Normal 9 4 2 2 2 2 6 2" xfId="33486"/>
    <cellStyle name="Normal 9 4 2 2 2 2 7" xfId="25475"/>
    <cellStyle name="Normal 9 4 2 2 2 3" xfId="2846"/>
    <cellStyle name="Normal 9 4 2 2 2 3 2" xfId="13440"/>
    <cellStyle name="Normal 9 4 2 2 2 3 2 2" xfId="21465"/>
    <cellStyle name="Normal 9 4 2 2 2 3 2 2 2" xfId="35490"/>
    <cellStyle name="Normal 9 4 2 2 2 3 2 3" xfId="27479"/>
    <cellStyle name="Normal 9 4 2 2 2 3 3" xfId="15455"/>
    <cellStyle name="Normal 9 4 2 2 2 3 3 2" xfId="23470"/>
    <cellStyle name="Normal 9 4 2 2 2 3 3 2 2" xfId="37495"/>
    <cellStyle name="Normal 9 4 2 2 2 3 3 3" xfId="29484"/>
    <cellStyle name="Normal 9 4 2 2 2 3 4" xfId="17461"/>
    <cellStyle name="Normal 9 4 2 2 2 3 4 2" xfId="31486"/>
    <cellStyle name="Normal 9 4 2 2 2 3 5" xfId="19463"/>
    <cellStyle name="Normal 9 4 2 2 2 3 5 2" xfId="33488"/>
    <cellStyle name="Normal 9 4 2 2 2 3 6" xfId="25477"/>
    <cellStyle name="Normal 9 4 2 2 2 4" xfId="13437"/>
    <cellStyle name="Normal 9 4 2 2 2 4 2" xfId="21462"/>
    <cellStyle name="Normal 9 4 2 2 2 4 2 2" xfId="35487"/>
    <cellStyle name="Normal 9 4 2 2 2 4 3" xfId="27476"/>
    <cellStyle name="Normal 9 4 2 2 2 5" xfId="15452"/>
    <cellStyle name="Normal 9 4 2 2 2 5 2" xfId="23467"/>
    <cellStyle name="Normal 9 4 2 2 2 5 2 2" xfId="37492"/>
    <cellStyle name="Normal 9 4 2 2 2 5 3" xfId="29481"/>
    <cellStyle name="Normal 9 4 2 2 2 6" xfId="17458"/>
    <cellStyle name="Normal 9 4 2 2 2 6 2" xfId="31483"/>
    <cellStyle name="Normal 9 4 2 2 2 7" xfId="19460"/>
    <cellStyle name="Normal 9 4 2 2 2 7 2" xfId="33485"/>
    <cellStyle name="Normal 9 4 2 2 2 8" xfId="25474"/>
    <cellStyle name="Normal 9 4 2 2 3" xfId="2847"/>
    <cellStyle name="Normal 9 4 2 2 3 2" xfId="2848"/>
    <cellStyle name="Normal 9 4 2 2 3 2 2" xfId="13442"/>
    <cellStyle name="Normal 9 4 2 2 3 2 2 2" xfId="21467"/>
    <cellStyle name="Normal 9 4 2 2 3 2 2 2 2" xfId="35492"/>
    <cellStyle name="Normal 9 4 2 2 3 2 2 3" xfId="27481"/>
    <cellStyle name="Normal 9 4 2 2 3 2 3" xfId="15457"/>
    <cellStyle name="Normal 9 4 2 2 3 2 3 2" xfId="23472"/>
    <cellStyle name="Normal 9 4 2 2 3 2 3 2 2" xfId="37497"/>
    <cellStyle name="Normal 9 4 2 2 3 2 3 3" xfId="29486"/>
    <cellStyle name="Normal 9 4 2 2 3 2 4" xfId="17463"/>
    <cellStyle name="Normal 9 4 2 2 3 2 4 2" xfId="31488"/>
    <cellStyle name="Normal 9 4 2 2 3 2 5" xfId="19465"/>
    <cellStyle name="Normal 9 4 2 2 3 2 5 2" xfId="33490"/>
    <cellStyle name="Normal 9 4 2 2 3 2 6" xfId="25479"/>
    <cellStyle name="Normal 9 4 2 2 3 3" xfId="13441"/>
    <cellStyle name="Normal 9 4 2 2 3 3 2" xfId="21466"/>
    <cellStyle name="Normal 9 4 2 2 3 3 2 2" xfId="35491"/>
    <cellStyle name="Normal 9 4 2 2 3 3 3" xfId="27480"/>
    <cellStyle name="Normal 9 4 2 2 3 4" xfId="15456"/>
    <cellStyle name="Normal 9 4 2 2 3 4 2" xfId="23471"/>
    <cellStyle name="Normal 9 4 2 2 3 4 2 2" xfId="37496"/>
    <cellStyle name="Normal 9 4 2 2 3 4 3" xfId="29485"/>
    <cellStyle name="Normal 9 4 2 2 3 5" xfId="17462"/>
    <cellStyle name="Normal 9 4 2 2 3 5 2" xfId="31487"/>
    <cellStyle name="Normal 9 4 2 2 3 6" xfId="19464"/>
    <cellStyle name="Normal 9 4 2 2 3 6 2" xfId="33489"/>
    <cellStyle name="Normal 9 4 2 2 3 7" xfId="25478"/>
    <cellStyle name="Normal 9 4 2 2 4" xfId="2849"/>
    <cellStyle name="Normal 9 4 2 2 4 2" xfId="2850"/>
    <cellStyle name="Normal 9 4 2 2 4 2 2" xfId="13444"/>
    <cellStyle name="Normal 9 4 2 2 4 2 2 2" xfId="21469"/>
    <cellStyle name="Normal 9 4 2 2 4 2 2 2 2" xfId="35494"/>
    <cellStyle name="Normal 9 4 2 2 4 2 2 3" xfId="27483"/>
    <cellStyle name="Normal 9 4 2 2 4 2 3" xfId="15459"/>
    <cellStyle name="Normal 9 4 2 2 4 2 3 2" xfId="23474"/>
    <cellStyle name="Normal 9 4 2 2 4 2 3 2 2" xfId="37499"/>
    <cellStyle name="Normal 9 4 2 2 4 2 3 3" xfId="29488"/>
    <cellStyle name="Normal 9 4 2 2 4 2 4" xfId="17465"/>
    <cellStyle name="Normal 9 4 2 2 4 2 4 2" xfId="31490"/>
    <cellStyle name="Normal 9 4 2 2 4 2 5" xfId="19467"/>
    <cellStyle name="Normal 9 4 2 2 4 2 5 2" xfId="33492"/>
    <cellStyle name="Normal 9 4 2 2 4 2 6" xfId="25481"/>
    <cellStyle name="Normal 9 4 2 2 4 3" xfId="13443"/>
    <cellStyle name="Normal 9 4 2 2 4 3 2" xfId="21468"/>
    <cellStyle name="Normal 9 4 2 2 4 3 2 2" xfId="35493"/>
    <cellStyle name="Normal 9 4 2 2 4 3 3" xfId="27482"/>
    <cellStyle name="Normal 9 4 2 2 4 4" xfId="15458"/>
    <cellStyle name="Normal 9 4 2 2 4 4 2" xfId="23473"/>
    <cellStyle name="Normal 9 4 2 2 4 4 2 2" xfId="37498"/>
    <cellStyle name="Normal 9 4 2 2 4 4 3" xfId="29487"/>
    <cellStyle name="Normal 9 4 2 2 4 5" xfId="17464"/>
    <cellStyle name="Normal 9 4 2 2 4 5 2" xfId="31489"/>
    <cellStyle name="Normal 9 4 2 2 4 6" xfId="19466"/>
    <cellStyle name="Normal 9 4 2 2 4 6 2" xfId="33491"/>
    <cellStyle name="Normal 9 4 2 2 4 7" xfId="25480"/>
    <cellStyle name="Normal 9 4 2 2 5" xfId="2851"/>
    <cellStyle name="Normal 9 4 2 2 5 2" xfId="13445"/>
    <cellStyle name="Normal 9 4 2 2 5 2 2" xfId="21470"/>
    <cellStyle name="Normal 9 4 2 2 5 2 2 2" xfId="35495"/>
    <cellStyle name="Normal 9 4 2 2 5 2 3" xfId="27484"/>
    <cellStyle name="Normal 9 4 2 2 5 3" xfId="15460"/>
    <cellStyle name="Normal 9 4 2 2 5 3 2" xfId="23475"/>
    <cellStyle name="Normal 9 4 2 2 5 3 2 2" xfId="37500"/>
    <cellStyle name="Normal 9 4 2 2 5 3 3" xfId="29489"/>
    <cellStyle name="Normal 9 4 2 2 5 4" xfId="17466"/>
    <cellStyle name="Normal 9 4 2 2 5 4 2" xfId="31491"/>
    <cellStyle name="Normal 9 4 2 2 5 5" xfId="19468"/>
    <cellStyle name="Normal 9 4 2 2 5 5 2" xfId="33493"/>
    <cellStyle name="Normal 9 4 2 2 5 6" xfId="25482"/>
    <cellStyle name="Normal 9 4 2 2 6" xfId="13436"/>
    <cellStyle name="Normal 9 4 2 2 6 2" xfId="21461"/>
    <cellStyle name="Normal 9 4 2 2 6 2 2" xfId="35486"/>
    <cellStyle name="Normal 9 4 2 2 6 3" xfId="27475"/>
    <cellStyle name="Normal 9 4 2 2 7" xfId="15451"/>
    <cellStyle name="Normal 9 4 2 2 7 2" xfId="23466"/>
    <cellStyle name="Normal 9 4 2 2 7 2 2" xfId="37491"/>
    <cellStyle name="Normal 9 4 2 2 7 3" xfId="29480"/>
    <cellStyle name="Normal 9 4 2 2 8" xfId="17457"/>
    <cellStyle name="Normal 9 4 2 2 8 2" xfId="31482"/>
    <cellStyle name="Normal 9 4 2 2 9" xfId="19459"/>
    <cellStyle name="Normal 9 4 2 2 9 2" xfId="33484"/>
    <cellStyle name="Normal 9 4 2 3" xfId="2852"/>
    <cellStyle name="Normal 9 4 2 3 2" xfId="2853"/>
    <cellStyle name="Normal 9 4 2 3 2 2" xfId="2854"/>
    <cellStyle name="Normal 9 4 2 3 2 2 2" xfId="13448"/>
    <cellStyle name="Normal 9 4 2 3 2 2 2 2" xfId="21473"/>
    <cellStyle name="Normal 9 4 2 3 2 2 2 2 2" xfId="35498"/>
    <cellStyle name="Normal 9 4 2 3 2 2 2 3" xfId="27487"/>
    <cellStyle name="Normal 9 4 2 3 2 2 3" xfId="15463"/>
    <cellStyle name="Normal 9 4 2 3 2 2 3 2" xfId="23478"/>
    <cellStyle name="Normal 9 4 2 3 2 2 3 2 2" xfId="37503"/>
    <cellStyle name="Normal 9 4 2 3 2 2 3 3" xfId="29492"/>
    <cellStyle name="Normal 9 4 2 3 2 2 4" xfId="17469"/>
    <cellStyle name="Normal 9 4 2 3 2 2 4 2" xfId="31494"/>
    <cellStyle name="Normal 9 4 2 3 2 2 5" xfId="19471"/>
    <cellStyle name="Normal 9 4 2 3 2 2 5 2" xfId="33496"/>
    <cellStyle name="Normal 9 4 2 3 2 2 6" xfId="25485"/>
    <cellStyle name="Normal 9 4 2 3 2 3" xfId="13447"/>
    <cellStyle name="Normal 9 4 2 3 2 3 2" xfId="21472"/>
    <cellStyle name="Normal 9 4 2 3 2 3 2 2" xfId="35497"/>
    <cellStyle name="Normal 9 4 2 3 2 3 3" xfId="27486"/>
    <cellStyle name="Normal 9 4 2 3 2 4" xfId="15462"/>
    <cellStyle name="Normal 9 4 2 3 2 4 2" xfId="23477"/>
    <cellStyle name="Normal 9 4 2 3 2 4 2 2" xfId="37502"/>
    <cellStyle name="Normal 9 4 2 3 2 4 3" xfId="29491"/>
    <cellStyle name="Normal 9 4 2 3 2 5" xfId="17468"/>
    <cellStyle name="Normal 9 4 2 3 2 5 2" xfId="31493"/>
    <cellStyle name="Normal 9 4 2 3 2 6" xfId="19470"/>
    <cellStyle name="Normal 9 4 2 3 2 6 2" xfId="33495"/>
    <cellStyle name="Normal 9 4 2 3 2 7" xfId="25484"/>
    <cellStyle name="Normal 9 4 2 3 3" xfId="2855"/>
    <cellStyle name="Normal 9 4 2 3 3 2" xfId="13449"/>
    <cellStyle name="Normal 9 4 2 3 3 2 2" xfId="21474"/>
    <cellStyle name="Normal 9 4 2 3 3 2 2 2" xfId="35499"/>
    <cellStyle name="Normal 9 4 2 3 3 2 3" xfId="27488"/>
    <cellStyle name="Normal 9 4 2 3 3 3" xfId="15464"/>
    <cellStyle name="Normal 9 4 2 3 3 3 2" xfId="23479"/>
    <cellStyle name="Normal 9 4 2 3 3 3 2 2" xfId="37504"/>
    <cellStyle name="Normal 9 4 2 3 3 3 3" xfId="29493"/>
    <cellStyle name="Normal 9 4 2 3 3 4" xfId="17470"/>
    <cellStyle name="Normal 9 4 2 3 3 4 2" xfId="31495"/>
    <cellStyle name="Normal 9 4 2 3 3 5" xfId="19472"/>
    <cellStyle name="Normal 9 4 2 3 3 5 2" xfId="33497"/>
    <cellStyle name="Normal 9 4 2 3 3 6" xfId="25486"/>
    <cellStyle name="Normal 9 4 2 3 4" xfId="13446"/>
    <cellStyle name="Normal 9 4 2 3 4 2" xfId="21471"/>
    <cellStyle name="Normal 9 4 2 3 4 2 2" xfId="35496"/>
    <cellStyle name="Normal 9 4 2 3 4 3" xfId="27485"/>
    <cellStyle name="Normal 9 4 2 3 5" xfId="15461"/>
    <cellStyle name="Normal 9 4 2 3 5 2" xfId="23476"/>
    <cellStyle name="Normal 9 4 2 3 5 2 2" xfId="37501"/>
    <cellStyle name="Normal 9 4 2 3 5 3" xfId="29490"/>
    <cellStyle name="Normal 9 4 2 3 6" xfId="17467"/>
    <cellStyle name="Normal 9 4 2 3 6 2" xfId="31492"/>
    <cellStyle name="Normal 9 4 2 3 7" xfId="19469"/>
    <cellStyle name="Normal 9 4 2 3 7 2" xfId="33494"/>
    <cellStyle name="Normal 9 4 2 3 8" xfId="25483"/>
    <cellStyle name="Normal 9 4 2 4" xfId="2856"/>
    <cellStyle name="Normal 9 4 2 4 2" xfId="2857"/>
    <cellStyle name="Normal 9 4 2 4 2 2" xfId="13451"/>
    <cellStyle name="Normal 9 4 2 4 2 2 2" xfId="21476"/>
    <cellStyle name="Normal 9 4 2 4 2 2 2 2" xfId="35501"/>
    <cellStyle name="Normal 9 4 2 4 2 2 3" xfId="27490"/>
    <cellStyle name="Normal 9 4 2 4 2 3" xfId="15466"/>
    <cellStyle name="Normal 9 4 2 4 2 3 2" xfId="23481"/>
    <cellStyle name="Normal 9 4 2 4 2 3 2 2" xfId="37506"/>
    <cellStyle name="Normal 9 4 2 4 2 3 3" xfId="29495"/>
    <cellStyle name="Normal 9 4 2 4 2 4" xfId="17472"/>
    <cellStyle name="Normal 9 4 2 4 2 4 2" xfId="31497"/>
    <cellStyle name="Normal 9 4 2 4 2 5" xfId="19474"/>
    <cellStyle name="Normal 9 4 2 4 2 5 2" xfId="33499"/>
    <cellStyle name="Normal 9 4 2 4 2 6" xfId="25488"/>
    <cellStyle name="Normal 9 4 2 4 3" xfId="13450"/>
    <cellStyle name="Normal 9 4 2 4 3 2" xfId="21475"/>
    <cellStyle name="Normal 9 4 2 4 3 2 2" xfId="35500"/>
    <cellStyle name="Normal 9 4 2 4 3 3" xfId="27489"/>
    <cellStyle name="Normal 9 4 2 4 4" xfId="15465"/>
    <cellStyle name="Normal 9 4 2 4 4 2" xfId="23480"/>
    <cellStyle name="Normal 9 4 2 4 4 2 2" xfId="37505"/>
    <cellStyle name="Normal 9 4 2 4 4 3" xfId="29494"/>
    <cellStyle name="Normal 9 4 2 4 5" xfId="17471"/>
    <cellStyle name="Normal 9 4 2 4 5 2" xfId="31496"/>
    <cellStyle name="Normal 9 4 2 4 6" xfId="19473"/>
    <cellStyle name="Normal 9 4 2 4 6 2" xfId="33498"/>
    <cellStyle name="Normal 9 4 2 4 7" xfId="25487"/>
    <cellStyle name="Normal 9 4 2 5" xfId="2858"/>
    <cellStyle name="Normal 9 4 2 5 2" xfId="2859"/>
    <cellStyle name="Normal 9 4 2 5 2 2" xfId="13453"/>
    <cellStyle name="Normal 9 4 2 5 2 2 2" xfId="21478"/>
    <cellStyle name="Normal 9 4 2 5 2 2 2 2" xfId="35503"/>
    <cellStyle name="Normal 9 4 2 5 2 2 3" xfId="27492"/>
    <cellStyle name="Normal 9 4 2 5 2 3" xfId="15468"/>
    <cellStyle name="Normal 9 4 2 5 2 3 2" xfId="23483"/>
    <cellStyle name="Normal 9 4 2 5 2 3 2 2" xfId="37508"/>
    <cellStyle name="Normal 9 4 2 5 2 3 3" xfId="29497"/>
    <cellStyle name="Normal 9 4 2 5 2 4" xfId="17474"/>
    <cellStyle name="Normal 9 4 2 5 2 4 2" xfId="31499"/>
    <cellStyle name="Normal 9 4 2 5 2 5" xfId="19476"/>
    <cellStyle name="Normal 9 4 2 5 2 5 2" xfId="33501"/>
    <cellStyle name="Normal 9 4 2 5 2 6" xfId="25490"/>
    <cellStyle name="Normal 9 4 2 5 3" xfId="13452"/>
    <cellStyle name="Normal 9 4 2 5 3 2" xfId="21477"/>
    <cellStyle name="Normal 9 4 2 5 3 2 2" xfId="35502"/>
    <cellStyle name="Normal 9 4 2 5 3 3" xfId="27491"/>
    <cellStyle name="Normal 9 4 2 5 4" xfId="15467"/>
    <cellStyle name="Normal 9 4 2 5 4 2" xfId="23482"/>
    <cellStyle name="Normal 9 4 2 5 4 2 2" xfId="37507"/>
    <cellStyle name="Normal 9 4 2 5 4 3" xfId="29496"/>
    <cellStyle name="Normal 9 4 2 5 5" xfId="17473"/>
    <cellStyle name="Normal 9 4 2 5 5 2" xfId="31498"/>
    <cellStyle name="Normal 9 4 2 5 6" xfId="19475"/>
    <cellStyle name="Normal 9 4 2 5 6 2" xfId="33500"/>
    <cellStyle name="Normal 9 4 2 5 7" xfId="25489"/>
    <cellStyle name="Normal 9 4 2 6" xfId="2860"/>
    <cellStyle name="Normal 9 4 2 6 2" xfId="13454"/>
    <cellStyle name="Normal 9 4 2 6 2 2" xfId="21479"/>
    <cellStyle name="Normal 9 4 2 6 2 2 2" xfId="35504"/>
    <cellStyle name="Normal 9 4 2 6 2 3" xfId="27493"/>
    <cellStyle name="Normal 9 4 2 6 3" xfId="15469"/>
    <cellStyle name="Normal 9 4 2 6 3 2" xfId="23484"/>
    <cellStyle name="Normal 9 4 2 6 3 2 2" xfId="37509"/>
    <cellStyle name="Normal 9 4 2 6 3 3" xfId="29498"/>
    <cellStyle name="Normal 9 4 2 6 4" xfId="17475"/>
    <cellStyle name="Normal 9 4 2 6 4 2" xfId="31500"/>
    <cellStyle name="Normal 9 4 2 6 5" xfId="19477"/>
    <cellStyle name="Normal 9 4 2 6 5 2" xfId="33502"/>
    <cellStyle name="Normal 9 4 2 6 6" xfId="25491"/>
    <cellStyle name="Normal 9 4 2 7" xfId="13435"/>
    <cellStyle name="Normal 9 4 2 7 2" xfId="21460"/>
    <cellStyle name="Normal 9 4 2 7 2 2" xfId="35485"/>
    <cellStyle name="Normal 9 4 2 7 3" xfId="27474"/>
    <cellStyle name="Normal 9 4 2 8" xfId="15450"/>
    <cellStyle name="Normal 9 4 2 8 2" xfId="23465"/>
    <cellStyle name="Normal 9 4 2 8 2 2" xfId="37490"/>
    <cellStyle name="Normal 9 4 2 8 3" xfId="29479"/>
    <cellStyle name="Normal 9 4 2 9" xfId="17456"/>
    <cellStyle name="Normal 9 4 2 9 2" xfId="31481"/>
    <cellStyle name="Normal 9 4 3" xfId="2861"/>
    <cellStyle name="Normal 9 4 3 10" xfId="25492"/>
    <cellStyle name="Normal 9 4 3 2" xfId="2862"/>
    <cellStyle name="Normal 9 4 3 2 2" xfId="2863"/>
    <cellStyle name="Normal 9 4 3 2 2 2" xfId="2864"/>
    <cellStyle name="Normal 9 4 3 2 2 2 2" xfId="13458"/>
    <cellStyle name="Normal 9 4 3 2 2 2 2 2" xfId="21483"/>
    <cellStyle name="Normal 9 4 3 2 2 2 2 2 2" xfId="35508"/>
    <cellStyle name="Normal 9 4 3 2 2 2 2 3" xfId="27497"/>
    <cellStyle name="Normal 9 4 3 2 2 2 3" xfId="15473"/>
    <cellStyle name="Normal 9 4 3 2 2 2 3 2" xfId="23488"/>
    <cellStyle name="Normal 9 4 3 2 2 2 3 2 2" xfId="37513"/>
    <cellStyle name="Normal 9 4 3 2 2 2 3 3" xfId="29502"/>
    <cellStyle name="Normal 9 4 3 2 2 2 4" xfId="17479"/>
    <cellStyle name="Normal 9 4 3 2 2 2 4 2" xfId="31504"/>
    <cellStyle name="Normal 9 4 3 2 2 2 5" xfId="19481"/>
    <cellStyle name="Normal 9 4 3 2 2 2 5 2" xfId="33506"/>
    <cellStyle name="Normal 9 4 3 2 2 2 6" xfId="25495"/>
    <cellStyle name="Normal 9 4 3 2 2 3" xfId="13457"/>
    <cellStyle name="Normal 9 4 3 2 2 3 2" xfId="21482"/>
    <cellStyle name="Normal 9 4 3 2 2 3 2 2" xfId="35507"/>
    <cellStyle name="Normal 9 4 3 2 2 3 3" xfId="27496"/>
    <cellStyle name="Normal 9 4 3 2 2 4" xfId="15472"/>
    <cellStyle name="Normal 9 4 3 2 2 4 2" xfId="23487"/>
    <cellStyle name="Normal 9 4 3 2 2 4 2 2" xfId="37512"/>
    <cellStyle name="Normal 9 4 3 2 2 4 3" xfId="29501"/>
    <cellStyle name="Normal 9 4 3 2 2 5" xfId="17478"/>
    <cellStyle name="Normal 9 4 3 2 2 5 2" xfId="31503"/>
    <cellStyle name="Normal 9 4 3 2 2 6" xfId="19480"/>
    <cellStyle name="Normal 9 4 3 2 2 6 2" xfId="33505"/>
    <cellStyle name="Normal 9 4 3 2 2 7" xfId="25494"/>
    <cellStyle name="Normal 9 4 3 2 3" xfId="2865"/>
    <cellStyle name="Normal 9 4 3 2 3 2" xfId="13459"/>
    <cellStyle name="Normal 9 4 3 2 3 2 2" xfId="21484"/>
    <cellStyle name="Normal 9 4 3 2 3 2 2 2" xfId="35509"/>
    <cellStyle name="Normal 9 4 3 2 3 2 3" xfId="27498"/>
    <cellStyle name="Normal 9 4 3 2 3 3" xfId="15474"/>
    <cellStyle name="Normal 9 4 3 2 3 3 2" xfId="23489"/>
    <cellStyle name="Normal 9 4 3 2 3 3 2 2" xfId="37514"/>
    <cellStyle name="Normal 9 4 3 2 3 3 3" xfId="29503"/>
    <cellStyle name="Normal 9 4 3 2 3 4" xfId="17480"/>
    <cellStyle name="Normal 9 4 3 2 3 4 2" xfId="31505"/>
    <cellStyle name="Normal 9 4 3 2 3 5" xfId="19482"/>
    <cellStyle name="Normal 9 4 3 2 3 5 2" xfId="33507"/>
    <cellStyle name="Normal 9 4 3 2 3 6" xfId="25496"/>
    <cellStyle name="Normal 9 4 3 2 4" xfId="13456"/>
    <cellStyle name="Normal 9 4 3 2 4 2" xfId="21481"/>
    <cellStyle name="Normal 9 4 3 2 4 2 2" xfId="35506"/>
    <cellStyle name="Normal 9 4 3 2 4 3" xfId="27495"/>
    <cellStyle name="Normal 9 4 3 2 5" xfId="15471"/>
    <cellStyle name="Normal 9 4 3 2 5 2" xfId="23486"/>
    <cellStyle name="Normal 9 4 3 2 5 2 2" xfId="37511"/>
    <cellStyle name="Normal 9 4 3 2 5 3" xfId="29500"/>
    <cellStyle name="Normal 9 4 3 2 6" xfId="17477"/>
    <cellStyle name="Normal 9 4 3 2 6 2" xfId="31502"/>
    <cellStyle name="Normal 9 4 3 2 7" xfId="19479"/>
    <cellStyle name="Normal 9 4 3 2 7 2" xfId="33504"/>
    <cellStyle name="Normal 9 4 3 2 8" xfId="25493"/>
    <cellStyle name="Normal 9 4 3 3" xfId="2866"/>
    <cellStyle name="Normal 9 4 3 3 2" xfId="2867"/>
    <cellStyle name="Normal 9 4 3 3 2 2" xfId="13461"/>
    <cellStyle name="Normal 9 4 3 3 2 2 2" xfId="21486"/>
    <cellStyle name="Normal 9 4 3 3 2 2 2 2" xfId="35511"/>
    <cellStyle name="Normal 9 4 3 3 2 2 3" xfId="27500"/>
    <cellStyle name="Normal 9 4 3 3 2 3" xfId="15476"/>
    <cellStyle name="Normal 9 4 3 3 2 3 2" xfId="23491"/>
    <cellStyle name="Normal 9 4 3 3 2 3 2 2" xfId="37516"/>
    <cellStyle name="Normal 9 4 3 3 2 3 3" xfId="29505"/>
    <cellStyle name="Normal 9 4 3 3 2 4" xfId="17482"/>
    <cellStyle name="Normal 9 4 3 3 2 4 2" xfId="31507"/>
    <cellStyle name="Normal 9 4 3 3 2 5" xfId="19484"/>
    <cellStyle name="Normal 9 4 3 3 2 5 2" xfId="33509"/>
    <cellStyle name="Normal 9 4 3 3 2 6" xfId="25498"/>
    <cellStyle name="Normal 9 4 3 3 3" xfId="13460"/>
    <cellStyle name="Normal 9 4 3 3 3 2" xfId="21485"/>
    <cellStyle name="Normal 9 4 3 3 3 2 2" xfId="35510"/>
    <cellStyle name="Normal 9 4 3 3 3 3" xfId="27499"/>
    <cellStyle name="Normal 9 4 3 3 4" xfId="15475"/>
    <cellStyle name="Normal 9 4 3 3 4 2" xfId="23490"/>
    <cellStyle name="Normal 9 4 3 3 4 2 2" xfId="37515"/>
    <cellStyle name="Normal 9 4 3 3 4 3" xfId="29504"/>
    <cellStyle name="Normal 9 4 3 3 5" xfId="17481"/>
    <cellStyle name="Normal 9 4 3 3 5 2" xfId="31506"/>
    <cellStyle name="Normal 9 4 3 3 6" xfId="19483"/>
    <cellStyle name="Normal 9 4 3 3 6 2" xfId="33508"/>
    <cellStyle name="Normal 9 4 3 3 7" xfId="25497"/>
    <cellStyle name="Normal 9 4 3 4" xfId="2868"/>
    <cellStyle name="Normal 9 4 3 4 2" xfId="2869"/>
    <cellStyle name="Normal 9 4 3 4 2 2" xfId="13463"/>
    <cellStyle name="Normal 9 4 3 4 2 2 2" xfId="21488"/>
    <cellStyle name="Normal 9 4 3 4 2 2 2 2" xfId="35513"/>
    <cellStyle name="Normal 9 4 3 4 2 2 3" xfId="27502"/>
    <cellStyle name="Normal 9 4 3 4 2 3" xfId="15478"/>
    <cellStyle name="Normal 9 4 3 4 2 3 2" xfId="23493"/>
    <cellStyle name="Normal 9 4 3 4 2 3 2 2" xfId="37518"/>
    <cellStyle name="Normal 9 4 3 4 2 3 3" xfId="29507"/>
    <cellStyle name="Normal 9 4 3 4 2 4" xfId="17484"/>
    <cellStyle name="Normal 9 4 3 4 2 4 2" xfId="31509"/>
    <cellStyle name="Normal 9 4 3 4 2 5" xfId="19486"/>
    <cellStyle name="Normal 9 4 3 4 2 5 2" xfId="33511"/>
    <cellStyle name="Normal 9 4 3 4 2 6" xfId="25500"/>
    <cellStyle name="Normal 9 4 3 4 3" xfId="13462"/>
    <cellStyle name="Normal 9 4 3 4 3 2" xfId="21487"/>
    <cellStyle name="Normal 9 4 3 4 3 2 2" xfId="35512"/>
    <cellStyle name="Normal 9 4 3 4 3 3" xfId="27501"/>
    <cellStyle name="Normal 9 4 3 4 4" xfId="15477"/>
    <cellStyle name="Normal 9 4 3 4 4 2" xfId="23492"/>
    <cellStyle name="Normal 9 4 3 4 4 2 2" xfId="37517"/>
    <cellStyle name="Normal 9 4 3 4 4 3" xfId="29506"/>
    <cellStyle name="Normal 9 4 3 4 5" xfId="17483"/>
    <cellStyle name="Normal 9 4 3 4 5 2" xfId="31508"/>
    <cellStyle name="Normal 9 4 3 4 6" xfId="19485"/>
    <cellStyle name="Normal 9 4 3 4 6 2" xfId="33510"/>
    <cellStyle name="Normal 9 4 3 4 7" xfId="25499"/>
    <cellStyle name="Normal 9 4 3 5" xfId="2870"/>
    <cellStyle name="Normal 9 4 3 5 2" xfId="13464"/>
    <cellStyle name="Normal 9 4 3 5 2 2" xfId="21489"/>
    <cellStyle name="Normal 9 4 3 5 2 2 2" xfId="35514"/>
    <cellStyle name="Normal 9 4 3 5 2 3" xfId="27503"/>
    <cellStyle name="Normal 9 4 3 5 3" xfId="15479"/>
    <cellStyle name="Normal 9 4 3 5 3 2" xfId="23494"/>
    <cellStyle name="Normal 9 4 3 5 3 2 2" xfId="37519"/>
    <cellStyle name="Normal 9 4 3 5 3 3" xfId="29508"/>
    <cellStyle name="Normal 9 4 3 5 4" xfId="17485"/>
    <cellStyle name="Normal 9 4 3 5 4 2" xfId="31510"/>
    <cellStyle name="Normal 9 4 3 5 5" xfId="19487"/>
    <cellStyle name="Normal 9 4 3 5 5 2" xfId="33512"/>
    <cellStyle name="Normal 9 4 3 5 6" xfId="25501"/>
    <cellStyle name="Normal 9 4 3 6" xfId="13455"/>
    <cellStyle name="Normal 9 4 3 6 2" xfId="21480"/>
    <cellStyle name="Normal 9 4 3 6 2 2" xfId="35505"/>
    <cellStyle name="Normal 9 4 3 6 3" xfId="27494"/>
    <cellStyle name="Normal 9 4 3 7" xfId="15470"/>
    <cellStyle name="Normal 9 4 3 7 2" xfId="23485"/>
    <cellStyle name="Normal 9 4 3 7 2 2" xfId="37510"/>
    <cellStyle name="Normal 9 4 3 7 3" xfId="29499"/>
    <cellStyle name="Normal 9 4 3 8" xfId="17476"/>
    <cellStyle name="Normal 9 4 3 8 2" xfId="31501"/>
    <cellStyle name="Normal 9 4 3 9" xfId="19478"/>
    <cellStyle name="Normal 9 4 3 9 2" xfId="33503"/>
    <cellStyle name="Normal 9 4 4" xfId="2871"/>
    <cellStyle name="Normal 9 4 4 2" xfId="2872"/>
    <cellStyle name="Normal 9 4 4 2 2" xfId="2873"/>
    <cellStyle name="Normal 9 4 4 2 2 2" xfId="13467"/>
    <cellStyle name="Normal 9 4 4 2 2 2 2" xfId="21492"/>
    <cellStyle name="Normal 9 4 4 2 2 2 2 2" xfId="35517"/>
    <cellStyle name="Normal 9 4 4 2 2 2 3" xfId="27506"/>
    <cellStyle name="Normal 9 4 4 2 2 3" xfId="15482"/>
    <cellStyle name="Normal 9 4 4 2 2 3 2" xfId="23497"/>
    <cellStyle name="Normal 9 4 4 2 2 3 2 2" xfId="37522"/>
    <cellStyle name="Normal 9 4 4 2 2 3 3" xfId="29511"/>
    <cellStyle name="Normal 9 4 4 2 2 4" xfId="17488"/>
    <cellStyle name="Normal 9 4 4 2 2 4 2" xfId="31513"/>
    <cellStyle name="Normal 9 4 4 2 2 5" xfId="19490"/>
    <cellStyle name="Normal 9 4 4 2 2 5 2" xfId="33515"/>
    <cellStyle name="Normal 9 4 4 2 2 6" xfId="25504"/>
    <cellStyle name="Normal 9 4 4 2 3" xfId="13466"/>
    <cellStyle name="Normal 9 4 4 2 3 2" xfId="21491"/>
    <cellStyle name="Normal 9 4 4 2 3 2 2" xfId="35516"/>
    <cellStyle name="Normal 9 4 4 2 3 3" xfId="27505"/>
    <cellStyle name="Normal 9 4 4 2 4" xfId="15481"/>
    <cellStyle name="Normal 9 4 4 2 4 2" xfId="23496"/>
    <cellStyle name="Normal 9 4 4 2 4 2 2" xfId="37521"/>
    <cellStyle name="Normal 9 4 4 2 4 3" xfId="29510"/>
    <cellStyle name="Normal 9 4 4 2 5" xfId="17487"/>
    <cellStyle name="Normal 9 4 4 2 5 2" xfId="31512"/>
    <cellStyle name="Normal 9 4 4 2 6" xfId="19489"/>
    <cellStyle name="Normal 9 4 4 2 6 2" xfId="33514"/>
    <cellStyle name="Normal 9 4 4 2 7" xfId="25503"/>
    <cellStyle name="Normal 9 4 4 3" xfId="2874"/>
    <cellStyle name="Normal 9 4 4 3 2" xfId="13468"/>
    <cellStyle name="Normal 9 4 4 3 2 2" xfId="21493"/>
    <cellStyle name="Normal 9 4 4 3 2 2 2" xfId="35518"/>
    <cellStyle name="Normal 9 4 4 3 2 3" xfId="27507"/>
    <cellStyle name="Normal 9 4 4 3 3" xfId="15483"/>
    <cellStyle name="Normal 9 4 4 3 3 2" xfId="23498"/>
    <cellStyle name="Normal 9 4 4 3 3 2 2" xfId="37523"/>
    <cellStyle name="Normal 9 4 4 3 3 3" xfId="29512"/>
    <cellStyle name="Normal 9 4 4 3 4" xfId="17489"/>
    <cellStyle name="Normal 9 4 4 3 4 2" xfId="31514"/>
    <cellStyle name="Normal 9 4 4 3 5" xfId="19491"/>
    <cellStyle name="Normal 9 4 4 3 5 2" xfId="33516"/>
    <cellStyle name="Normal 9 4 4 3 6" xfId="25505"/>
    <cellStyle name="Normal 9 4 4 4" xfId="13465"/>
    <cellStyle name="Normal 9 4 4 4 2" xfId="21490"/>
    <cellStyle name="Normal 9 4 4 4 2 2" xfId="35515"/>
    <cellStyle name="Normal 9 4 4 4 3" xfId="27504"/>
    <cellStyle name="Normal 9 4 4 5" xfId="15480"/>
    <cellStyle name="Normal 9 4 4 5 2" xfId="23495"/>
    <cellStyle name="Normal 9 4 4 5 2 2" xfId="37520"/>
    <cellStyle name="Normal 9 4 4 5 3" xfId="29509"/>
    <cellStyle name="Normal 9 4 4 6" xfId="17486"/>
    <cellStyle name="Normal 9 4 4 6 2" xfId="31511"/>
    <cellStyle name="Normal 9 4 4 7" xfId="19488"/>
    <cellStyle name="Normal 9 4 4 7 2" xfId="33513"/>
    <cellStyle name="Normal 9 4 4 8" xfId="25502"/>
    <cellStyle name="Normal 9 4 5" xfId="2875"/>
    <cellStyle name="Normal 9 4 5 2" xfId="2876"/>
    <cellStyle name="Normal 9 4 5 2 2" xfId="13470"/>
    <cellStyle name="Normal 9 4 5 2 2 2" xfId="21495"/>
    <cellStyle name="Normal 9 4 5 2 2 2 2" xfId="35520"/>
    <cellStyle name="Normal 9 4 5 2 2 3" xfId="27509"/>
    <cellStyle name="Normal 9 4 5 2 3" xfId="15485"/>
    <cellStyle name="Normal 9 4 5 2 3 2" xfId="23500"/>
    <cellStyle name="Normal 9 4 5 2 3 2 2" xfId="37525"/>
    <cellStyle name="Normal 9 4 5 2 3 3" xfId="29514"/>
    <cellStyle name="Normal 9 4 5 2 4" xfId="17491"/>
    <cellStyle name="Normal 9 4 5 2 4 2" xfId="31516"/>
    <cellStyle name="Normal 9 4 5 2 5" xfId="19493"/>
    <cellStyle name="Normal 9 4 5 2 5 2" xfId="33518"/>
    <cellStyle name="Normal 9 4 5 2 6" xfId="25507"/>
    <cellStyle name="Normal 9 4 5 3" xfId="13469"/>
    <cellStyle name="Normal 9 4 5 3 2" xfId="21494"/>
    <cellStyle name="Normal 9 4 5 3 2 2" xfId="35519"/>
    <cellStyle name="Normal 9 4 5 3 3" xfId="27508"/>
    <cellStyle name="Normal 9 4 5 4" xfId="15484"/>
    <cellStyle name="Normal 9 4 5 4 2" xfId="23499"/>
    <cellStyle name="Normal 9 4 5 4 2 2" xfId="37524"/>
    <cellStyle name="Normal 9 4 5 4 3" xfId="29513"/>
    <cellStyle name="Normal 9 4 5 5" xfId="17490"/>
    <cellStyle name="Normal 9 4 5 5 2" xfId="31515"/>
    <cellStyle name="Normal 9 4 5 6" xfId="19492"/>
    <cellStyle name="Normal 9 4 5 6 2" xfId="33517"/>
    <cellStyle name="Normal 9 4 5 7" xfId="25506"/>
    <cellStyle name="Normal 9 4 6" xfId="2877"/>
    <cellStyle name="Normal 9 4 6 2" xfId="2878"/>
    <cellStyle name="Normal 9 4 6 2 2" xfId="13472"/>
    <cellStyle name="Normal 9 4 6 2 2 2" xfId="21497"/>
    <cellStyle name="Normal 9 4 6 2 2 2 2" xfId="35522"/>
    <cellStyle name="Normal 9 4 6 2 2 3" xfId="27511"/>
    <cellStyle name="Normal 9 4 6 2 3" xfId="15487"/>
    <cellStyle name="Normal 9 4 6 2 3 2" xfId="23502"/>
    <cellStyle name="Normal 9 4 6 2 3 2 2" xfId="37527"/>
    <cellStyle name="Normal 9 4 6 2 3 3" xfId="29516"/>
    <cellStyle name="Normal 9 4 6 2 4" xfId="17493"/>
    <cellStyle name="Normal 9 4 6 2 4 2" xfId="31518"/>
    <cellStyle name="Normal 9 4 6 2 5" xfId="19495"/>
    <cellStyle name="Normal 9 4 6 2 5 2" xfId="33520"/>
    <cellStyle name="Normal 9 4 6 2 6" xfId="25509"/>
    <cellStyle name="Normal 9 4 6 3" xfId="13471"/>
    <cellStyle name="Normal 9 4 6 3 2" xfId="21496"/>
    <cellStyle name="Normal 9 4 6 3 2 2" xfId="35521"/>
    <cellStyle name="Normal 9 4 6 3 3" xfId="27510"/>
    <cellStyle name="Normal 9 4 6 4" xfId="15486"/>
    <cellStyle name="Normal 9 4 6 4 2" xfId="23501"/>
    <cellStyle name="Normal 9 4 6 4 2 2" xfId="37526"/>
    <cellStyle name="Normal 9 4 6 4 3" xfId="29515"/>
    <cellStyle name="Normal 9 4 6 5" xfId="17492"/>
    <cellStyle name="Normal 9 4 6 5 2" xfId="31517"/>
    <cellStyle name="Normal 9 4 6 6" xfId="19494"/>
    <cellStyle name="Normal 9 4 6 6 2" xfId="33519"/>
    <cellStyle name="Normal 9 4 6 7" xfId="25508"/>
    <cellStyle name="Normal 9 4 7" xfId="2879"/>
    <cellStyle name="Normal 9 4 7 2" xfId="13473"/>
    <cellStyle name="Normal 9 4 7 2 2" xfId="21498"/>
    <cellStyle name="Normal 9 4 7 2 2 2" xfId="35523"/>
    <cellStyle name="Normal 9 4 7 2 3" xfId="27512"/>
    <cellStyle name="Normal 9 4 7 3" xfId="15488"/>
    <cellStyle name="Normal 9 4 7 3 2" xfId="23503"/>
    <cellStyle name="Normal 9 4 7 3 2 2" xfId="37528"/>
    <cellStyle name="Normal 9 4 7 3 3" xfId="29517"/>
    <cellStyle name="Normal 9 4 7 4" xfId="17494"/>
    <cellStyle name="Normal 9 4 7 4 2" xfId="31519"/>
    <cellStyle name="Normal 9 4 7 5" xfId="19496"/>
    <cellStyle name="Normal 9 4 7 5 2" xfId="33521"/>
    <cellStyle name="Normal 9 4 7 6" xfId="25510"/>
    <cellStyle name="Normal 9 4 8" xfId="13434"/>
    <cellStyle name="Normal 9 4 8 2" xfId="21459"/>
    <cellStyle name="Normal 9 4 8 2 2" xfId="35484"/>
    <cellStyle name="Normal 9 4 8 3" xfId="27473"/>
    <cellStyle name="Normal 9 4 9" xfId="15449"/>
    <cellStyle name="Normal 9 4 9 2" xfId="23464"/>
    <cellStyle name="Normal 9 4 9 2 2" xfId="37489"/>
    <cellStyle name="Normal 9 4 9 3" xfId="29478"/>
    <cellStyle name="Normal 9 5" xfId="2880"/>
    <cellStyle name="Normal 9 5 10" xfId="19497"/>
    <cellStyle name="Normal 9 5 10 2" xfId="33522"/>
    <cellStyle name="Normal 9 5 11" xfId="25511"/>
    <cellStyle name="Normal 9 5 2" xfId="2881"/>
    <cellStyle name="Normal 9 5 2 10" xfId="25512"/>
    <cellStyle name="Normal 9 5 2 2" xfId="2882"/>
    <cellStyle name="Normal 9 5 2 2 2" xfId="2883"/>
    <cellStyle name="Normal 9 5 2 2 2 2" xfId="2884"/>
    <cellStyle name="Normal 9 5 2 2 2 2 2" xfId="13478"/>
    <cellStyle name="Normal 9 5 2 2 2 2 2 2" xfId="21503"/>
    <cellStyle name="Normal 9 5 2 2 2 2 2 2 2" xfId="35528"/>
    <cellStyle name="Normal 9 5 2 2 2 2 2 3" xfId="27517"/>
    <cellStyle name="Normal 9 5 2 2 2 2 3" xfId="15493"/>
    <cellStyle name="Normal 9 5 2 2 2 2 3 2" xfId="23508"/>
    <cellStyle name="Normal 9 5 2 2 2 2 3 2 2" xfId="37533"/>
    <cellStyle name="Normal 9 5 2 2 2 2 3 3" xfId="29522"/>
    <cellStyle name="Normal 9 5 2 2 2 2 4" xfId="17499"/>
    <cellStyle name="Normal 9 5 2 2 2 2 4 2" xfId="31524"/>
    <cellStyle name="Normal 9 5 2 2 2 2 5" xfId="19501"/>
    <cellStyle name="Normal 9 5 2 2 2 2 5 2" xfId="33526"/>
    <cellStyle name="Normal 9 5 2 2 2 2 6" xfId="25515"/>
    <cellStyle name="Normal 9 5 2 2 2 3" xfId="13477"/>
    <cellStyle name="Normal 9 5 2 2 2 3 2" xfId="21502"/>
    <cellStyle name="Normal 9 5 2 2 2 3 2 2" xfId="35527"/>
    <cellStyle name="Normal 9 5 2 2 2 3 3" xfId="27516"/>
    <cellStyle name="Normal 9 5 2 2 2 4" xfId="15492"/>
    <cellStyle name="Normal 9 5 2 2 2 4 2" xfId="23507"/>
    <cellStyle name="Normal 9 5 2 2 2 4 2 2" xfId="37532"/>
    <cellStyle name="Normal 9 5 2 2 2 4 3" xfId="29521"/>
    <cellStyle name="Normal 9 5 2 2 2 5" xfId="17498"/>
    <cellStyle name="Normal 9 5 2 2 2 5 2" xfId="31523"/>
    <cellStyle name="Normal 9 5 2 2 2 6" xfId="19500"/>
    <cellStyle name="Normal 9 5 2 2 2 6 2" xfId="33525"/>
    <cellStyle name="Normal 9 5 2 2 2 7" xfId="25514"/>
    <cellStyle name="Normal 9 5 2 2 3" xfId="2885"/>
    <cellStyle name="Normal 9 5 2 2 3 2" xfId="13479"/>
    <cellStyle name="Normal 9 5 2 2 3 2 2" xfId="21504"/>
    <cellStyle name="Normal 9 5 2 2 3 2 2 2" xfId="35529"/>
    <cellStyle name="Normal 9 5 2 2 3 2 3" xfId="27518"/>
    <cellStyle name="Normal 9 5 2 2 3 3" xfId="15494"/>
    <cellStyle name="Normal 9 5 2 2 3 3 2" xfId="23509"/>
    <cellStyle name="Normal 9 5 2 2 3 3 2 2" xfId="37534"/>
    <cellStyle name="Normal 9 5 2 2 3 3 3" xfId="29523"/>
    <cellStyle name="Normal 9 5 2 2 3 4" xfId="17500"/>
    <cellStyle name="Normal 9 5 2 2 3 4 2" xfId="31525"/>
    <cellStyle name="Normal 9 5 2 2 3 5" xfId="19502"/>
    <cellStyle name="Normal 9 5 2 2 3 5 2" xfId="33527"/>
    <cellStyle name="Normal 9 5 2 2 3 6" xfId="25516"/>
    <cellStyle name="Normal 9 5 2 2 4" xfId="13476"/>
    <cellStyle name="Normal 9 5 2 2 4 2" xfId="21501"/>
    <cellStyle name="Normal 9 5 2 2 4 2 2" xfId="35526"/>
    <cellStyle name="Normal 9 5 2 2 4 3" xfId="27515"/>
    <cellStyle name="Normal 9 5 2 2 5" xfId="15491"/>
    <cellStyle name="Normal 9 5 2 2 5 2" xfId="23506"/>
    <cellStyle name="Normal 9 5 2 2 5 2 2" xfId="37531"/>
    <cellStyle name="Normal 9 5 2 2 5 3" xfId="29520"/>
    <cellStyle name="Normal 9 5 2 2 6" xfId="17497"/>
    <cellStyle name="Normal 9 5 2 2 6 2" xfId="31522"/>
    <cellStyle name="Normal 9 5 2 2 7" xfId="19499"/>
    <cellStyle name="Normal 9 5 2 2 7 2" xfId="33524"/>
    <cellStyle name="Normal 9 5 2 2 8" xfId="25513"/>
    <cellStyle name="Normal 9 5 2 3" xfId="2886"/>
    <cellStyle name="Normal 9 5 2 3 2" xfId="2887"/>
    <cellStyle name="Normal 9 5 2 3 2 2" xfId="13481"/>
    <cellStyle name="Normal 9 5 2 3 2 2 2" xfId="21506"/>
    <cellStyle name="Normal 9 5 2 3 2 2 2 2" xfId="35531"/>
    <cellStyle name="Normal 9 5 2 3 2 2 3" xfId="27520"/>
    <cellStyle name="Normal 9 5 2 3 2 3" xfId="15496"/>
    <cellStyle name="Normal 9 5 2 3 2 3 2" xfId="23511"/>
    <cellStyle name="Normal 9 5 2 3 2 3 2 2" xfId="37536"/>
    <cellStyle name="Normal 9 5 2 3 2 3 3" xfId="29525"/>
    <cellStyle name="Normal 9 5 2 3 2 4" xfId="17502"/>
    <cellStyle name="Normal 9 5 2 3 2 4 2" xfId="31527"/>
    <cellStyle name="Normal 9 5 2 3 2 5" xfId="19504"/>
    <cellStyle name="Normal 9 5 2 3 2 5 2" xfId="33529"/>
    <cellStyle name="Normal 9 5 2 3 2 6" xfId="25518"/>
    <cellStyle name="Normal 9 5 2 3 3" xfId="13480"/>
    <cellStyle name="Normal 9 5 2 3 3 2" xfId="21505"/>
    <cellStyle name="Normal 9 5 2 3 3 2 2" xfId="35530"/>
    <cellStyle name="Normal 9 5 2 3 3 3" xfId="27519"/>
    <cellStyle name="Normal 9 5 2 3 4" xfId="15495"/>
    <cellStyle name="Normal 9 5 2 3 4 2" xfId="23510"/>
    <cellStyle name="Normal 9 5 2 3 4 2 2" xfId="37535"/>
    <cellStyle name="Normal 9 5 2 3 4 3" xfId="29524"/>
    <cellStyle name="Normal 9 5 2 3 5" xfId="17501"/>
    <cellStyle name="Normal 9 5 2 3 5 2" xfId="31526"/>
    <cellStyle name="Normal 9 5 2 3 6" xfId="19503"/>
    <cellStyle name="Normal 9 5 2 3 6 2" xfId="33528"/>
    <cellStyle name="Normal 9 5 2 3 7" xfId="25517"/>
    <cellStyle name="Normal 9 5 2 4" xfId="2888"/>
    <cellStyle name="Normal 9 5 2 4 2" xfId="2889"/>
    <cellStyle name="Normal 9 5 2 4 2 2" xfId="13483"/>
    <cellStyle name="Normal 9 5 2 4 2 2 2" xfId="21508"/>
    <cellStyle name="Normal 9 5 2 4 2 2 2 2" xfId="35533"/>
    <cellStyle name="Normal 9 5 2 4 2 2 3" xfId="27522"/>
    <cellStyle name="Normal 9 5 2 4 2 3" xfId="15498"/>
    <cellStyle name="Normal 9 5 2 4 2 3 2" xfId="23513"/>
    <cellStyle name="Normal 9 5 2 4 2 3 2 2" xfId="37538"/>
    <cellStyle name="Normal 9 5 2 4 2 3 3" xfId="29527"/>
    <cellStyle name="Normal 9 5 2 4 2 4" xfId="17504"/>
    <cellStyle name="Normal 9 5 2 4 2 4 2" xfId="31529"/>
    <cellStyle name="Normal 9 5 2 4 2 5" xfId="19506"/>
    <cellStyle name="Normal 9 5 2 4 2 5 2" xfId="33531"/>
    <cellStyle name="Normal 9 5 2 4 2 6" xfId="25520"/>
    <cellStyle name="Normal 9 5 2 4 3" xfId="13482"/>
    <cellStyle name="Normal 9 5 2 4 3 2" xfId="21507"/>
    <cellStyle name="Normal 9 5 2 4 3 2 2" xfId="35532"/>
    <cellStyle name="Normal 9 5 2 4 3 3" xfId="27521"/>
    <cellStyle name="Normal 9 5 2 4 4" xfId="15497"/>
    <cellStyle name="Normal 9 5 2 4 4 2" xfId="23512"/>
    <cellStyle name="Normal 9 5 2 4 4 2 2" xfId="37537"/>
    <cellStyle name="Normal 9 5 2 4 4 3" xfId="29526"/>
    <cellStyle name="Normal 9 5 2 4 5" xfId="17503"/>
    <cellStyle name="Normal 9 5 2 4 5 2" xfId="31528"/>
    <cellStyle name="Normal 9 5 2 4 6" xfId="19505"/>
    <cellStyle name="Normal 9 5 2 4 6 2" xfId="33530"/>
    <cellStyle name="Normal 9 5 2 4 7" xfId="25519"/>
    <cellStyle name="Normal 9 5 2 5" xfId="2890"/>
    <cellStyle name="Normal 9 5 2 5 2" xfId="13484"/>
    <cellStyle name="Normal 9 5 2 5 2 2" xfId="21509"/>
    <cellStyle name="Normal 9 5 2 5 2 2 2" xfId="35534"/>
    <cellStyle name="Normal 9 5 2 5 2 3" xfId="27523"/>
    <cellStyle name="Normal 9 5 2 5 3" xfId="15499"/>
    <cellStyle name="Normal 9 5 2 5 3 2" xfId="23514"/>
    <cellStyle name="Normal 9 5 2 5 3 2 2" xfId="37539"/>
    <cellStyle name="Normal 9 5 2 5 3 3" xfId="29528"/>
    <cellStyle name="Normal 9 5 2 5 4" xfId="17505"/>
    <cellStyle name="Normal 9 5 2 5 4 2" xfId="31530"/>
    <cellStyle name="Normal 9 5 2 5 5" xfId="19507"/>
    <cellStyle name="Normal 9 5 2 5 5 2" xfId="33532"/>
    <cellStyle name="Normal 9 5 2 5 6" xfId="25521"/>
    <cellStyle name="Normal 9 5 2 6" xfId="13475"/>
    <cellStyle name="Normal 9 5 2 6 2" xfId="21500"/>
    <cellStyle name="Normal 9 5 2 6 2 2" xfId="35525"/>
    <cellStyle name="Normal 9 5 2 6 3" xfId="27514"/>
    <cellStyle name="Normal 9 5 2 7" xfId="15490"/>
    <cellStyle name="Normal 9 5 2 7 2" xfId="23505"/>
    <cellStyle name="Normal 9 5 2 7 2 2" xfId="37530"/>
    <cellStyle name="Normal 9 5 2 7 3" xfId="29519"/>
    <cellStyle name="Normal 9 5 2 8" xfId="17496"/>
    <cellStyle name="Normal 9 5 2 8 2" xfId="31521"/>
    <cellStyle name="Normal 9 5 2 9" xfId="19498"/>
    <cellStyle name="Normal 9 5 2 9 2" xfId="33523"/>
    <cellStyle name="Normal 9 5 3" xfId="2891"/>
    <cellStyle name="Normal 9 5 3 2" xfId="2892"/>
    <cellStyle name="Normal 9 5 3 2 2" xfId="2893"/>
    <cellStyle name="Normal 9 5 3 2 2 2" xfId="13487"/>
    <cellStyle name="Normal 9 5 3 2 2 2 2" xfId="21512"/>
    <cellStyle name="Normal 9 5 3 2 2 2 2 2" xfId="35537"/>
    <cellStyle name="Normal 9 5 3 2 2 2 3" xfId="27526"/>
    <cellStyle name="Normal 9 5 3 2 2 3" xfId="15502"/>
    <cellStyle name="Normal 9 5 3 2 2 3 2" xfId="23517"/>
    <cellStyle name="Normal 9 5 3 2 2 3 2 2" xfId="37542"/>
    <cellStyle name="Normal 9 5 3 2 2 3 3" xfId="29531"/>
    <cellStyle name="Normal 9 5 3 2 2 4" xfId="17508"/>
    <cellStyle name="Normal 9 5 3 2 2 4 2" xfId="31533"/>
    <cellStyle name="Normal 9 5 3 2 2 5" xfId="19510"/>
    <cellStyle name="Normal 9 5 3 2 2 5 2" xfId="33535"/>
    <cellStyle name="Normal 9 5 3 2 2 6" xfId="25524"/>
    <cellStyle name="Normal 9 5 3 2 3" xfId="13486"/>
    <cellStyle name="Normal 9 5 3 2 3 2" xfId="21511"/>
    <cellStyle name="Normal 9 5 3 2 3 2 2" xfId="35536"/>
    <cellStyle name="Normal 9 5 3 2 3 3" xfId="27525"/>
    <cellStyle name="Normal 9 5 3 2 4" xfId="15501"/>
    <cellStyle name="Normal 9 5 3 2 4 2" xfId="23516"/>
    <cellStyle name="Normal 9 5 3 2 4 2 2" xfId="37541"/>
    <cellStyle name="Normal 9 5 3 2 4 3" xfId="29530"/>
    <cellStyle name="Normal 9 5 3 2 5" xfId="17507"/>
    <cellStyle name="Normal 9 5 3 2 5 2" xfId="31532"/>
    <cellStyle name="Normal 9 5 3 2 6" xfId="19509"/>
    <cellStyle name="Normal 9 5 3 2 6 2" xfId="33534"/>
    <cellStyle name="Normal 9 5 3 2 7" xfId="25523"/>
    <cellStyle name="Normal 9 5 3 3" xfId="2894"/>
    <cellStyle name="Normal 9 5 3 3 2" xfId="13488"/>
    <cellStyle name="Normal 9 5 3 3 2 2" xfId="21513"/>
    <cellStyle name="Normal 9 5 3 3 2 2 2" xfId="35538"/>
    <cellStyle name="Normal 9 5 3 3 2 3" xfId="27527"/>
    <cellStyle name="Normal 9 5 3 3 3" xfId="15503"/>
    <cellStyle name="Normal 9 5 3 3 3 2" xfId="23518"/>
    <cellStyle name="Normal 9 5 3 3 3 2 2" xfId="37543"/>
    <cellStyle name="Normal 9 5 3 3 3 3" xfId="29532"/>
    <cellStyle name="Normal 9 5 3 3 4" xfId="17509"/>
    <cellStyle name="Normal 9 5 3 3 4 2" xfId="31534"/>
    <cellStyle name="Normal 9 5 3 3 5" xfId="19511"/>
    <cellStyle name="Normal 9 5 3 3 5 2" xfId="33536"/>
    <cellStyle name="Normal 9 5 3 3 6" xfId="25525"/>
    <cellStyle name="Normal 9 5 3 4" xfId="13485"/>
    <cellStyle name="Normal 9 5 3 4 2" xfId="21510"/>
    <cellStyle name="Normal 9 5 3 4 2 2" xfId="35535"/>
    <cellStyle name="Normal 9 5 3 4 3" xfId="27524"/>
    <cellStyle name="Normal 9 5 3 5" xfId="15500"/>
    <cellStyle name="Normal 9 5 3 5 2" xfId="23515"/>
    <cellStyle name="Normal 9 5 3 5 2 2" xfId="37540"/>
    <cellStyle name="Normal 9 5 3 5 3" xfId="29529"/>
    <cellStyle name="Normal 9 5 3 6" xfId="17506"/>
    <cellStyle name="Normal 9 5 3 6 2" xfId="31531"/>
    <cellStyle name="Normal 9 5 3 7" xfId="19508"/>
    <cellStyle name="Normal 9 5 3 7 2" xfId="33533"/>
    <cellStyle name="Normal 9 5 3 8" xfId="25522"/>
    <cellStyle name="Normal 9 5 4" xfId="2895"/>
    <cellStyle name="Normal 9 5 4 2" xfId="2896"/>
    <cellStyle name="Normal 9 5 4 2 2" xfId="13490"/>
    <cellStyle name="Normal 9 5 4 2 2 2" xfId="21515"/>
    <cellStyle name="Normal 9 5 4 2 2 2 2" xfId="35540"/>
    <cellStyle name="Normal 9 5 4 2 2 3" xfId="27529"/>
    <cellStyle name="Normal 9 5 4 2 3" xfId="15505"/>
    <cellStyle name="Normal 9 5 4 2 3 2" xfId="23520"/>
    <cellStyle name="Normal 9 5 4 2 3 2 2" xfId="37545"/>
    <cellStyle name="Normal 9 5 4 2 3 3" xfId="29534"/>
    <cellStyle name="Normal 9 5 4 2 4" xfId="17511"/>
    <cellStyle name="Normal 9 5 4 2 4 2" xfId="31536"/>
    <cellStyle name="Normal 9 5 4 2 5" xfId="19513"/>
    <cellStyle name="Normal 9 5 4 2 5 2" xfId="33538"/>
    <cellStyle name="Normal 9 5 4 2 6" xfId="25527"/>
    <cellStyle name="Normal 9 5 4 3" xfId="13489"/>
    <cellStyle name="Normal 9 5 4 3 2" xfId="21514"/>
    <cellStyle name="Normal 9 5 4 3 2 2" xfId="35539"/>
    <cellStyle name="Normal 9 5 4 3 3" xfId="27528"/>
    <cellStyle name="Normal 9 5 4 4" xfId="15504"/>
    <cellStyle name="Normal 9 5 4 4 2" xfId="23519"/>
    <cellStyle name="Normal 9 5 4 4 2 2" xfId="37544"/>
    <cellStyle name="Normal 9 5 4 4 3" xfId="29533"/>
    <cellStyle name="Normal 9 5 4 5" xfId="17510"/>
    <cellStyle name="Normal 9 5 4 5 2" xfId="31535"/>
    <cellStyle name="Normal 9 5 4 6" xfId="19512"/>
    <cellStyle name="Normal 9 5 4 6 2" xfId="33537"/>
    <cellStyle name="Normal 9 5 4 7" xfId="25526"/>
    <cellStyle name="Normal 9 5 5" xfId="2897"/>
    <cellStyle name="Normal 9 5 5 2" xfId="2898"/>
    <cellStyle name="Normal 9 5 5 2 2" xfId="13492"/>
    <cellStyle name="Normal 9 5 5 2 2 2" xfId="21517"/>
    <cellStyle name="Normal 9 5 5 2 2 2 2" xfId="35542"/>
    <cellStyle name="Normal 9 5 5 2 2 3" xfId="27531"/>
    <cellStyle name="Normal 9 5 5 2 3" xfId="15507"/>
    <cellStyle name="Normal 9 5 5 2 3 2" xfId="23522"/>
    <cellStyle name="Normal 9 5 5 2 3 2 2" xfId="37547"/>
    <cellStyle name="Normal 9 5 5 2 3 3" xfId="29536"/>
    <cellStyle name="Normal 9 5 5 2 4" xfId="17513"/>
    <cellStyle name="Normal 9 5 5 2 4 2" xfId="31538"/>
    <cellStyle name="Normal 9 5 5 2 5" xfId="19515"/>
    <cellStyle name="Normal 9 5 5 2 5 2" xfId="33540"/>
    <cellStyle name="Normal 9 5 5 2 6" xfId="25529"/>
    <cellStyle name="Normal 9 5 5 3" xfId="13491"/>
    <cellStyle name="Normal 9 5 5 3 2" xfId="21516"/>
    <cellStyle name="Normal 9 5 5 3 2 2" xfId="35541"/>
    <cellStyle name="Normal 9 5 5 3 3" xfId="27530"/>
    <cellStyle name="Normal 9 5 5 4" xfId="15506"/>
    <cellStyle name="Normal 9 5 5 4 2" xfId="23521"/>
    <cellStyle name="Normal 9 5 5 4 2 2" xfId="37546"/>
    <cellStyle name="Normal 9 5 5 4 3" xfId="29535"/>
    <cellStyle name="Normal 9 5 5 5" xfId="17512"/>
    <cellStyle name="Normal 9 5 5 5 2" xfId="31537"/>
    <cellStyle name="Normal 9 5 5 6" xfId="19514"/>
    <cellStyle name="Normal 9 5 5 6 2" xfId="33539"/>
    <cellStyle name="Normal 9 5 5 7" xfId="25528"/>
    <cellStyle name="Normal 9 5 6" xfId="2899"/>
    <cellStyle name="Normal 9 5 6 2" xfId="13493"/>
    <cellStyle name="Normal 9 5 6 2 2" xfId="21518"/>
    <cellStyle name="Normal 9 5 6 2 2 2" xfId="35543"/>
    <cellStyle name="Normal 9 5 6 2 3" xfId="27532"/>
    <cellStyle name="Normal 9 5 6 3" xfId="15508"/>
    <cellStyle name="Normal 9 5 6 3 2" xfId="23523"/>
    <cellStyle name="Normal 9 5 6 3 2 2" xfId="37548"/>
    <cellStyle name="Normal 9 5 6 3 3" xfId="29537"/>
    <cellStyle name="Normal 9 5 6 4" xfId="17514"/>
    <cellStyle name="Normal 9 5 6 4 2" xfId="31539"/>
    <cellStyle name="Normal 9 5 6 5" xfId="19516"/>
    <cellStyle name="Normal 9 5 6 5 2" xfId="33541"/>
    <cellStyle name="Normal 9 5 6 6" xfId="25530"/>
    <cellStyle name="Normal 9 5 7" xfId="13474"/>
    <cellStyle name="Normal 9 5 7 2" xfId="21499"/>
    <cellStyle name="Normal 9 5 7 2 2" xfId="35524"/>
    <cellStyle name="Normal 9 5 7 3" xfId="27513"/>
    <cellStyle name="Normal 9 5 8" xfId="15489"/>
    <cellStyle name="Normal 9 5 8 2" xfId="23504"/>
    <cellStyle name="Normal 9 5 8 2 2" xfId="37529"/>
    <cellStyle name="Normal 9 5 8 3" xfId="29518"/>
    <cellStyle name="Normal 9 5 9" xfId="17495"/>
    <cellStyle name="Normal 9 5 9 2" xfId="31520"/>
    <cellStyle name="Normal 9 6" xfId="2900"/>
    <cellStyle name="Normal 9 6 10" xfId="25531"/>
    <cellStyle name="Normal 9 6 2" xfId="2901"/>
    <cellStyle name="Normal 9 6 2 2" xfId="2902"/>
    <cellStyle name="Normal 9 6 2 2 2" xfId="2903"/>
    <cellStyle name="Normal 9 6 2 2 2 2" xfId="13497"/>
    <cellStyle name="Normal 9 6 2 2 2 2 2" xfId="21522"/>
    <cellStyle name="Normal 9 6 2 2 2 2 2 2" xfId="35547"/>
    <cellStyle name="Normal 9 6 2 2 2 2 3" xfId="27536"/>
    <cellStyle name="Normal 9 6 2 2 2 3" xfId="15512"/>
    <cellStyle name="Normal 9 6 2 2 2 3 2" xfId="23527"/>
    <cellStyle name="Normal 9 6 2 2 2 3 2 2" xfId="37552"/>
    <cellStyle name="Normal 9 6 2 2 2 3 3" xfId="29541"/>
    <cellStyle name="Normal 9 6 2 2 2 4" xfId="17518"/>
    <cellStyle name="Normal 9 6 2 2 2 4 2" xfId="31543"/>
    <cellStyle name="Normal 9 6 2 2 2 5" xfId="19520"/>
    <cellStyle name="Normal 9 6 2 2 2 5 2" xfId="33545"/>
    <cellStyle name="Normal 9 6 2 2 2 6" xfId="25534"/>
    <cellStyle name="Normal 9 6 2 2 3" xfId="13496"/>
    <cellStyle name="Normal 9 6 2 2 3 2" xfId="21521"/>
    <cellStyle name="Normal 9 6 2 2 3 2 2" xfId="35546"/>
    <cellStyle name="Normal 9 6 2 2 3 3" xfId="27535"/>
    <cellStyle name="Normal 9 6 2 2 4" xfId="15511"/>
    <cellStyle name="Normal 9 6 2 2 4 2" xfId="23526"/>
    <cellStyle name="Normal 9 6 2 2 4 2 2" xfId="37551"/>
    <cellStyle name="Normal 9 6 2 2 4 3" xfId="29540"/>
    <cellStyle name="Normal 9 6 2 2 5" xfId="17517"/>
    <cellStyle name="Normal 9 6 2 2 5 2" xfId="31542"/>
    <cellStyle name="Normal 9 6 2 2 6" xfId="19519"/>
    <cellStyle name="Normal 9 6 2 2 6 2" xfId="33544"/>
    <cellStyle name="Normal 9 6 2 2 7" xfId="25533"/>
    <cellStyle name="Normal 9 6 2 3" xfId="2904"/>
    <cellStyle name="Normal 9 6 2 3 2" xfId="13498"/>
    <cellStyle name="Normal 9 6 2 3 2 2" xfId="21523"/>
    <cellStyle name="Normal 9 6 2 3 2 2 2" xfId="35548"/>
    <cellStyle name="Normal 9 6 2 3 2 3" xfId="27537"/>
    <cellStyle name="Normal 9 6 2 3 3" xfId="15513"/>
    <cellStyle name="Normal 9 6 2 3 3 2" xfId="23528"/>
    <cellStyle name="Normal 9 6 2 3 3 2 2" xfId="37553"/>
    <cellStyle name="Normal 9 6 2 3 3 3" xfId="29542"/>
    <cellStyle name="Normal 9 6 2 3 4" xfId="17519"/>
    <cellStyle name="Normal 9 6 2 3 4 2" xfId="31544"/>
    <cellStyle name="Normal 9 6 2 3 5" xfId="19521"/>
    <cellStyle name="Normal 9 6 2 3 5 2" xfId="33546"/>
    <cellStyle name="Normal 9 6 2 3 6" xfId="25535"/>
    <cellStyle name="Normal 9 6 2 4" xfId="13495"/>
    <cellStyle name="Normal 9 6 2 4 2" xfId="21520"/>
    <cellStyle name="Normal 9 6 2 4 2 2" xfId="35545"/>
    <cellStyle name="Normal 9 6 2 4 3" xfId="27534"/>
    <cellStyle name="Normal 9 6 2 5" xfId="15510"/>
    <cellStyle name="Normal 9 6 2 5 2" xfId="23525"/>
    <cellStyle name="Normal 9 6 2 5 2 2" xfId="37550"/>
    <cellStyle name="Normal 9 6 2 5 3" xfId="29539"/>
    <cellStyle name="Normal 9 6 2 6" xfId="17516"/>
    <cellStyle name="Normal 9 6 2 6 2" xfId="31541"/>
    <cellStyle name="Normal 9 6 2 7" xfId="19518"/>
    <cellStyle name="Normal 9 6 2 7 2" xfId="33543"/>
    <cellStyle name="Normal 9 6 2 8" xfId="25532"/>
    <cellStyle name="Normal 9 6 3" xfId="2905"/>
    <cellStyle name="Normal 9 6 3 2" xfId="2906"/>
    <cellStyle name="Normal 9 6 3 2 2" xfId="13500"/>
    <cellStyle name="Normal 9 6 3 2 2 2" xfId="21525"/>
    <cellStyle name="Normal 9 6 3 2 2 2 2" xfId="35550"/>
    <cellStyle name="Normal 9 6 3 2 2 3" xfId="27539"/>
    <cellStyle name="Normal 9 6 3 2 3" xfId="15515"/>
    <cellStyle name="Normal 9 6 3 2 3 2" xfId="23530"/>
    <cellStyle name="Normal 9 6 3 2 3 2 2" xfId="37555"/>
    <cellStyle name="Normal 9 6 3 2 3 3" xfId="29544"/>
    <cellStyle name="Normal 9 6 3 2 4" xfId="17521"/>
    <cellStyle name="Normal 9 6 3 2 4 2" xfId="31546"/>
    <cellStyle name="Normal 9 6 3 2 5" xfId="19523"/>
    <cellStyle name="Normal 9 6 3 2 5 2" xfId="33548"/>
    <cellStyle name="Normal 9 6 3 2 6" xfId="25537"/>
    <cellStyle name="Normal 9 6 3 3" xfId="13499"/>
    <cellStyle name="Normal 9 6 3 3 2" xfId="21524"/>
    <cellStyle name="Normal 9 6 3 3 2 2" xfId="35549"/>
    <cellStyle name="Normal 9 6 3 3 3" xfId="27538"/>
    <cellStyle name="Normal 9 6 3 4" xfId="15514"/>
    <cellStyle name="Normal 9 6 3 4 2" xfId="23529"/>
    <cellStyle name="Normal 9 6 3 4 2 2" xfId="37554"/>
    <cellStyle name="Normal 9 6 3 4 3" xfId="29543"/>
    <cellStyle name="Normal 9 6 3 5" xfId="17520"/>
    <cellStyle name="Normal 9 6 3 5 2" xfId="31545"/>
    <cellStyle name="Normal 9 6 3 6" xfId="19522"/>
    <cellStyle name="Normal 9 6 3 6 2" xfId="33547"/>
    <cellStyle name="Normal 9 6 3 7" xfId="25536"/>
    <cellStyle name="Normal 9 6 4" xfId="2907"/>
    <cellStyle name="Normal 9 6 4 2" xfId="2908"/>
    <cellStyle name="Normal 9 6 4 2 2" xfId="13502"/>
    <cellStyle name="Normal 9 6 4 2 2 2" xfId="21527"/>
    <cellStyle name="Normal 9 6 4 2 2 2 2" xfId="35552"/>
    <cellStyle name="Normal 9 6 4 2 2 3" xfId="27541"/>
    <cellStyle name="Normal 9 6 4 2 3" xfId="15517"/>
    <cellStyle name="Normal 9 6 4 2 3 2" xfId="23532"/>
    <cellStyle name="Normal 9 6 4 2 3 2 2" xfId="37557"/>
    <cellStyle name="Normal 9 6 4 2 3 3" xfId="29546"/>
    <cellStyle name="Normal 9 6 4 2 4" xfId="17523"/>
    <cellStyle name="Normal 9 6 4 2 4 2" xfId="31548"/>
    <cellStyle name="Normal 9 6 4 2 5" xfId="19525"/>
    <cellStyle name="Normal 9 6 4 2 5 2" xfId="33550"/>
    <cellStyle name="Normal 9 6 4 2 6" xfId="25539"/>
    <cellStyle name="Normal 9 6 4 3" xfId="13501"/>
    <cellStyle name="Normal 9 6 4 3 2" xfId="21526"/>
    <cellStyle name="Normal 9 6 4 3 2 2" xfId="35551"/>
    <cellStyle name="Normal 9 6 4 3 3" xfId="27540"/>
    <cellStyle name="Normal 9 6 4 4" xfId="15516"/>
    <cellStyle name="Normal 9 6 4 4 2" xfId="23531"/>
    <cellStyle name="Normal 9 6 4 4 2 2" xfId="37556"/>
    <cellStyle name="Normal 9 6 4 4 3" xfId="29545"/>
    <cellStyle name="Normal 9 6 4 5" xfId="17522"/>
    <cellStyle name="Normal 9 6 4 5 2" xfId="31547"/>
    <cellStyle name="Normal 9 6 4 6" xfId="19524"/>
    <cellStyle name="Normal 9 6 4 6 2" xfId="33549"/>
    <cellStyle name="Normal 9 6 4 7" xfId="25538"/>
    <cellStyle name="Normal 9 6 5" xfId="2909"/>
    <cellStyle name="Normal 9 6 5 2" xfId="13503"/>
    <cellStyle name="Normal 9 6 5 2 2" xfId="21528"/>
    <cellStyle name="Normal 9 6 5 2 2 2" xfId="35553"/>
    <cellStyle name="Normal 9 6 5 2 3" xfId="27542"/>
    <cellStyle name="Normal 9 6 5 3" xfId="15518"/>
    <cellStyle name="Normal 9 6 5 3 2" xfId="23533"/>
    <cellStyle name="Normal 9 6 5 3 2 2" xfId="37558"/>
    <cellStyle name="Normal 9 6 5 3 3" xfId="29547"/>
    <cellStyle name="Normal 9 6 5 4" xfId="17524"/>
    <cellStyle name="Normal 9 6 5 4 2" xfId="31549"/>
    <cellStyle name="Normal 9 6 5 5" xfId="19526"/>
    <cellStyle name="Normal 9 6 5 5 2" xfId="33551"/>
    <cellStyle name="Normal 9 6 5 6" xfId="25540"/>
    <cellStyle name="Normal 9 6 6" xfId="13494"/>
    <cellStyle name="Normal 9 6 6 2" xfId="21519"/>
    <cellStyle name="Normal 9 6 6 2 2" xfId="35544"/>
    <cellStyle name="Normal 9 6 6 3" xfId="27533"/>
    <cellStyle name="Normal 9 6 7" xfId="15509"/>
    <cellStyle name="Normal 9 6 7 2" xfId="23524"/>
    <cellStyle name="Normal 9 6 7 2 2" xfId="37549"/>
    <cellStyle name="Normal 9 6 7 3" xfId="29538"/>
    <cellStyle name="Normal 9 6 8" xfId="17515"/>
    <cellStyle name="Normal 9 6 8 2" xfId="31540"/>
    <cellStyle name="Normal 9 6 9" xfId="19517"/>
    <cellStyle name="Normal 9 6 9 2" xfId="33542"/>
    <cellStyle name="Normal 9 7" xfId="2910"/>
    <cellStyle name="Normal 9 7 2" xfId="2911"/>
    <cellStyle name="Normal 9 7 2 2" xfId="2912"/>
    <cellStyle name="Normal 9 7 2 2 2" xfId="13506"/>
    <cellStyle name="Normal 9 7 2 2 2 2" xfId="21531"/>
    <cellStyle name="Normal 9 7 2 2 2 2 2" xfId="35556"/>
    <cellStyle name="Normal 9 7 2 2 2 3" xfId="27545"/>
    <cellStyle name="Normal 9 7 2 2 3" xfId="15521"/>
    <cellStyle name="Normal 9 7 2 2 3 2" xfId="23536"/>
    <cellStyle name="Normal 9 7 2 2 3 2 2" xfId="37561"/>
    <cellStyle name="Normal 9 7 2 2 3 3" xfId="29550"/>
    <cellStyle name="Normal 9 7 2 2 4" xfId="17527"/>
    <cellStyle name="Normal 9 7 2 2 4 2" xfId="31552"/>
    <cellStyle name="Normal 9 7 2 2 5" xfId="19529"/>
    <cellStyle name="Normal 9 7 2 2 5 2" xfId="33554"/>
    <cellStyle name="Normal 9 7 2 2 6" xfId="25543"/>
    <cellStyle name="Normal 9 7 2 3" xfId="13505"/>
    <cellStyle name="Normal 9 7 2 3 2" xfId="21530"/>
    <cellStyle name="Normal 9 7 2 3 2 2" xfId="35555"/>
    <cellStyle name="Normal 9 7 2 3 3" xfId="27544"/>
    <cellStyle name="Normal 9 7 2 4" xfId="15520"/>
    <cellStyle name="Normal 9 7 2 4 2" xfId="23535"/>
    <cellStyle name="Normal 9 7 2 4 2 2" xfId="37560"/>
    <cellStyle name="Normal 9 7 2 4 3" xfId="29549"/>
    <cellStyle name="Normal 9 7 2 5" xfId="17526"/>
    <cellStyle name="Normal 9 7 2 5 2" xfId="31551"/>
    <cellStyle name="Normal 9 7 2 6" xfId="19528"/>
    <cellStyle name="Normal 9 7 2 6 2" xfId="33553"/>
    <cellStyle name="Normal 9 7 2 7" xfId="25542"/>
    <cellStyle name="Normal 9 7 3" xfId="2913"/>
    <cellStyle name="Normal 9 7 3 2" xfId="13507"/>
    <cellStyle name="Normal 9 7 3 2 2" xfId="21532"/>
    <cellStyle name="Normal 9 7 3 2 2 2" xfId="35557"/>
    <cellStyle name="Normal 9 7 3 2 3" xfId="27546"/>
    <cellStyle name="Normal 9 7 3 3" xfId="15522"/>
    <cellStyle name="Normal 9 7 3 3 2" xfId="23537"/>
    <cellStyle name="Normal 9 7 3 3 2 2" xfId="37562"/>
    <cellStyle name="Normal 9 7 3 3 3" xfId="29551"/>
    <cellStyle name="Normal 9 7 3 4" xfId="17528"/>
    <cellStyle name="Normal 9 7 3 4 2" xfId="31553"/>
    <cellStyle name="Normal 9 7 3 5" xfId="19530"/>
    <cellStyle name="Normal 9 7 3 5 2" xfId="33555"/>
    <cellStyle name="Normal 9 7 3 6" xfId="25544"/>
    <cellStyle name="Normal 9 7 4" xfId="13504"/>
    <cellStyle name="Normal 9 7 4 2" xfId="21529"/>
    <cellStyle name="Normal 9 7 4 2 2" xfId="35554"/>
    <cellStyle name="Normal 9 7 4 3" xfId="27543"/>
    <cellStyle name="Normal 9 7 5" xfId="15519"/>
    <cellStyle name="Normal 9 7 5 2" xfId="23534"/>
    <cellStyle name="Normal 9 7 5 2 2" xfId="37559"/>
    <cellStyle name="Normal 9 7 5 3" xfId="29548"/>
    <cellStyle name="Normal 9 7 6" xfId="17525"/>
    <cellStyle name="Normal 9 7 6 2" xfId="31550"/>
    <cellStyle name="Normal 9 7 7" xfId="19527"/>
    <cellStyle name="Normal 9 7 7 2" xfId="33552"/>
    <cellStyle name="Normal 9 7 8" xfId="25541"/>
    <cellStyle name="Normal 9 8" xfId="2914"/>
    <cellStyle name="Normal 9 8 2" xfId="2915"/>
    <cellStyle name="Normal 9 8 2 2" xfId="13509"/>
    <cellStyle name="Normal 9 8 2 2 2" xfId="21534"/>
    <cellStyle name="Normal 9 8 2 2 2 2" xfId="35559"/>
    <cellStyle name="Normal 9 8 2 2 3" xfId="27548"/>
    <cellStyle name="Normal 9 8 2 3" xfId="15524"/>
    <cellStyle name="Normal 9 8 2 3 2" xfId="23539"/>
    <cellStyle name="Normal 9 8 2 3 2 2" xfId="37564"/>
    <cellStyle name="Normal 9 8 2 3 3" xfId="29553"/>
    <cellStyle name="Normal 9 8 2 4" xfId="17530"/>
    <cellStyle name="Normal 9 8 2 4 2" xfId="31555"/>
    <cellStyle name="Normal 9 8 2 5" xfId="19532"/>
    <cellStyle name="Normal 9 8 2 5 2" xfId="33557"/>
    <cellStyle name="Normal 9 8 2 6" xfId="25546"/>
    <cellStyle name="Normal 9 8 3" xfId="13508"/>
    <cellStyle name="Normal 9 8 3 2" xfId="21533"/>
    <cellStyle name="Normal 9 8 3 2 2" xfId="35558"/>
    <cellStyle name="Normal 9 8 3 3" xfId="27547"/>
    <cellStyle name="Normal 9 8 4" xfId="15523"/>
    <cellStyle name="Normal 9 8 4 2" xfId="23538"/>
    <cellStyle name="Normal 9 8 4 2 2" xfId="37563"/>
    <cellStyle name="Normal 9 8 4 3" xfId="29552"/>
    <cellStyle name="Normal 9 8 5" xfId="17529"/>
    <cellStyle name="Normal 9 8 5 2" xfId="31554"/>
    <cellStyle name="Normal 9 8 6" xfId="19531"/>
    <cellStyle name="Normal 9 8 6 2" xfId="33556"/>
    <cellStyle name="Normal 9 8 7" xfId="25545"/>
    <cellStyle name="Normal 9 9" xfId="2916"/>
    <cellStyle name="Normal 9 9 2" xfId="2917"/>
    <cellStyle name="Normal 9 9 2 2" xfId="13511"/>
    <cellStyle name="Normal 9 9 2 2 2" xfId="21536"/>
    <cellStyle name="Normal 9 9 2 2 2 2" xfId="35561"/>
    <cellStyle name="Normal 9 9 2 2 3" xfId="27550"/>
    <cellStyle name="Normal 9 9 2 3" xfId="15526"/>
    <cellStyle name="Normal 9 9 2 3 2" xfId="23541"/>
    <cellStyle name="Normal 9 9 2 3 2 2" xfId="37566"/>
    <cellStyle name="Normal 9 9 2 3 3" xfId="29555"/>
    <cellStyle name="Normal 9 9 2 4" xfId="17532"/>
    <cellStyle name="Normal 9 9 2 4 2" xfId="31557"/>
    <cellStyle name="Normal 9 9 2 5" xfId="19534"/>
    <cellStyle name="Normal 9 9 2 5 2" xfId="33559"/>
    <cellStyle name="Normal 9 9 2 6" xfId="25548"/>
    <cellStyle name="Normal 9 9 3" xfId="13510"/>
    <cellStyle name="Normal 9 9 3 2" xfId="21535"/>
    <cellStyle name="Normal 9 9 3 2 2" xfId="35560"/>
    <cellStyle name="Normal 9 9 3 3" xfId="27549"/>
    <cellStyle name="Normal 9 9 4" xfId="15525"/>
    <cellStyle name="Normal 9 9 4 2" xfId="23540"/>
    <cellStyle name="Normal 9 9 4 2 2" xfId="37565"/>
    <cellStyle name="Normal 9 9 4 3" xfId="29554"/>
    <cellStyle name="Normal 9 9 5" xfId="17531"/>
    <cellStyle name="Normal 9 9 5 2" xfId="31556"/>
    <cellStyle name="Normal 9 9 6" xfId="19533"/>
    <cellStyle name="Normal 9 9 6 2" xfId="33558"/>
    <cellStyle name="Normal 9 9 7" xfId="25547"/>
    <cellStyle name="Normal 9_10-15-10-Stmt AU - Period I - Working 1 0" xfId="589"/>
    <cellStyle name="Normal_21 Exh B" xfId="37698"/>
    <cellStyle name="Normal_Attachment Os for 2002 True-up" xfId="37696"/>
    <cellStyle name="Normal_FN1 Ratebase Draft SPP template (6-11-04) v2" xfId="590"/>
    <cellStyle name="Normal_MSS2LOAD" xfId="11265"/>
    <cellStyle name="Normal_TrAILCo attach 6 &amp; 7 and Appendix A" xfId="591"/>
    <cellStyle name="Note 10" xfId="592"/>
    <cellStyle name="Note 10 10" xfId="2918"/>
    <cellStyle name="Note 10 10 2" xfId="2919"/>
    <cellStyle name="Note 10 10 2 2" xfId="2920"/>
    <cellStyle name="Note 10 10 3" xfId="2921"/>
    <cellStyle name="Note 10 11" xfId="2922"/>
    <cellStyle name="Note 10 11 2" xfId="2923"/>
    <cellStyle name="Note 10 12" xfId="2924"/>
    <cellStyle name="Note 10 12 2" xfId="2925"/>
    <cellStyle name="Note 10 13" xfId="2926"/>
    <cellStyle name="Note 10 13 2" xfId="2927"/>
    <cellStyle name="Note 10 14" xfId="2928"/>
    <cellStyle name="Note 10 14 2" xfId="2929"/>
    <cellStyle name="Note 10 15" xfId="2930"/>
    <cellStyle name="Note 10 15 2" xfId="2931"/>
    <cellStyle name="Note 10 16" xfId="2932"/>
    <cellStyle name="Note 10 2" xfId="593"/>
    <cellStyle name="Note 10 2 10" xfId="2933"/>
    <cellStyle name="Note 10 2 10 2" xfId="2934"/>
    <cellStyle name="Note 10 2 11" xfId="2935"/>
    <cellStyle name="Note 10 2 11 2" xfId="2936"/>
    <cellStyle name="Note 10 2 12" xfId="2937"/>
    <cellStyle name="Note 10 2 12 2" xfId="2938"/>
    <cellStyle name="Note 10 2 13" xfId="2939"/>
    <cellStyle name="Note 10 2 13 2" xfId="2940"/>
    <cellStyle name="Note 10 2 14" xfId="2941"/>
    <cellStyle name="Note 10 2 2" xfId="594"/>
    <cellStyle name="Note 10 2 2 10" xfId="2942"/>
    <cellStyle name="Note 10 2 2 10 2" xfId="2943"/>
    <cellStyle name="Note 10 2 2 11" xfId="2944"/>
    <cellStyle name="Note 10 2 2 11 2" xfId="2945"/>
    <cellStyle name="Note 10 2 2 12" xfId="2946"/>
    <cellStyle name="Note 10 2 2 12 2" xfId="2947"/>
    <cellStyle name="Note 10 2 2 13" xfId="2948"/>
    <cellStyle name="Note 10 2 2 2" xfId="2949"/>
    <cellStyle name="Note 10 2 2 2 2" xfId="2950"/>
    <cellStyle name="Note 10 2 2 2 2 2" xfId="2951"/>
    <cellStyle name="Note 10 2 2 2 2 2 2" xfId="2952"/>
    <cellStyle name="Note 10 2 2 2 2 3" xfId="2953"/>
    <cellStyle name="Note 10 2 2 2 3" xfId="2954"/>
    <cellStyle name="Note 10 2 2 2 3 2" xfId="2955"/>
    <cellStyle name="Note 10 2 2 2 3 2 2" xfId="2956"/>
    <cellStyle name="Note 10 2 2 2 3 3" xfId="2957"/>
    <cellStyle name="Note 10 2 2 2 4" xfId="2958"/>
    <cellStyle name="Note 10 2 2 2 4 2" xfId="2959"/>
    <cellStyle name="Note 10 2 2 2 5" xfId="2960"/>
    <cellStyle name="Note 10 2 2 2 5 2" xfId="2961"/>
    <cellStyle name="Note 10 2 2 2 6" xfId="2962"/>
    <cellStyle name="Note 10 2 2 2 6 2" xfId="2963"/>
    <cellStyle name="Note 10 2 2 2 7" xfId="2964"/>
    <cellStyle name="Note 10 2 2 2 7 2" xfId="2965"/>
    <cellStyle name="Note 10 2 2 2 8" xfId="2966"/>
    <cellStyle name="Note 10 2 2 3" xfId="2967"/>
    <cellStyle name="Note 10 2 2 3 10" xfId="2968"/>
    <cellStyle name="Note 10 2 2 3 10 2" xfId="2969"/>
    <cellStyle name="Note 10 2 2 3 11" xfId="2970"/>
    <cellStyle name="Note 10 2 2 3 2" xfId="2971"/>
    <cellStyle name="Note 10 2 2 3 2 2" xfId="2972"/>
    <cellStyle name="Note 10 2 2 3 2 2 2" xfId="2973"/>
    <cellStyle name="Note 10 2 2 3 2 3" xfId="2974"/>
    <cellStyle name="Note 10 2 2 3 3" xfId="2975"/>
    <cellStyle name="Note 10 2 2 3 3 2" xfId="2976"/>
    <cellStyle name="Note 10 2 2 3 4" xfId="2977"/>
    <cellStyle name="Note 10 2 2 3 4 2" xfId="2978"/>
    <cellStyle name="Note 10 2 2 3 5" xfId="2979"/>
    <cellStyle name="Note 10 2 2 3 5 2" xfId="2980"/>
    <cellStyle name="Note 10 2 2 3 6" xfId="2981"/>
    <cellStyle name="Note 10 2 2 3 6 2" xfId="2982"/>
    <cellStyle name="Note 10 2 2 3 7" xfId="2983"/>
    <cellStyle name="Note 10 2 2 3 7 2" xfId="2984"/>
    <cellStyle name="Note 10 2 2 3 8" xfId="2985"/>
    <cellStyle name="Note 10 2 2 3 8 2" xfId="2986"/>
    <cellStyle name="Note 10 2 2 3 9" xfId="2987"/>
    <cellStyle name="Note 10 2 2 3 9 2" xfId="2988"/>
    <cellStyle name="Note 10 2 2 4" xfId="2989"/>
    <cellStyle name="Note 10 2 2 4 10" xfId="2990"/>
    <cellStyle name="Note 10 2 2 4 10 2" xfId="2991"/>
    <cellStyle name="Note 10 2 2 4 11" xfId="2992"/>
    <cellStyle name="Note 10 2 2 4 2" xfId="2993"/>
    <cellStyle name="Note 10 2 2 4 2 2" xfId="2994"/>
    <cellStyle name="Note 10 2 2 4 2 2 2" xfId="2995"/>
    <cellStyle name="Note 10 2 2 4 2 3" xfId="2996"/>
    <cellStyle name="Note 10 2 2 4 3" xfId="2997"/>
    <cellStyle name="Note 10 2 2 4 3 2" xfId="2998"/>
    <cellStyle name="Note 10 2 2 4 4" xfId="2999"/>
    <cellStyle name="Note 10 2 2 4 4 2" xfId="3000"/>
    <cellStyle name="Note 10 2 2 4 5" xfId="3001"/>
    <cellStyle name="Note 10 2 2 4 5 2" xfId="3002"/>
    <cellStyle name="Note 10 2 2 4 6" xfId="3003"/>
    <cellStyle name="Note 10 2 2 4 6 2" xfId="3004"/>
    <cellStyle name="Note 10 2 2 4 7" xfId="3005"/>
    <cellStyle name="Note 10 2 2 4 7 2" xfId="3006"/>
    <cellStyle name="Note 10 2 2 4 8" xfId="3007"/>
    <cellStyle name="Note 10 2 2 4 8 2" xfId="3008"/>
    <cellStyle name="Note 10 2 2 4 9" xfId="3009"/>
    <cellStyle name="Note 10 2 2 4 9 2" xfId="3010"/>
    <cellStyle name="Note 10 2 2 5" xfId="3011"/>
    <cellStyle name="Note 10 2 2 5 10" xfId="3012"/>
    <cellStyle name="Note 10 2 2 5 10 2" xfId="3013"/>
    <cellStyle name="Note 10 2 2 5 11" xfId="3014"/>
    <cellStyle name="Note 10 2 2 5 2" xfId="3015"/>
    <cellStyle name="Note 10 2 2 5 2 2" xfId="3016"/>
    <cellStyle name="Note 10 2 2 5 2 2 2" xfId="3017"/>
    <cellStyle name="Note 10 2 2 5 2 3" xfId="3018"/>
    <cellStyle name="Note 10 2 2 5 3" xfId="3019"/>
    <cellStyle name="Note 10 2 2 5 3 2" xfId="3020"/>
    <cellStyle name="Note 10 2 2 5 4" xfId="3021"/>
    <cellStyle name="Note 10 2 2 5 4 2" xfId="3022"/>
    <cellStyle name="Note 10 2 2 5 5" xfId="3023"/>
    <cellStyle name="Note 10 2 2 5 5 2" xfId="3024"/>
    <cellStyle name="Note 10 2 2 5 6" xfId="3025"/>
    <cellStyle name="Note 10 2 2 5 6 2" xfId="3026"/>
    <cellStyle name="Note 10 2 2 5 7" xfId="3027"/>
    <cellStyle name="Note 10 2 2 5 7 2" xfId="3028"/>
    <cellStyle name="Note 10 2 2 5 8" xfId="3029"/>
    <cellStyle name="Note 10 2 2 5 8 2" xfId="3030"/>
    <cellStyle name="Note 10 2 2 5 9" xfId="3031"/>
    <cellStyle name="Note 10 2 2 5 9 2" xfId="3032"/>
    <cellStyle name="Note 10 2 2 6" xfId="3033"/>
    <cellStyle name="Note 10 2 2 6 10" xfId="3034"/>
    <cellStyle name="Note 10 2 2 6 10 2" xfId="3035"/>
    <cellStyle name="Note 10 2 2 6 11" xfId="3036"/>
    <cellStyle name="Note 10 2 2 6 2" xfId="3037"/>
    <cellStyle name="Note 10 2 2 6 2 2" xfId="3038"/>
    <cellStyle name="Note 10 2 2 6 2 2 2" xfId="3039"/>
    <cellStyle name="Note 10 2 2 6 2 3" xfId="3040"/>
    <cellStyle name="Note 10 2 2 6 3" xfId="3041"/>
    <cellStyle name="Note 10 2 2 6 3 2" xfId="3042"/>
    <cellStyle name="Note 10 2 2 6 4" xfId="3043"/>
    <cellStyle name="Note 10 2 2 6 4 2" xfId="3044"/>
    <cellStyle name="Note 10 2 2 6 5" xfId="3045"/>
    <cellStyle name="Note 10 2 2 6 5 2" xfId="3046"/>
    <cellStyle name="Note 10 2 2 6 6" xfId="3047"/>
    <cellStyle name="Note 10 2 2 6 6 2" xfId="3048"/>
    <cellStyle name="Note 10 2 2 6 7" xfId="3049"/>
    <cellStyle name="Note 10 2 2 6 7 2" xfId="3050"/>
    <cellStyle name="Note 10 2 2 6 8" xfId="3051"/>
    <cellStyle name="Note 10 2 2 6 8 2" xfId="3052"/>
    <cellStyle name="Note 10 2 2 6 9" xfId="3053"/>
    <cellStyle name="Note 10 2 2 6 9 2" xfId="3054"/>
    <cellStyle name="Note 10 2 2 7" xfId="3055"/>
    <cellStyle name="Note 10 2 2 7 2" xfId="3056"/>
    <cellStyle name="Note 10 2 2 7 2 2" xfId="3057"/>
    <cellStyle name="Note 10 2 2 7 3" xfId="3058"/>
    <cellStyle name="Note 10 2 2 8" xfId="3059"/>
    <cellStyle name="Note 10 2 2 8 2" xfId="3060"/>
    <cellStyle name="Note 10 2 2 9" xfId="3061"/>
    <cellStyle name="Note 10 2 2 9 2" xfId="3062"/>
    <cellStyle name="Note 10 2 3" xfId="3063"/>
    <cellStyle name="Note 10 2 3 2" xfId="3064"/>
    <cellStyle name="Note 10 2 3 2 2" xfId="3065"/>
    <cellStyle name="Note 10 2 3 2 2 2" xfId="3066"/>
    <cellStyle name="Note 10 2 3 2 3" xfId="3067"/>
    <cellStyle name="Note 10 2 3 3" xfId="3068"/>
    <cellStyle name="Note 10 2 3 3 2" xfId="3069"/>
    <cellStyle name="Note 10 2 3 3 2 2" xfId="3070"/>
    <cellStyle name="Note 10 2 3 3 3" xfId="3071"/>
    <cellStyle name="Note 10 2 3 4" xfId="3072"/>
    <cellStyle name="Note 10 2 3 4 2" xfId="3073"/>
    <cellStyle name="Note 10 2 3 5" xfId="3074"/>
    <cellStyle name="Note 10 2 3 5 2" xfId="3075"/>
    <cellStyle name="Note 10 2 3 6" xfId="3076"/>
    <cellStyle name="Note 10 2 3 6 2" xfId="3077"/>
    <cellStyle name="Note 10 2 3 7" xfId="3078"/>
    <cellStyle name="Note 10 2 3 7 2" xfId="3079"/>
    <cellStyle name="Note 10 2 3 8" xfId="3080"/>
    <cellStyle name="Note 10 2 4" xfId="3081"/>
    <cellStyle name="Note 10 2 4 10" xfId="3082"/>
    <cellStyle name="Note 10 2 4 10 2" xfId="3083"/>
    <cellStyle name="Note 10 2 4 11" xfId="3084"/>
    <cellStyle name="Note 10 2 4 2" xfId="3085"/>
    <cellStyle name="Note 10 2 4 2 2" xfId="3086"/>
    <cellStyle name="Note 10 2 4 2 2 2" xfId="3087"/>
    <cellStyle name="Note 10 2 4 2 3" xfId="3088"/>
    <cellStyle name="Note 10 2 4 3" xfId="3089"/>
    <cellStyle name="Note 10 2 4 3 2" xfId="3090"/>
    <cellStyle name="Note 10 2 4 4" xfId="3091"/>
    <cellStyle name="Note 10 2 4 4 2" xfId="3092"/>
    <cellStyle name="Note 10 2 4 5" xfId="3093"/>
    <cellStyle name="Note 10 2 4 5 2" xfId="3094"/>
    <cellStyle name="Note 10 2 4 6" xfId="3095"/>
    <cellStyle name="Note 10 2 4 6 2" xfId="3096"/>
    <cellStyle name="Note 10 2 4 7" xfId="3097"/>
    <cellStyle name="Note 10 2 4 7 2" xfId="3098"/>
    <cellStyle name="Note 10 2 4 8" xfId="3099"/>
    <cellStyle name="Note 10 2 4 8 2" xfId="3100"/>
    <cellStyle name="Note 10 2 4 9" xfId="3101"/>
    <cellStyle name="Note 10 2 4 9 2" xfId="3102"/>
    <cellStyle name="Note 10 2 5" xfId="3103"/>
    <cellStyle name="Note 10 2 5 10" xfId="3104"/>
    <cellStyle name="Note 10 2 5 10 2" xfId="3105"/>
    <cellStyle name="Note 10 2 5 11" xfId="3106"/>
    <cellStyle name="Note 10 2 5 2" xfId="3107"/>
    <cellStyle name="Note 10 2 5 2 2" xfId="3108"/>
    <cellStyle name="Note 10 2 5 2 2 2" xfId="3109"/>
    <cellStyle name="Note 10 2 5 2 3" xfId="3110"/>
    <cellStyle name="Note 10 2 5 3" xfId="3111"/>
    <cellStyle name="Note 10 2 5 3 2" xfId="3112"/>
    <cellStyle name="Note 10 2 5 4" xfId="3113"/>
    <cellStyle name="Note 10 2 5 4 2" xfId="3114"/>
    <cellStyle name="Note 10 2 5 5" xfId="3115"/>
    <cellStyle name="Note 10 2 5 5 2" xfId="3116"/>
    <cellStyle name="Note 10 2 5 6" xfId="3117"/>
    <cellStyle name="Note 10 2 5 6 2" xfId="3118"/>
    <cellStyle name="Note 10 2 5 7" xfId="3119"/>
    <cellStyle name="Note 10 2 5 7 2" xfId="3120"/>
    <cellStyle name="Note 10 2 5 8" xfId="3121"/>
    <cellStyle name="Note 10 2 5 8 2" xfId="3122"/>
    <cellStyle name="Note 10 2 5 9" xfId="3123"/>
    <cellStyle name="Note 10 2 5 9 2" xfId="3124"/>
    <cellStyle name="Note 10 2 6" xfId="3125"/>
    <cellStyle name="Note 10 2 6 10" xfId="3126"/>
    <cellStyle name="Note 10 2 6 10 2" xfId="3127"/>
    <cellStyle name="Note 10 2 6 11" xfId="3128"/>
    <cellStyle name="Note 10 2 6 2" xfId="3129"/>
    <cellStyle name="Note 10 2 6 2 2" xfId="3130"/>
    <cellStyle name="Note 10 2 6 2 2 2" xfId="3131"/>
    <cellStyle name="Note 10 2 6 2 3" xfId="3132"/>
    <cellStyle name="Note 10 2 6 3" xfId="3133"/>
    <cellStyle name="Note 10 2 6 3 2" xfId="3134"/>
    <cellStyle name="Note 10 2 6 4" xfId="3135"/>
    <cellStyle name="Note 10 2 6 4 2" xfId="3136"/>
    <cellStyle name="Note 10 2 6 5" xfId="3137"/>
    <cellStyle name="Note 10 2 6 5 2" xfId="3138"/>
    <cellStyle name="Note 10 2 6 6" xfId="3139"/>
    <cellStyle name="Note 10 2 6 6 2" xfId="3140"/>
    <cellStyle name="Note 10 2 6 7" xfId="3141"/>
    <cellStyle name="Note 10 2 6 7 2" xfId="3142"/>
    <cellStyle name="Note 10 2 6 8" xfId="3143"/>
    <cellStyle name="Note 10 2 6 8 2" xfId="3144"/>
    <cellStyle name="Note 10 2 6 9" xfId="3145"/>
    <cellStyle name="Note 10 2 6 9 2" xfId="3146"/>
    <cellStyle name="Note 10 2 7" xfId="3147"/>
    <cellStyle name="Note 10 2 7 10" xfId="3148"/>
    <cellStyle name="Note 10 2 7 10 2" xfId="3149"/>
    <cellStyle name="Note 10 2 7 11" xfId="3150"/>
    <cellStyle name="Note 10 2 7 2" xfId="3151"/>
    <cellStyle name="Note 10 2 7 2 2" xfId="3152"/>
    <cellStyle name="Note 10 2 7 2 2 2" xfId="3153"/>
    <cellStyle name="Note 10 2 7 2 3" xfId="3154"/>
    <cellStyle name="Note 10 2 7 3" xfId="3155"/>
    <cellStyle name="Note 10 2 7 3 2" xfId="3156"/>
    <cellStyle name="Note 10 2 7 4" xfId="3157"/>
    <cellStyle name="Note 10 2 7 4 2" xfId="3158"/>
    <cellStyle name="Note 10 2 7 5" xfId="3159"/>
    <cellStyle name="Note 10 2 7 5 2" xfId="3160"/>
    <cellStyle name="Note 10 2 7 6" xfId="3161"/>
    <cellStyle name="Note 10 2 7 6 2" xfId="3162"/>
    <cellStyle name="Note 10 2 7 7" xfId="3163"/>
    <cellStyle name="Note 10 2 7 7 2" xfId="3164"/>
    <cellStyle name="Note 10 2 7 8" xfId="3165"/>
    <cellStyle name="Note 10 2 7 8 2" xfId="3166"/>
    <cellStyle name="Note 10 2 7 9" xfId="3167"/>
    <cellStyle name="Note 10 2 7 9 2" xfId="3168"/>
    <cellStyle name="Note 10 2 8" xfId="3169"/>
    <cellStyle name="Note 10 2 8 2" xfId="3170"/>
    <cellStyle name="Note 10 2 8 2 2" xfId="3171"/>
    <cellStyle name="Note 10 2 8 3" xfId="3172"/>
    <cellStyle name="Note 10 2 9" xfId="3173"/>
    <cellStyle name="Note 10 2 9 2" xfId="3174"/>
    <cellStyle name="Note 10 2_7 - Cap Add WS" xfId="595"/>
    <cellStyle name="Note 10 3" xfId="596"/>
    <cellStyle name="Note 10 3 10" xfId="3175"/>
    <cellStyle name="Note 10 3 10 2" xfId="3176"/>
    <cellStyle name="Note 10 3 11" xfId="3177"/>
    <cellStyle name="Note 10 3 11 2" xfId="3178"/>
    <cellStyle name="Note 10 3 12" xfId="3179"/>
    <cellStyle name="Note 10 3 12 2" xfId="3180"/>
    <cellStyle name="Note 10 3 13" xfId="3181"/>
    <cellStyle name="Note 10 3 13 2" xfId="3182"/>
    <cellStyle name="Note 10 3 14" xfId="3183"/>
    <cellStyle name="Note 10 3 2" xfId="597"/>
    <cellStyle name="Note 10 3 2 10" xfId="3184"/>
    <cellStyle name="Note 10 3 2 10 2" xfId="3185"/>
    <cellStyle name="Note 10 3 2 11" xfId="3186"/>
    <cellStyle name="Note 10 3 2 11 2" xfId="3187"/>
    <cellStyle name="Note 10 3 2 12" xfId="3188"/>
    <cellStyle name="Note 10 3 2 12 2" xfId="3189"/>
    <cellStyle name="Note 10 3 2 13" xfId="3190"/>
    <cellStyle name="Note 10 3 2 2" xfId="3191"/>
    <cellStyle name="Note 10 3 2 2 2" xfId="3192"/>
    <cellStyle name="Note 10 3 2 2 2 2" xfId="3193"/>
    <cellStyle name="Note 10 3 2 2 2 2 2" xfId="3194"/>
    <cellStyle name="Note 10 3 2 2 2 3" xfId="3195"/>
    <cellStyle name="Note 10 3 2 2 3" xfId="3196"/>
    <cellStyle name="Note 10 3 2 2 3 2" xfId="3197"/>
    <cellStyle name="Note 10 3 2 2 3 2 2" xfId="3198"/>
    <cellStyle name="Note 10 3 2 2 3 3" xfId="3199"/>
    <cellStyle name="Note 10 3 2 2 4" xfId="3200"/>
    <cellStyle name="Note 10 3 2 2 4 2" xfId="3201"/>
    <cellStyle name="Note 10 3 2 2 5" xfId="3202"/>
    <cellStyle name="Note 10 3 2 2 5 2" xfId="3203"/>
    <cellStyle name="Note 10 3 2 2 6" xfId="3204"/>
    <cellStyle name="Note 10 3 2 2 6 2" xfId="3205"/>
    <cellStyle name="Note 10 3 2 2 7" xfId="3206"/>
    <cellStyle name="Note 10 3 2 2 7 2" xfId="3207"/>
    <cellStyle name="Note 10 3 2 2 8" xfId="3208"/>
    <cellStyle name="Note 10 3 2 3" xfId="3209"/>
    <cellStyle name="Note 10 3 2 3 10" xfId="3210"/>
    <cellStyle name="Note 10 3 2 3 10 2" xfId="3211"/>
    <cellStyle name="Note 10 3 2 3 11" xfId="3212"/>
    <cellStyle name="Note 10 3 2 3 2" xfId="3213"/>
    <cellStyle name="Note 10 3 2 3 2 2" xfId="3214"/>
    <cellStyle name="Note 10 3 2 3 2 2 2" xfId="3215"/>
    <cellStyle name="Note 10 3 2 3 2 3" xfId="3216"/>
    <cellStyle name="Note 10 3 2 3 3" xfId="3217"/>
    <cellStyle name="Note 10 3 2 3 3 2" xfId="3218"/>
    <cellStyle name="Note 10 3 2 3 4" xfId="3219"/>
    <cellStyle name="Note 10 3 2 3 4 2" xfId="3220"/>
    <cellStyle name="Note 10 3 2 3 5" xfId="3221"/>
    <cellStyle name="Note 10 3 2 3 5 2" xfId="3222"/>
    <cellStyle name="Note 10 3 2 3 6" xfId="3223"/>
    <cellStyle name="Note 10 3 2 3 6 2" xfId="3224"/>
    <cellStyle name="Note 10 3 2 3 7" xfId="3225"/>
    <cellStyle name="Note 10 3 2 3 7 2" xfId="3226"/>
    <cellStyle name="Note 10 3 2 3 8" xfId="3227"/>
    <cellStyle name="Note 10 3 2 3 8 2" xfId="3228"/>
    <cellStyle name="Note 10 3 2 3 9" xfId="3229"/>
    <cellStyle name="Note 10 3 2 3 9 2" xfId="3230"/>
    <cellStyle name="Note 10 3 2 4" xfId="3231"/>
    <cellStyle name="Note 10 3 2 4 10" xfId="3232"/>
    <cellStyle name="Note 10 3 2 4 10 2" xfId="3233"/>
    <cellStyle name="Note 10 3 2 4 11" xfId="3234"/>
    <cellStyle name="Note 10 3 2 4 2" xfId="3235"/>
    <cellStyle name="Note 10 3 2 4 2 2" xfId="3236"/>
    <cellStyle name="Note 10 3 2 4 2 2 2" xfId="3237"/>
    <cellStyle name="Note 10 3 2 4 2 3" xfId="3238"/>
    <cellStyle name="Note 10 3 2 4 3" xfId="3239"/>
    <cellStyle name="Note 10 3 2 4 3 2" xfId="3240"/>
    <cellStyle name="Note 10 3 2 4 4" xfId="3241"/>
    <cellStyle name="Note 10 3 2 4 4 2" xfId="3242"/>
    <cellStyle name="Note 10 3 2 4 5" xfId="3243"/>
    <cellStyle name="Note 10 3 2 4 5 2" xfId="3244"/>
    <cellStyle name="Note 10 3 2 4 6" xfId="3245"/>
    <cellStyle name="Note 10 3 2 4 6 2" xfId="3246"/>
    <cellStyle name="Note 10 3 2 4 7" xfId="3247"/>
    <cellStyle name="Note 10 3 2 4 7 2" xfId="3248"/>
    <cellStyle name="Note 10 3 2 4 8" xfId="3249"/>
    <cellStyle name="Note 10 3 2 4 8 2" xfId="3250"/>
    <cellStyle name="Note 10 3 2 4 9" xfId="3251"/>
    <cellStyle name="Note 10 3 2 4 9 2" xfId="3252"/>
    <cellStyle name="Note 10 3 2 5" xfId="3253"/>
    <cellStyle name="Note 10 3 2 5 10" xfId="3254"/>
    <cellStyle name="Note 10 3 2 5 10 2" xfId="3255"/>
    <cellStyle name="Note 10 3 2 5 11" xfId="3256"/>
    <cellStyle name="Note 10 3 2 5 2" xfId="3257"/>
    <cellStyle name="Note 10 3 2 5 2 2" xfId="3258"/>
    <cellStyle name="Note 10 3 2 5 2 2 2" xfId="3259"/>
    <cellStyle name="Note 10 3 2 5 2 3" xfId="3260"/>
    <cellStyle name="Note 10 3 2 5 3" xfId="3261"/>
    <cellStyle name="Note 10 3 2 5 3 2" xfId="3262"/>
    <cellStyle name="Note 10 3 2 5 4" xfId="3263"/>
    <cellStyle name="Note 10 3 2 5 4 2" xfId="3264"/>
    <cellStyle name="Note 10 3 2 5 5" xfId="3265"/>
    <cellStyle name="Note 10 3 2 5 5 2" xfId="3266"/>
    <cellStyle name="Note 10 3 2 5 6" xfId="3267"/>
    <cellStyle name="Note 10 3 2 5 6 2" xfId="3268"/>
    <cellStyle name="Note 10 3 2 5 7" xfId="3269"/>
    <cellStyle name="Note 10 3 2 5 7 2" xfId="3270"/>
    <cellStyle name="Note 10 3 2 5 8" xfId="3271"/>
    <cellStyle name="Note 10 3 2 5 8 2" xfId="3272"/>
    <cellStyle name="Note 10 3 2 5 9" xfId="3273"/>
    <cellStyle name="Note 10 3 2 5 9 2" xfId="3274"/>
    <cellStyle name="Note 10 3 2 6" xfId="3275"/>
    <cellStyle name="Note 10 3 2 6 10" xfId="3276"/>
    <cellStyle name="Note 10 3 2 6 10 2" xfId="3277"/>
    <cellStyle name="Note 10 3 2 6 11" xfId="3278"/>
    <cellStyle name="Note 10 3 2 6 2" xfId="3279"/>
    <cellStyle name="Note 10 3 2 6 2 2" xfId="3280"/>
    <cellStyle name="Note 10 3 2 6 2 2 2" xfId="3281"/>
    <cellStyle name="Note 10 3 2 6 2 3" xfId="3282"/>
    <cellStyle name="Note 10 3 2 6 3" xfId="3283"/>
    <cellStyle name="Note 10 3 2 6 3 2" xfId="3284"/>
    <cellStyle name="Note 10 3 2 6 4" xfId="3285"/>
    <cellStyle name="Note 10 3 2 6 4 2" xfId="3286"/>
    <cellStyle name="Note 10 3 2 6 5" xfId="3287"/>
    <cellStyle name="Note 10 3 2 6 5 2" xfId="3288"/>
    <cellStyle name="Note 10 3 2 6 6" xfId="3289"/>
    <cellStyle name="Note 10 3 2 6 6 2" xfId="3290"/>
    <cellStyle name="Note 10 3 2 6 7" xfId="3291"/>
    <cellStyle name="Note 10 3 2 6 7 2" xfId="3292"/>
    <cellStyle name="Note 10 3 2 6 8" xfId="3293"/>
    <cellStyle name="Note 10 3 2 6 8 2" xfId="3294"/>
    <cellStyle name="Note 10 3 2 6 9" xfId="3295"/>
    <cellStyle name="Note 10 3 2 6 9 2" xfId="3296"/>
    <cellStyle name="Note 10 3 2 7" xfId="3297"/>
    <cellStyle name="Note 10 3 2 7 2" xfId="3298"/>
    <cellStyle name="Note 10 3 2 7 2 2" xfId="3299"/>
    <cellStyle name="Note 10 3 2 7 3" xfId="3300"/>
    <cellStyle name="Note 10 3 2 8" xfId="3301"/>
    <cellStyle name="Note 10 3 2 8 2" xfId="3302"/>
    <cellStyle name="Note 10 3 2 9" xfId="3303"/>
    <cellStyle name="Note 10 3 2 9 2" xfId="3304"/>
    <cellStyle name="Note 10 3 3" xfId="3305"/>
    <cellStyle name="Note 10 3 3 2" xfId="3306"/>
    <cellStyle name="Note 10 3 3 2 2" xfId="3307"/>
    <cellStyle name="Note 10 3 3 2 2 2" xfId="3308"/>
    <cellStyle name="Note 10 3 3 2 3" xfId="3309"/>
    <cellStyle name="Note 10 3 3 3" xfId="3310"/>
    <cellStyle name="Note 10 3 3 3 2" xfId="3311"/>
    <cellStyle name="Note 10 3 3 3 2 2" xfId="3312"/>
    <cellStyle name="Note 10 3 3 3 3" xfId="3313"/>
    <cellStyle name="Note 10 3 3 4" xfId="3314"/>
    <cellStyle name="Note 10 3 3 4 2" xfId="3315"/>
    <cellStyle name="Note 10 3 3 5" xfId="3316"/>
    <cellStyle name="Note 10 3 3 5 2" xfId="3317"/>
    <cellStyle name="Note 10 3 3 6" xfId="3318"/>
    <cellStyle name="Note 10 3 3 6 2" xfId="3319"/>
    <cellStyle name="Note 10 3 3 7" xfId="3320"/>
    <cellStyle name="Note 10 3 3 7 2" xfId="3321"/>
    <cellStyle name="Note 10 3 3 8" xfId="3322"/>
    <cellStyle name="Note 10 3 4" xfId="3323"/>
    <cellStyle name="Note 10 3 4 10" xfId="3324"/>
    <cellStyle name="Note 10 3 4 10 2" xfId="3325"/>
    <cellStyle name="Note 10 3 4 11" xfId="3326"/>
    <cellStyle name="Note 10 3 4 2" xfId="3327"/>
    <cellStyle name="Note 10 3 4 2 2" xfId="3328"/>
    <cellStyle name="Note 10 3 4 2 2 2" xfId="3329"/>
    <cellStyle name="Note 10 3 4 2 3" xfId="3330"/>
    <cellStyle name="Note 10 3 4 3" xfId="3331"/>
    <cellStyle name="Note 10 3 4 3 2" xfId="3332"/>
    <cellStyle name="Note 10 3 4 4" xfId="3333"/>
    <cellStyle name="Note 10 3 4 4 2" xfId="3334"/>
    <cellStyle name="Note 10 3 4 5" xfId="3335"/>
    <cellStyle name="Note 10 3 4 5 2" xfId="3336"/>
    <cellStyle name="Note 10 3 4 6" xfId="3337"/>
    <cellStyle name="Note 10 3 4 6 2" xfId="3338"/>
    <cellStyle name="Note 10 3 4 7" xfId="3339"/>
    <cellStyle name="Note 10 3 4 7 2" xfId="3340"/>
    <cellStyle name="Note 10 3 4 8" xfId="3341"/>
    <cellStyle name="Note 10 3 4 8 2" xfId="3342"/>
    <cellStyle name="Note 10 3 4 9" xfId="3343"/>
    <cellStyle name="Note 10 3 4 9 2" xfId="3344"/>
    <cellStyle name="Note 10 3 5" xfId="3345"/>
    <cellStyle name="Note 10 3 5 10" xfId="3346"/>
    <cellStyle name="Note 10 3 5 10 2" xfId="3347"/>
    <cellStyle name="Note 10 3 5 11" xfId="3348"/>
    <cellStyle name="Note 10 3 5 2" xfId="3349"/>
    <cellStyle name="Note 10 3 5 2 2" xfId="3350"/>
    <cellStyle name="Note 10 3 5 2 2 2" xfId="3351"/>
    <cellStyle name="Note 10 3 5 2 3" xfId="3352"/>
    <cellStyle name="Note 10 3 5 3" xfId="3353"/>
    <cellStyle name="Note 10 3 5 3 2" xfId="3354"/>
    <cellStyle name="Note 10 3 5 4" xfId="3355"/>
    <cellStyle name="Note 10 3 5 4 2" xfId="3356"/>
    <cellStyle name="Note 10 3 5 5" xfId="3357"/>
    <cellStyle name="Note 10 3 5 5 2" xfId="3358"/>
    <cellStyle name="Note 10 3 5 6" xfId="3359"/>
    <cellStyle name="Note 10 3 5 6 2" xfId="3360"/>
    <cellStyle name="Note 10 3 5 7" xfId="3361"/>
    <cellStyle name="Note 10 3 5 7 2" xfId="3362"/>
    <cellStyle name="Note 10 3 5 8" xfId="3363"/>
    <cellStyle name="Note 10 3 5 8 2" xfId="3364"/>
    <cellStyle name="Note 10 3 5 9" xfId="3365"/>
    <cellStyle name="Note 10 3 5 9 2" xfId="3366"/>
    <cellStyle name="Note 10 3 6" xfId="3367"/>
    <cellStyle name="Note 10 3 6 10" xfId="3368"/>
    <cellStyle name="Note 10 3 6 10 2" xfId="3369"/>
    <cellStyle name="Note 10 3 6 11" xfId="3370"/>
    <cellStyle name="Note 10 3 6 2" xfId="3371"/>
    <cellStyle name="Note 10 3 6 2 2" xfId="3372"/>
    <cellStyle name="Note 10 3 6 2 2 2" xfId="3373"/>
    <cellStyle name="Note 10 3 6 2 3" xfId="3374"/>
    <cellStyle name="Note 10 3 6 3" xfId="3375"/>
    <cellStyle name="Note 10 3 6 3 2" xfId="3376"/>
    <cellStyle name="Note 10 3 6 4" xfId="3377"/>
    <cellStyle name="Note 10 3 6 4 2" xfId="3378"/>
    <cellStyle name="Note 10 3 6 5" xfId="3379"/>
    <cellStyle name="Note 10 3 6 5 2" xfId="3380"/>
    <cellStyle name="Note 10 3 6 6" xfId="3381"/>
    <cellStyle name="Note 10 3 6 6 2" xfId="3382"/>
    <cellStyle name="Note 10 3 6 7" xfId="3383"/>
    <cellStyle name="Note 10 3 6 7 2" xfId="3384"/>
    <cellStyle name="Note 10 3 6 8" xfId="3385"/>
    <cellStyle name="Note 10 3 6 8 2" xfId="3386"/>
    <cellStyle name="Note 10 3 6 9" xfId="3387"/>
    <cellStyle name="Note 10 3 6 9 2" xfId="3388"/>
    <cellStyle name="Note 10 3 7" xfId="3389"/>
    <cellStyle name="Note 10 3 7 10" xfId="3390"/>
    <cellStyle name="Note 10 3 7 10 2" xfId="3391"/>
    <cellStyle name="Note 10 3 7 11" xfId="3392"/>
    <cellStyle name="Note 10 3 7 2" xfId="3393"/>
    <cellStyle name="Note 10 3 7 2 2" xfId="3394"/>
    <cellStyle name="Note 10 3 7 2 2 2" xfId="3395"/>
    <cellStyle name="Note 10 3 7 2 3" xfId="3396"/>
    <cellStyle name="Note 10 3 7 3" xfId="3397"/>
    <cellStyle name="Note 10 3 7 3 2" xfId="3398"/>
    <cellStyle name="Note 10 3 7 4" xfId="3399"/>
    <cellStyle name="Note 10 3 7 4 2" xfId="3400"/>
    <cellStyle name="Note 10 3 7 5" xfId="3401"/>
    <cellStyle name="Note 10 3 7 5 2" xfId="3402"/>
    <cellStyle name="Note 10 3 7 6" xfId="3403"/>
    <cellStyle name="Note 10 3 7 6 2" xfId="3404"/>
    <cellStyle name="Note 10 3 7 7" xfId="3405"/>
    <cellStyle name="Note 10 3 7 7 2" xfId="3406"/>
    <cellStyle name="Note 10 3 7 8" xfId="3407"/>
    <cellStyle name="Note 10 3 7 8 2" xfId="3408"/>
    <cellStyle name="Note 10 3 7 9" xfId="3409"/>
    <cellStyle name="Note 10 3 7 9 2" xfId="3410"/>
    <cellStyle name="Note 10 3 8" xfId="3411"/>
    <cellStyle name="Note 10 3 8 2" xfId="3412"/>
    <cellStyle name="Note 10 3 8 2 2" xfId="3413"/>
    <cellStyle name="Note 10 3 8 3" xfId="3414"/>
    <cellStyle name="Note 10 3 9" xfId="3415"/>
    <cellStyle name="Note 10 3 9 2" xfId="3416"/>
    <cellStyle name="Note 10 3_7 - Cap Add WS" xfId="598"/>
    <cellStyle name="Note 10 4" xfId="599"/>
    <cellStyle name="Note 10 4 10" xfId="3417"/>
    <cellStyle name="Note 10 4 10 2" xfId="3418"/>
    <cellStyle name="Note 10 4 11" xfId="3419"/>
    <cellStyle name="Note 10 4 11 2" xfId="3420"/>
    <cellStyle name="Note 10 4 12" xfId="3421"/>
    <cellStyle name="Note 10 4 12 2" xfId="3422"/>
    <cellStyle name="Note 10 4 13" xfId="3423"/>
    <cellStyle name="Note 10 4 2" xfId="3424"/>
    <cellStyle name="Note 10 4 2 2" xfId="3425"/>
    <cellStyle name="Note 10 4 2 2 2" xfId="3426"/>
    <cellStyle name="Note 10 4 2 2 2 2" xfId="3427"/>
    <cellStyle name="Note 10 4 2 2 3" xfId="3428"/>
    <cellStyle name="Note 10 4 2 3" xfId="3429"/>
    <cellStyle name="Note 10 4 2 3 2" xfId="3430"/>
    <cellStyle name="Note 10 4 2 3 2 2" xfId="3431"/>
    <cellStyle name="Note 10 4 2 3 3" xfId="3432"/>
    <cellStyle name="Note 10 4 2 4" xfId="3433"/>
    <cellStyle name="Note 10 4 2 4 2" xfId="3434"/>
    <cellStyle name="Note 10 4 2 5" xfId="3435"/>
    <cellStyle name="Note 10 4 2 5 2" xfId="3436"/>
    <cellStyle name="Note 10 4 2 6" xfId="3437"/>
    <cellStyle name="Note 10 4 2 6 2" xfId="3438"/>
    <cellStyle name="Note 10 4 2 7" xfId="3439"/>
    <cellStyle name="Note 10 4 2 7 2" xfId="3440"/>
    <cellStyle name="Note 10 4 2 8" xfId="3441"/>
    <cellStyle name="Note 10 4 3" xfId="3442"/>
    <cellStyle name="Note 10 4 3 10" xfId="3443"/>
    <cellStyle name="Note 10 4 3 10 2" xfId="3444"/>
    <cellStyle name="Note 10 4 3 11" xfId="3445"/>
    <cellStyle name="Note 10 4 3 2" xfId="3446"/>
    <cellStyle name="Note 10 4 3 2 2" xfId="3447"/>
    <cellStyle name="Note 10 4 3 2 2 2" xfId="3448"/>
    <cellStyle name="Note 10 4 3 2 3" xfId="3449"/>
    <cellStyle name="Note 10 4 3 3" xfId="3450"/>
    <cellStyle name="Note 10 4 3 3 2" xfId="3451"/>
    <cellStyle name="Note 10 4 3 4" xfId="3452"/>
    <cellStyle name="Note 10 4 3 4 2" xfId="3453"/>
    <cellStyle name="Note 10 4 3 5" xfId="3454"/>
    <cellStyle name="Note 10 4 3 5 2" xfId="3455"/>
    <cellStyle name="Note 10 4 3 6" xfId="3456"/>
    <cellStyle name="Note 10 4 3 6 2" xfId="3457"/>
    <cellStyle name="Note 10 4 3 7" xfId="3458"/>
    <cellStyle name="Note 10 4 3 7 2" xfId="3459"/>
    <cellStyle name="Note 10 4 3 8" xfId="3460"/>
    <cellStyle name="Note 10 4 3 8 2" xfId="3461"/>
    <cellStyle name="Note 10 4 3 9" xfId="3462"/>
    <cellStyle name="Note 10 4 3 9 2" xfId="3463"/>
    <cellStyle name="Note 10 4 4" xfId="3464"/>
    <cellStyle name="Note 10 4 4 10" xfId="3465"/>
    <cellStyle name="Note 10 4 4 10 2" xfId="3466"/>
    <cellStyle name="Note 10 4 4 11" xfId="3467"/>
    <cellStyle name="Note 10 4 4 2" xfId="3468"/>
    <cellStyle name="Note 10 4 4 2 2" xfId="3469"/>
    <cellStyle name="Note 10 4 4 2 2 2" xfId="3470"/>
    <cellStyle name="Note 10 4 4 2 3" xfId="3471"/>
    <cellStyle name="Note 10 4 4 3" xfId="3472"/>
    <cellStyle name="Note 10 4 4 3 2" xfId="3473"/>
    <cellStyle name="Note 10 4 4 4" xfId="3474"/>
    <cellStyle name="Note 10 4 4 4 2" xfId="3475"/>
    <cellStyle name="Note 10 4 4 5" xfId="3476"/>
    <cellStyle name="Note 10 4 4 5 2" xfId="3477"/>
    <cellStyle name="Note 10 4 4 6" xfId="3478"/>
    <cellStyle name="Note 10 4 4 6 2" xfId="3479"/>
    <cellStyle name="Note 10 4 4 7" xfId="3480"/>
    <cellStyle name="Note 10 4 4 7 2" xfId="3481"/>
    <cellStyle name="Note 10 4 4 8" xfId="3482"/>
    <cellStyle name="Note 10 4 4 8 2" xfId="3483"/>
    <cellStyle name="Note 10 4 4 9" xfId="3484"/>
    <cellStyle name="Note 10 4 4 9 2" xfId="3485"/>
    <cellStyle name="Note 10 4 5" xfId="3486"/>
    <cellStyle name="Note 10 4 5 10" xfId="3487"/>
    <cellStyle name="Note 10 4 5 10 2" xfId="3488"/>
    <cellStyle name="Note 10 4 5 11" xfId="3489"/>
    <cellStyle name="Note 10 4 5 2" xfId="3490"/>
    <cellStyle name="Note 10 4 5 2 2" xfId="3491"/>
    <cellStyle name="Note 10 4 5 2 2 2" xfId="3492"/>
    <cellStyle name="Note 10 4 5 2 3" xfId="3493"/>
    <cellStyle name="Note 10 4 5 3" xfId="3494"/>
    <cellStyle name="Note 10 4 5 3 2" xfId="3495"/>
    <cellStyle name="Note 10 4 5 4" xfId="3496"/>
    <cellStyle name="Note 10 4 5 4 2" xfId="3497"/>
    <cellStyle name="Note 10 4 5 5" xfId="3498"/>
    <cellStyle name="Note 10 4 5 5 2" xfId="3499"/>
    <cellStyle name="Note 10 4 5 6" xfId="3500"/>
    <cellStyle name="Note 10 4 5 6 2" xfId="3501"/>
    <cellStyle name="Note 10 4 5 7" xfId="3502"/>
    <cellStyle name="Note 10 4 5 7 2" xfId="3503"/>
    <cellStyle name="Note 10 4 5 8" xfId="3504"/>
    <cellStyle name="Note 10 4 5 8 2" xfId="3505"/>
    <cellStyle name="Note 10 4 5 9" xfId="3506"/>
    <cellStyle name="Note 10 4 5 9 2" xfId="3507"/>
    <cellStyle name="Note 10 4 6" xfId="3508"/>
    <cellStyle name="Note 10 4 6 10" xfId="3509"/>
    <cellStyle name="Note 10 4 6 10 2" xfId="3510"/>
    <cellStyle name="Note 10 4 6 11" xfId="3511"/>
    <cellStyle name="Note 10 4 6 2" xfId="3512"/>
    <cellStyle name="Note 10 4 6 2 2" xfId="3513"/>
    <cellStyle name="Note 10 4 6 2 2 2" xfId="3514"/>
    <cellStyle name="Note 10 4 6 2 3" xfId="3515"/>
    <cellStyle name="Note 10 4 6 3" xfId="3516"/>
    <cellStyle name="Note 10 4 6 3 2" xfId="3517"/>
    <cellStyle name="Note 10 4 6 4" xfId="3518"/>
    <cellStyle name="Note 10 4 6 4 2" xfId="3519"/>
    <cellStyle name="Note 10 4 6 5" xfId="3520"/>
    <cellStyle name="Note 10 4 6 5 2" xfId="3521"/>
    <cellStyle name="Note 10 4 6 6" xfId="3522"/>
    <cellStyle name="Note 10 4 6 6 2" xfId="3523"/>
    <cellStyle name="Note 10 4 6 7" xfId="3524"/>
    <cellStyle name="Note 10 4 6 7 2" xfId="3525"/>
    <cellStyle name="Note 10 4 6 8" xfId="3526"/>
    <cellStyle name="Note 10 4 6 8 2" xfId="3527"/>
    <cellStyle name="Note 10 4 6 9" xfId="3528"/>
    <cellStyle name="Note 10 4 6 9 2" xfId="3529"/>
    <cellStyle name="Note 10 4 7" xfId="3530"/>
    <cellStyle name="Note 10 4 7 2" xfId="3531"/>
    <cellStyle name="Note 10 4 7 2 2" xfId="3532"/>
    <cellStyle name="Note 10 4 7 3" xfId="3533"/>
    <cellStyle name="Note 10 4 8" xfId="3534"/>
    <cellStyle name="Note 10 4 8 2" xfId="3535"/>
    <cellStyle name="Note 10 4 9" xfId="3536"/>
    <cellStyle name="Note 10 4 9 2" xfId="3537"/>
    <cellStyle name="Note 10 5" xfId="3538"/>
    <cellStyle name="Note 10 5 2" xfId="3539"/>
    <cellStyle name="Note 10 5 2 2" xfId="3540"/>
    <cellStyle name="Note 10 5 2 2 2" xfId="3541"/>
    <cellStyle name="Note 10 5 2 3" xfId="3542"/>
    <cellStyle name="Note 10 5 3" xfId="3543"/>
    <cellStyle name="Note 10 5 3 2" xfId="3544"/>
    <cellStyle name="Note 10 5 3 2 2" xfId="3545"/>
    <cellStyle name="Note 10 5 3 3" xfId="3546"/>
    <cellStyle name="Note 10 5 4" xfId="3547"/>
    <cellStyle name="Note 10 5 4 2" xfId="3548"/>
    <cellStyle name="Note 10 5 5" xfId="3549"/>
    <cellStyle name="Note 10 5 5 2" xfId="3550"/>
    <cellStyle name="Note 10 5 6" xfId="3551"/>
    <cellStyle name="Note 10 5 6 2" xfId="3552"/>
    <cellStyle name="Note 10 5 7" xfId="3553"/>
    <cellStyle name="Note 10 5 7 2" xfId="3554"/>
    <cellStyle name="Note 10 5 8" xfId="3555"/>
    <cellStyle name="Note 10 6" xfId="3556"/>
    <cellStyle name="Note 10 6 10" xfId="3557"/>
    <cellStyle name="Note 10 6 10 2" xfId="3558"/>
    <cellStyle name="Note 10 6 11" xfId="3559"/>
    <cellStyle name="Note 10 6 2" xfId="3560"/>
    <cellStyle name="Note 10 6 2 2" xfId="3561"/>
    <cellStyle name="Note 10 6 2 2 2" xfId="3562"/>
    <cellStyle name="Note 10 6 2 3" xfId="3563"/>
    <cellStyle name="Note 10 6 3" xfId="3564"/>
    <cellStyle name="Note 10 6 3 2" xfId="3565"/>
    <cellStyle name="Note 10 6 4" xfId="3566"/>
    <cellStyle name="Note 10 6 4 2" xfId="3567"/>
    <cellStyle name="Note 10 6 5" xfId="3568"/>
    <cellStyle name="Note 10 6 5 2" xfId="3569"/>
    <cellStyle name="Note 10 6 6" xfId="3570"/>
    <cellStyle name="Note 10 6 6 2" xfId="3571"/>
    <cellStyle name="Note 10 6 7" xfId="3572"/>
    <cellStyle name="Note 10 6 7 2" xfId="3573"/>
    <cellStyle name="Note 10 6 8" xfId="3574"/>
    <cellStyle name="Note 10 6 8 2" xfId="3575"/>
    <cellStyle name="Note 10 6 9" xfId="3576"/>
    <cellStyle name="Note 10 6 9 2" xfId="3577"/>
    <cellStyle name="Note 10 7" xfId="3578"/>
    <cellStyle name="Note 10 7 10" xfId="3579"/>
    <cellStyle name="Note 10 7 10 2" xfId="3580"/>
    <cellStyle name="Note 10 7 11" xfId="3581"/>
    <cellStyle name="Note 10 7 2" xfId="3582"/>
    <cellStyle name="Note 10 7 2 2" xfId="3583"/>
    <cellStyle name="Note 10 7 2 2 2" xfId="3584"/>
    <cellStyle name="Note 10 7 2 3" xfId="3585"/>
    <cellStyle name="Note 10 7 3" xfId="3586"/>
    <cellStyle name="Note 10 7 3 2" xfId="3587"/>
    <cellStyle name="Note 10 7 4" xfId="3588"/>
    <cellStyle name="Note 10 7 4 2" xfId="3589"/>
    <cellStyle name="Note 10 7 5" xfId="3590"/>
    <cellStyle name="Note 10 7 5 2" xfId="3591"/>
    <cellStyle name="Note 10 7 6" xfId="3592"/>
    <cellStyle name="Note 10 7 6 2" xfId="3593"/>
    <cellStyle name="Note 10 7 7" xfId="3594"/>
    <cellStyle name="Note 10 7 7 2" xfId="3595"/>
    <cellStyle name="Note 10 7 8" xfId="3596"/>
    <cellStyle name="Note 10 7 8 2" xfId="3597"/>
    <cellStyle name="Note 10 7 9" xfId="3598"/>
    <cellStyle name="Note 10 7 9 2" xfId="3599"/>
    <cellStyle name="Note 10 8" xfId="3600"/>
    <cellStyle name="Note 10 8 10" xfId="3601"/>
    <cellStyle name="Note 10 8 10 2" xfId="3602"/>
    <cellStyle name="Note 10 8 11" xfId="3603"/>
    <cellStyle name="Note 10 8 2" xfId="3604"/>
    <cellStyle name="Note 10 8 2 2" xfId="3605"/>
    <cellStyle name="Note 10 8 2 2 2" xfId="3606"/>
    <cellStyle name="Note 10 8 2 3" xfId="3607"/>
    <cellStyle name="Note 10 8 3" xfId="3608"/>
    <cellStyle name="Note 10 8 3 2" xfId="3609"/>
    <cellStyle name="Note 10 8 4" xfId="3610"/>
    <cellStyle name="Note 10 8 4 2" xfId="3611"/>
    <cellStyle name="Note 10 8 5" xfId="3612"/>
    <cellStyle name="Note 10 8 5 2" xfId="3613"/>
    <cellStyle name="Note 10 8 6" xfId="3614"/>
    <cellStyle name="Note 10 8 6 2" xfId="3615"/>
    <cellStyle name="Note 10 8 7" xfId="3616"/>
    <cellStyle name="Note 10 8 7 2" xfId="3617"/>
    <cellStyle name="Note 10 8 8" xfId="3618"/>
    <cellStyle name="Note 10 8 8 2" xfId="3619"/>
    <cellStyle name="Note 10 8 9" xfId="3620"/>
    <cellStyle name="Note 10 8 9 2" xfId="3621"/>
    <cellStyle name="Note 10 9" xfId="3622"/>
    <cellStyle name="Note 10 9 10" xfId="3623"/>
    <cellStyle name="Note 10 9 10 2" xfId="3624"/>
    <cellStyle name="Note 10 9 11" xfId="3625"/>
    <cellStyle name="Note 10 9 2" xfId="3626"/>
    <cellStyle name="Note 10 9 2 2" xfId="3627"/>
    <cellStyle name="Note 10 9 2 2 2" xfId="3628"/>
    <cellStyle name="Note 10 9 2 3" xfId="3629"/>
    <cellStyle name="Note 10 9 3" xfId="3630"/>
    <cellStyle name="Note 10 9 3 2" xfId="3631"/>
    <cellStyle name="Note 10 9 4" xfId="3632"/>
    <cellStyle name="Note 10 9 4 2" xfId="3633"/>
    <cellStyle name="Note 10 9 5" xfId="3634"/>
    <cellStyle name="Note 10 9 5 2" xfId="3635"/>
    <cellStyle name="Note 10 9 6" xfId="3636"/>
    <cellStyle name="Note 10 9 6 2" xfId="3637"/>
    <cellStyle name="Note 10 9 7" xfId="3638"/>
    <cellStyle name="Note 10 9 7 2" xfId="3639"/>
    <cellStyle name="Note 10 9 8" xfId="3640"/>
    <cellStyle name="Note 10 9 8 2" xfId="3641"/>
    <cellStyle name="Note 10 9 9" xfId="3642"/>
    <cellStyle name="Note 10 9 9 2" xfId="3643"/>
    <cellStyle name="Note 10_7 - Cap Add WS" xfId="600"/>
    <cellStyle name="Note 11" xfId="601"/>
    <cellStyle name="Note 11 10" xfId="3644"/>
    <cellStyle name="Note 11 10 2" xfId="3645"/>
    <cellStyle name="Note 11 11" xfId="3646"/>
    <cellStyle name="Note 11 11 2" xfId="3647"/>
    <cellStyle name="Note 11 12" xfId="3648"/>
    <cellStyle name="Note 11 12 2" xfId="3649"/>
    <cellStyle name="Note 11 13" xfId="3650"/>
    <cellStyle name="Note 11 13 2" xfId="3651"/>
    <cellStyle name="Note 11 14" xfId="3652"/>
    <cellStyle name="Note 11 2" xfId="602"/>
    <cellStyle name="Note 11 2 10" xfId="3653"/>
    <cellStyle name="Note 11 2 10 2" xfId="3654"/>
    <cellStyle name="Note 11 2 11" xfId="3655"/>
    <cellStyle name="Note 11 2 11 2" xfId="3656"/>
    <cellStyle name="Note 11 2 12" xfId="3657"/>
    <cellStyle name="Note 11 2 12 2" xfId="3658"/>
    <cellStyle name="Note 11 2 13" xfId="3659"/>
    <cellStyle name="Note 11 2 2" xfId="3660"/>
    <cellStyle name="Note 11 2 2 2" xfId="3661"/>
    <cellStyle name="Note 11 2 2 2 2" xfId="3662"/>
    <cellStyle name="Note 11 2 2 2 2 2" xfId="3663"/>
    <cellStyle name="Note 11 2 2 2 3" xfId="3664"/>
    <cellStyle name="Note 11 2 2 3" xfId="3665"/>
    <cellStyle name="Note 11 2 2 3 2" xfId="3666"/>
    <cellStyle name="Note 11 2 2 3 2 2" xfId="3667"/>
    <cellStyle name="Note 11 2 2 3 3" xfId="3668"/>
    <cellStyle name="Note 11 2 2 4" xfId="3669"/>
    <cellStyle name="Note 11 2 2 4 2" xfId="3670"/>
    <cellStyle name="Note 11 2 2 5" xfId="3671"/>
    <cellStyle name="Note 11 2 2 5 2" xfId="3672"/>
    <cellStyle name="Note 11 2 2 6" xfId="3673"/>
    <cellStyle name="Note 11 2 2 6 2" xfId="3674"/>
    <cellStyle name="Note 11 2 2 7" xfId="3675"/>
    <cellStyle name="Note 11 2 2 7 2" xfId="3676"/>
    <cellStyle name="Note 11 2 2 8" xfId="3677"/>
    <cellStyle name="Note 11 2 3" xfId="3678"/>
    <cellStyle name="Note 11 2 3 10" xfId="3679"/>
    <cellStyle name="Note 11 2 3 10 2" xfId="3680"/>
    <cellStyle name="Note 11 2 3 11" xfId="3681"/>
    <cellStyle name="Note 11 2 3 2" xfId="3682"/>
    <cellStyle name="Note 11 2 3 2 2" xfId="3683"/>
    <cellStyle name="Note 11 2 3 2 2 2" xfId="3684"/>
    <cellStyle name="Note 11 2 3 2 3" xfId="3685"/>
    <cellStyle name="Note 11 2 3 3" xfId="3686"/>
    <cellStyle name="Note 11 2 3 3 2" xfId="3687"/>
    <cellStyle name="Note 11 2 3 4" xfId="3688"/>
    <cellStyle name="Note 11 2 3 4 2" xfId="3689"/>
    <cellStyle name="Note 11 2 3 5" xfId="3690"/>
    <cellStyle name="Note 11 2 3 5 2" xfId="3691"/>
    <cellStyle name="Note 11 2 3 6" xfId="3692"/>
    <cellStyle name="Note 11 2 3 6 2" xfId="3693"/>
    <cellStyle name="Note 11 2 3 7" xfId="3694"/>
    <cellStyle name="Note 11 2 3 7 2" xfId="3695"/>
    <cellStyle name="Note 11 2 3 8" xfId="3696"/>
    <cellStyle name="Note 11 2 3 8 2" xfId="3697"/>
    <cellStyle name="Note 11 2 3 9" xfId="3698"/>
    <cellStyle name="Note 11 2 3 9 2" xfId="3699"/>
    <cellStyle name="Note 11 2 4" xfId="3700"/>
    <cellStyle name="Note 11 2 4 10" xfId="3701"/>
    <cellStyle name="Note 11 2 4 10 2" xfId="3702"/>
    <cellStyle name="Note 11 2 4 11" xfId="3703"/>
    <cellStyle name="Note 11 2 4 2" xfId="3704"/>
    <cellStyle name="Note 11 2 4 2 2" xfId="3705"/>
    <cellStyle name="Note 11 2 4 2 2 2" xfId="3706"/>
    <cellStyle name="Note 11 2 4 2 3" xfId="3707"/>
    <cellStyle name="Note 11 2 4 3" xfId="3708"/>
    <cellStyle name="Note 11 2 4 3 2" xfId="3709"/>
    <cellStyle name="Note 11 2 4 4" xfId="3710"/>
    <cellStyle name="Note 11 2 4 4 2" xfId="3711"/>
    <cellStyle name="Note 11 2 4 5" xfId="3712"/>
    <cellStyle name="Note 11 2 4 5 2" xfId="3713"/>
    <cellStyle name="Note 11 2 4 6" xfId="3714"/>
    <cellStyle name="Note 11 2 4 6 2" xfId="3715"/>
    <cellStyle name="Note 11 2 4 7" xfId="3716"/>
    <cellStyle name="Note 11 2 4 7 2" xfId="3717"/>
    <cellStyle name="Note 11 2 4 8" xfId="3718"/>
    <cellStyle name="Note 11 2 4 8 2" xfId="3719"/>
    <cellStyle name="Note 11 2 4 9" xfId="3720"/>
    <cellStyle name="Note 11 2 4 9 2" xfId="3721"/>
    <cellStyle name="Note 11 2 5" xfId="3722"/>
    <cellStyle name="Note 11 2 5 10" xfId="3723"/>
    <cellStyle name="Note 11 2 5 10 2" xfId="3724"/>
    <cellStyle name="Note 11 2 5 11" xfId="3725"/>
    <cellStyle name="Note 11 2 5 2" xfId="3726"/>
    <cellStyle name="Note 11 2 5 2 2" xfId="3727"/>
    <cellStyle name="Note 11 2 5 2 2 2" xfId="3728"/>
    <cellStyle name="Note 11 2 5 2 3" xfId="3729"/>
    <cellStyle name="Note 11 2 5 3" xfId="3730"/>
    <cellStyle name="Note 11 2 5 3 2" xfId="3731"/>
    <cellStyle name="Note 11 2 5 4" xfId="3732"/>
    <cellStyle name="Note 11 2 5 4 2" xfId="3733"/>
    <cellStyle name="Note 11 2 5 5" xfId="3734"/>
    <cellStyle name="Note 11 2 5 5 2" xfId="3735"/>
    <cellStyle name="Note 11 2 5 6" xfId="3736"/>
    <cellStyle name="Note 11 2 5 6 2" xfId="3737"/>
    <cellStyle name="Note 11 2 5 7" xfId="3738"/>
    <cellStyle name="Note 11 2 5 7 2" xfId="3739"/>
    <cellStyle name="Note 11 2 5 8" xfId="3740"/>
    <cellStyle name="Note 11 2 5 8 2" xfId="3741"/>
    <cellStyle name="Note 11 2 5 9" xfId="3742"/>
    <cellStyle name="Note 11 2 5 9 2" xfId="3743"/>
    <cellStyle name="Note 11 2 6" xfId="3744"/>
    <cellStyle name="Note 11 2 6 10" xfId="3745"/>
    <cellStyle name="Note 11 2 6 10 2" xfId="3746"/>
    <cellStyle name="Note 11 2 6 11" xfId="3747"/>
    <cellStyle name="Note 11 2 6 2" xfId="3748"/>
    <cellStyle name="Note 11 2 6 2 2" xfId="3749"/>
    <cellStyle name="Note 11 2 6 2 2 2" xfId="3750"/>
    <cellStyle name="Note 11 2 6 2 3" xfId="3751"/>
    <cellStyle name="Note 11 2 6 3" xfId="3752"/>
    <cellStyle name="Note 11 2 6 3 2" xfId="3753"/>
    <cellStyle name="Note 11 2 6 4" xfId="3754"/>
    <cellStyle name="Note 11 2 6 4 2" xfId="3755"/>
    <cellStyle name="Note 11 2 6 5" xfId="3756"/>
    <cellStyle name="Note 11 2 6 5 2" xfId="3757"/>
    <cellStyle name="Note 11 2 6 6" xfId="3758"/>
    <cellStyle name="Note 11 2 6 6 2" xfId="3759"/>
    <cellStyle name="Note 11 2 6 7" xfId="3760"/>
    <cellStyle name="Note 11 2 6 7 2" xfId="3761"/>
    <cellStyle name="Note 11 2 6 8" xfId="3762"/>
    <cellStyle name="Note 11 2 6 8 2" xfId="3763"/>
    <cellStyle name="Note 11 2 6 9" xfId="3764"/>
    <cellStyle name="Note 11 2 6 9 2" xfId="3765"/>
    <cellStyle name="Note 11 2 7" xfId="3766"/>
    <cellStyle name="Note 11 2 7 2" xfId="3767"/>
    <cellStyle name="Note 11 2 7 2 2" xfId="3768"/>
    <cellStyle name="Note 11 2 7 3" xfId="3769"/>
    <cellStyle name="Note 11 2 8" xfId="3770"/>
    <cellStyle name="Note 11 2 8 2" xfId="3771"/>
    <cellStyle name="Note 11 2 9" xfId="3772"/>
    <cellStyle name="Note 11 2 9 2" xfId="3773"/>
    <cellStyle name="Note 11 3" xfId="3774"/>
    <cellStyle name="Note 11 3 2" xfId="3775"/>
    <cellStyle name="Note 11 3 2 2" xfId="3776"/>
    <cellStyle name="Note 11 3 2 2 2" xfId="3777"/>
    <cellStyle name="Note 11 3 2 3" xfId="3778"/>
    <cellStyle name="Note 11 3 3" xfId="3779"/>
    <cellStyle name="Note 11 3 3 2" xfId="3780"/>
    <cellStyle name="Note 11 3 3 2 2" xfId="3781"/>
    <cellStyle name="Note 11 3 3 3" xfId="3782"/>
    <cellStyle name="Note 11 3 4" xfId="3783"/>
    <cellStyle name="Note 11 3 4 2" xfId="3784"/>
    <cellStyle name="Note 11 3 5" xfId="3785"/>
    <cellStyle name="Note 11 3 5 2" xfId="3786"/>
    <cellStyle name="Note 11 3 6" xfId="3787"/>
    <cellStyle name="Note 11 3 6 2" xfId="3788"/>
    <cellStyle name="Note 11 3 7" xfId="3789"/>
    <cellStyle name="Note 11 3 7 2" xfId="3790"/>
    <cellStyle name="Note 11 3 8" xfId="3791"/>
    <cellStyle name="Note 11 4" xfId="3792"/>
    <cellStyle name="Note 11 4 10" xfId="3793"/>
    <cellStyle name="Note 11 4 10 2" xfId="3794"/>
    <cellStyle name="Note 11 4 11" xfId="3795"/>
    <cellStyle name="Note 11 4 2" xfId="3796"/>
    <cellStyle name="Note 11 4 2 2" xfId="3797"/>
    <cellStyle name="Note 11 4 2 2 2" xfId="3798"/>
    <cellStyle name="Note 11 4 2 3" xfId="3799"/>
    <cellStyle name="Note 11 4 3" xfId="3800"/>
    <cellStyle name="Note 11 4 3 2" xfId="3801"/>
    <cellStyle name="Note 11 4 4" xfId="3802"/>
    <cellStyle name="Note 11 4 4 2" xfId="3803"/>
    <cellStyle name="Note 11 4 5" xfId="3804"/>
    <cellStyle name="Note 11 4 5 2" xfId="3805"/>
    <cellStyle name="Note 11 4 6" xfId="3806"/>
    <cellStyle name="Note 11 4 6 2" xfId="3807"/>
    <cellStyle name="Note 11 4 7" xfId="3808"/>
    <cellStyle name="Note 11 4 7 2" xfId="3809"/>
    <cellStyle name="Note 11 4 8" xfId="3810"/>
    <cellStyle name="Note 11 4 8 2" xfId="3811"/>
    <cellStyle name="Note 11 4 9" xfId="3812"/>
    <cellStyle name="Note 11 4 9 2" xfId="3813"/>
    <cellStyle name="Note 11 5" xfId="3814"/>
    <cellStyle name="Note 11 5 10" xfId="3815"/>
    <cellStyle name="Note 11 5 10 2" xfId="3816"/>
    <cellStyle name="Note 11 5 11" xfId="3817"/>
    <cellStyle name="Note 11 5 2" xfId="3818"/>
    <cellStyle name="Note 11 5 2 2" xfId="3819"/>
    <cellStyle name="Note 11 5 2 2 2" xfId="3820"/>
    <cellStyle name="Note 11 5 2 3" xfId="3821"/>
    <cellStyle name="Note 11 5 3" xfId="3822"/>
    <cellStyle name="Note 11 5 3 2" xfId="3823"/>
    <cellStyle name="Note 11 5 4" xfId="3824"/>
    <cellStyle name="Note 11 5 4 2" xfId="3825"/>
    <cellStyle name="Note 11 5 5" xfId="3826"/>
    <cellStyle name="Note 11 5 5 2" xfId="3827"/>
    <cellStyle name="Note 11 5 6" xfId="3828"/>
    <cellStyle name="Note 11 5 6 2" xfId="3829"/>
    <cellStyle name="Note 11 5 7" xfId="3830"/>
    <cellStyle name="Note 11 5 7 2" xfId="3831"/>
    <cellStyle name="Note 11 5 8" xfId="3832"/>
    <cellStyle name="Note 11 5 8 2" xfId="3833"/>
    <cellStyle name="Note 11 5 9" xfId="3834"/>
    <cellStyle name="Note 11 5 9 2" xfId="3835"/>
    <cellStyle name="Note 11 6" xfId="3836"/>
    <cellStyle name="Note 11 6 10" xfId="3837"/>
    <cellStyle name="Note 11 6 10 2" xfId="3838"/>
    <cellStyle name="Note 11 6 11" xfId="3839"/>
    <cellStyle name="Note 11 6 2" xfId="3840"/>
    <cellStyle name="Note 11 6 2 2" xfId="3841"/>
    <cellStyle name="Note 11 6 2 2 2" xfId="3842"/>
    <cellStyle name="Note 11 6 2 3" xfId="3843"/>
    <cellStyle name="Note 11 6 3" xfId="3844"/>
    <cellStyle name="Note 11 6 3 2" xfId="3845"/>
    <cellStyle name="Note 11 6 4" xfId="3846"/>
    <cellStyle name="Note 11 6 4 2" xfId="3847"/>
    <cellStyle name="Note 11 6 5" xfId="3848"/>
    <cellStyle name="Note 11 6 5 2" xfId="3849"/>
    <cellStyle name="Note 11 6 6" xfId="3850"/>
    <cellStyle name="Note 11 6 6 2" xfId="3851"/>
    <cellStyle name="Note 11 6 7" xfId="3852"/>
    <cellStyle name="Note 11 6 7 2" xfId="3853"/>
    <cellStyle name="Note 11 6 8" xfId="3854"/>
    <cellStyle name="Note 11 6 8 2" xfId="3855"/>
    <cellStyle name="Note 11 6 9" xfId="3856"/>
    <cellStyle name="Note 11 6 9 2" xfId="3857"/>
    <cellStyle name="Note 11 7" xfId="3858"/>
    <cellStyle name="Note 11 7 10" xfId="3859"/>
    <cellStyle name="Note 11 7 10 2" xfId="3860"/>
    <cellStyle name="Note 11 7 11" xfId="3861"/>
    <cellStyle name="Note 11 7 2" xfId="3862"/>
    <cellStyle name="Note 11 7 2 2" xfId="3863"/>
    <cellStyle name="Note 11 7 2 2 2" xfId="3864"/>
    <cellStyle name="Note 11 7 2 3" xfId="3865"/>
    <cellStyle name="Note 11 7 3" xfId="3866"/>
    <cellStyle name="Note 11 7 3 2" xfId="3867"/>
    <cellStyle name="Note 11 7 4" xfId="3868"/>
    <cellStyle name="Note 11 7 4 2" xfId="3869"/>
    <cellStyle name="Note 11 7 5" xfId="3870"/>
    <cellStyle name="Note 11 7 5 2" xfId="3871"/>
    <cellStyle name="Note 11 7 6" xfId="3872"/>
    <cellStyle name="Note 11 7 6 2" xfId="3873"/>
    <cellStyle name="Note 11 7 7" xfId="3874"/>
    <cellStyle name="Note 11 7 7 2" xfId="3875"/>
    <cellStyle name="Note 11 7 8" xfId="3876"/>
    <cellStyle name="Note 11 7 8 2" xfId="3877"/>
    <cellStyle name="Note 11 7 9" xfId="3878"/>
    <cellStyle name="Note 11 7 9 2" xfId="3879"/>
    <cellStyle name="Note 11 8" xfId="3880"/>
    <cellStyle name="Note 11 8 2" xfId="3881"/>
    <cellStyle name="Note 11 8 2 2" xfId="3882"/>
    <cellStyle name="Note 11 8 3" xfId="3883"/>
    <cellStyle name="Note 11 9" xfId="3884"/>
    <cellStyle name="Note 11 9 2" xfId="3885"/>
    <cellStyle name="Note 11_7 - Cap Add WS" xfId="603"/>
    <cellStyle name="Note 12" xfId="604"/>
    <cellStyle name="Note 12 10" xfId="3886"/>
    <cellStyle name="Note 12 10 2" xfId="3887"/>
    <cellStyle name="Note 12 11" xfId="3888"/>
    <cellStyle name="Note 12 11 2" xfId="3889"/>
    <cellStyle name="Note 12 12" xfId="3890"/>
    <cellStyle name="Note 12 12 2" xfId="3891"/>
    <cellStyle name="Note 12 13" xfId="3892"/>
    <cellStyle name="Note 12 13 2" xfId="3893"/>
    <cellStyle name="Note 12 14" xfId="3894"/>
    <cellStyle name="Note 12 2" xfId="605"/>
    <cellStyle name="Note 12 2 10" xfId="3895"/>
    <cellStyle name="Note 12 2 10 2" xfId="3896"/>
    <cellStyle name="Note 12 2 11" xfId="3897"/>
    <cellStyle name="Note 12 2 11 2" xfId="3898"/>
    <cellStyle name="Note 12 2 12" xfId="3899"/>
    <cellStyle name="Note 12 2 12 2" xfId="3900"/>
    <cellStyle name="Note 12 2 13" xfId="3901"/>
    <cellStyle name="Note 12 2 2" xfId="3902"/>
    <cellStyle name="Note 12 2 2 2" xfId="3903"/>
    <cellStyle name="Note 12 2 2 2 2" xfId="3904"/>
    <cellStyle name="Note 12 2 2 2 2 2" xfId="3905"/>
    <cellStyle name="Note 12 2 2 2 3" xfId="3906"/>
    <cellStyle name="Note 12 2 2 3" xfId="3907"/>
    <cellStyle name="Note 12 2 2 3 2" xfId="3908"/>
    <cellStyle name="Note 12 2 2 3 2 2" xfId="3909"/>
    <cellStyle name="Note 12 2 2 3 3" xfId="3910"/>
    <cellStyle name="Note 12 2 2 4" xfId="3911"/>
    <cellStyle name="Note 12 2 2 4 2" xfId="3912"/>
    <cellStyle name="Note 12 2 2 5" xfId="3913"/>
    <cellStyle name="Note 12 2 2 5 2" xfId="3914"/>
    <cellStyle name="Note 12 2 2 6" xfId="3915"/>
    <cellStyle name="Note 12 2 2 6 2" xfId="3916"/>
    <cellStyle name="Note 12 2 2 7" xfId="3917"/>
    <cellStyle name="Note 12 2 2 7 2" xfId="3918"/>
    <cellStyle name="Note 12 2 2 8" xfId="3919"/>
    <cellStyle name="Note 12 2 3" xfId="3920"/>
    <cellStyle name="Note 12 2 3 10" xfId="3921"/>
    <cellStyle name="Note 12 2 3 10 2" xfId="3922"/>
    <cellStyle name="Note 12 2 3 11" xfId="3923"/>
    <cellStyle name="Note 12 2 3 2" xfId="3924"/>
    <cellStyle name="Note 12 2 3 2 2" xfId="3925"/>
    <cellStyle name="Note 12 2 3 2 2 2" xfId="3926"/>
    <cellStyle name="Note 12 2 3 2 3" xfId="3927"/>
    <cellStyle name="Note 12 2 3 3" xfId="3928"/>
    <cellStyle name="Note 12 2 3 3 2" xfId="3929"/>
    <cellStyle name="Note 12 2 3 4" xfId="3930"/>
    <cellStyle name="Note 12 2 3 4 2" xfId="3931"/>
    <cellStyle name="Note 12 2 3 5" xfId="3932"/>
    <cellStyle name="Note 12 2 3 5 2" xfId="3933"/>
    <cellStyle name="Note 12 2 3 6" xfId="3934"/>
    <cellStyle name="Note 12 2 3 6 2" xfId="3935"/>
    <cellStyle name="Note 12 2 3 7" xfId="3936"/>
    <cellStyle name="Note 12 2 3 7 2" xfId="3937"/>
    <cellStyle name="Note 12 2 3 8" xfId="3938"/>
    <cellStyle name="Note 12 2 3 8 2" xfId="3939"/>
    <cellStyle name="Note 12 2 3 9" xfId="3940"/>
    <cellStyle name="Note 12 2 3 9 2" xfId="3941"/>
    <cellStyle name="Note 12 2 4" xfId="3942"/>
    <cellStyle name="Note 12 2 4 10" xfId="3943"/>
    <cellStyle name="Note 12 2 4 10 2" xfId="3944"/>
    <cellStyle name="Note 12 2 4 11" xfId="3945"/>
    <cellStyle name="Note 12 2 4 2" xfId="3946"/>
    <cellStyle name="Note 12 2 4 2 2" xfId="3947"/>
    <cellStyle name="Note 12 2 4 2 2 2" xfId="3948"/>
    <cellStyle name="Note 12 2 4 2 3" xfId="3949"/>
    <cellStyle name="Note 12 2 4 3" xfId="3950"/>
    <cellStyle name="Note 12 2 4 3 2" xfId="3951"/>
    <cellStyle name="Note 12 2 4 4" xfId="3952"/>
    <cellStyle name="Note 12 2 4 4 2" xfId="3953"/>
    <cellStyle name="Note 12 2 4 5" xfId="3954"/>
    <cellStyle name="Note 12 2 4 5 2" xfId="3955"/>
    <cellStyle name="Note 12 2 4 6" xfId="3956"/>
    <cellStyle name="Note 12 2 4 6 2" xfId="3957"/>
    <cellStyle name="Note 12 2 4 7" xfId="3958"/>
    <cellStyle name="Note 12 2 4 7 2" xfId="3959"/>
    <cellStyle name="Note 12 2 4 8" xfId="3960"/>
    <cellStyle name="Note 12 2 4 8 2" xfId="3961"/>
    <cellStyle name="Note 12 2 4 9" xfId="3962"/>
    <cellStyle name="Note 12 2 4 9 2" xfId="3963"/>
    <cellStyle name="Note 12 2 5" xfId="3964"/>
    <cellStyle name="Note 12 2 5 10" xfId="3965"/>
    <cellStyle name="Note 12 2 5 10 2" xfId="3966"/>
    <cellStyle name="Note 12 2 5 11" xfId="3967"/>
    <cellStyle name="Note 12 2 5 2" xfId="3968"/>
    <cellStyle name="Note 12 2 5 2 2" xfId="3969"/>
    <cellStyle name="Note 12 2 5 2 2 2" xfId="3970"/>
    <cellStyle name="Note 12 2 5 2 3" xfId="3971"/>
    <cellStyle name="Note 12 2 5 3" xfId="3972"/>
    <cellStyle name="Note 12 2 5 3 2" xfId="3973"/>
    <cellStyle name="Note 12 2 5 4" xfId="3974"/>
    <cellStyle name="Note 12 2 5 4 2" xfId="3975"/>
    <cellStyle name="Note 12 2 5 5" xfId="3976"/>
    <cellStyle name="Note 12 2 5 5 2" xfId="3977"/>
    <cellStyle name="Note 12 2 5 6" xfId="3978"/>
    <cellStyle name="Note 12 2 5 6 2" xfId="3979"/>
    <cellStyle name="Note 12 2 5 7" xfId="3980"/>
    <cellStyle name="Note 12 2 5 7 2" xfId="3981"/>
    <cellStyle name="Note 12 2 5 8" xfId="3982"/>
    <cellStyle name="Note 12 2 5 8 2" xfId="3983"/>
    <cellStyle name="Note 12 2 5 9" xfId="3984"/>
    <cellStyle name="Note 12 2 5 9 2" xfId="3985"/>
    <cellStyle name="Note 12 2 6" xfId="3986"/>
    <cellStyle name="Note 12 2 6 10" xfId="3987"/>
    <cellStyle name="Note 12 2 6 10 2" xfId="3988"/>
    <cellStyle name="Note 12 2 6 11" xfId="3989"/>
    <cellStyle name="Note 12 2 6 2" xfId="3990"/>
    <cellStyle name="Note 12 2 6 2 2" xfId="3991"/>
    <cellStyle name="Note 12 2 6 2 2 2" xfId="3992"/>
    <cellStyle name="Note 12 2 6 2 3" xfId="3993"/>
    <cellStyle name="Note 12 2 6 3" xfId="3994"/>
    <cellStyle name="Note 12 2 6 3 2" xfId="3995"/>
    <cellStyle name="Note 12 2 6 4" xfId="3996"/>
    <cellStyle name="Note 12 2 6 4 2" xfId="3997"/>
    <cellStyle name="Note 12 2 6 5" xfId="3998"/>
    <cellStyle name="Note 12 2 6 5 2" xfId="3999"/>
    <cellStyle name="Note 12 2 6 6" xfId="4000"/>
    <cellStyle name="Note 12 2 6 6 2" xfId="4001"/>
    <cellStyle name="Note 12 2 6 7" xfId="4002"/>
    <cellStyle name="Note 12 2 6 7 2" xfId="4003"/>
    <cellStyle name="Note 12 2 6 8" xfId="4004"/>
    <cellStyle name="Note 12 2 6 8 2" xfId="4005"/>
    <cellStyle name="Note 12 2 6 9" xfId="4006"/>
    <cellStyle name="Note 12 2 6 9 2" xfId="4007"/>
    <cellStyle name="Note 12 2 7" xfId="4008"/>
    <cellStyle name="Note 12 2 7 2" xfId="4009"/>
    <cellStyle name="Note 12 2 7 2 2" xfId="4010"/>
    <cellStyle name="Note 12 2 7 3" xfId="4011"/>
    <cellStyle name="Note 12 2 8" xfId="4012"/>
    <cellStyle name="Note 12 2 8 2" xfId="4013"/>
    <cellStyle name="Note 12 2 9" xfId="4014"/>
    <cellStyle name="Note 12 2 9 2" xfId="4015"/>
    <cellStyle name="Note 12 3" xfId="4016"/>
    <cellStyle name="Note 12 3 2" xfId="4017"/>
    <cellStyle name="Note 12 3 2 2" xfId="4018"/>
    <cellStyle name="Note 12 3 2 2 2" xfId="4019"/>
    <cellStyle name="Note 12 3 2 3" xfId="4020"/>
    <cellStyle name="Note 12 3 3" xfId="4021"/>
    <cellStyle name="Note 12 3 3 2" xfId="4022"/>
    <cellStyle name="Note 12 3 3 2 2" xfId="4023"/>
    <cellStyle name="Note 12 3 3 3" xfId="4024"/>
    <cellStyle name="Note 12 3 4" xfId="4025"/>
    <cellStyle name="Note 12 3 4 2" xfId="4026"/>
    <cellStyle name="Note 12 3 5" xfId="4027"/>
    <cellStyle name="Note 12 3 5 2" xfId="4028"/>
    <cellStyle name="Note 12 3 6" xfId="4029"/>
    <cellStyle name="Note 12 3 6 2" xfId="4030"/>
    <cellStyle name="Note 12 3 7" xfId="4031"/>
    <cellStyle name="Note 12 3 7 2" xfId="4032"/>
    <cellStyle name="Note 12 3 8" xfId="4033"/>
    <cellStyle name="Note 12 4" xfId="4034"/>
    <cellStyle name="Note 12 4 10" xfId="4035"/>
    <cellStyle name="Note 12 4 10 2" xfId="4036"/>
    <cellStyle name="Note 12 4 11" xfId="4037"/>
    <cellStyle name="Note 12 4 2" xfId="4038"/>
    <cellStyle name="Note 12 4 2 2" xfId="4039"/>
    <cellStyle name="Note 12 4 2 2 2" xfId="4040"/>
    <cellStyle name="Note 12 4 2 3" xfId="4041"/>
    <cellStyle name="Note 12 4 3" xfId="4042"/>
    <cellStyle name="Note 12 4 3 2" xfId="4043"/>
    <cellStyle name="Note 12 4 4" xfId="4044"/>
    <cellStyle name="Note 12 4 4 2" xfId="4045"/>
    <cellStyle name="Note 12 4 5" xfId="4046"/>
    <cellStyle name="Note 12 4 5 2" xfId="4047"/>
    <cellStyle name="Note 12 4 6" xfId="4048"/>
    <cellStyle name="Note 12 4 6 2" xfId="4049"/>
    <cellStyle name="Note 12 4 7" xfId="4050"/>
    <cellStyle name="Note 12 4 7 2" xfId="4051"/>
    <cellStyle name="Note 12 4 8" xfId="4052"/>
    <cellStyle name="Note 12 4 8 2" xfId="4053"/>
    <cellStyle name="Note 12 4 9" xfId="4054"/>
    <cellStyle name="Note 12 4 9 2" xfId="4055"/>
    <cellStyle name="Note 12 5" xfId="4056"/>
    <cellStyle name="Note 12 5 10" xfId="4057"/>
    <cellStyle name="Note 12 5 10 2" xfId="4058"/>
    <cellStyle name="Note 12 5 11" xfId="4059"/>
    <cellStyle name="Note 12 5 2" xfId="4060"/>
    <cellStyle name="Note 12 5 2 2" xfId="4061"/>
    <cellStyle name="Note 12 5 2 2 2" xfId="4062"/>
    <cellStyle name="Note 12 5 2 3" xfId="4063"/>
    <cellStyle name="Note 12 5 3" xfId="4064"/>
    <cellStyle name="Note 12 5 3 2" xfId="4065"/>
    <cellStyle name="Note 12 5 4" xfId="4066"/>
    <cellStyle name="Note 12 5 4 2" xfId="4067"/>
    <cellStyle name="Note 12 5 5" xfId="4068"/>
    <cellStyle name="Note 12 5 5 2" xfId="4069"/>
    <cellStyle name="Note 12 5 6" xfId="4070"/>
    <cellStyle name="Note 12 5 6 2" xfId="4071"/>
    <cellStyle name="Note 12 5 7" xfId="4072"/>
    <cellStyle name="Note 12 5 7 2" xfId="4073"/>
    <cellStyle name="Note 12 5 8" xfId="4074"/>
    <cellStyle name="Note 12 5 8 2" xfId="4075"/>
    <cellStyle name="Note 12 5 9" xfId="4076"/>
    <cellStyle name="Note 12 5 9 2" xfId="4077"/>
    <cellStyle name="Note 12 6" xfId="4078"/>
    <cellStyle name="Note 12 6 10" xfId="4079"/>
    <cellStyle name="Note 12 6 10 2" xfId="4080"/>
    <cellStyle name="Note 12 6 11" xfId="4081"/>
    <cellStyle name="Note 12 6 2" xfId="4082"/>
    <cellStyle name="Note 12 6 2 2" xfId="4083"/>
    <cellStyle name="Note 12 6 2 2 2" xfId="4084"/>
    <cellStyle name="Note 12 6 2 3" xfId="4085"/>
    <cellStyle name="Note 12 6 3" xfId="4086"/>
    <cellStyle name="Note 12 6 3 2" xfId="4087"/>
    <cellStyle name="Note 12 6 4" xfId="4088"/>
    <cellStyle name="Note 12 6 4 2" xfId="4089"/>
    <cellStyle name="Note 12 6 5" xfId="4090"/>
    <cellStyle name="Note 12 6 5 2" xfId="4091"/>
    <cellStyle name="Note 12 6 6" xfId="4092"/>
    <cellStyle name="Note 12 6 6 2" xfId="4093"/>
    <cellStyle name="Note 12 6 7" xfId="4094"/>
    <cellStyle name="Note 12 6 7 2" xfId="4095"/>
    <cellStyle name="Note 12 6 8" xfId="4096"/>
    <cellStyle name="Note 12 6 8 2" xfId="4097"/>
    <cellStyle name="Note 12 6 9" xfId="4098"/>
    <cellStyle name="Note 12 6 9 2" xfId="4099"/>
    <cellStyle name="Note 12 7" xfId="4100"/>
    <cellStyle name="Note 12 7 10" xfId="4101"/>
    <cellStyle name="Note 12 7 10 2" xfId="4102"/>
    <cellStyle name="Note 12 7 11" xfId="4103"/>
    <cellStyle name="Note 12 7 2" xfId="4104"/>
    <cellStyle name="Note 12 7 2 2" xfId="4105"/>
    <cellStyle name="Note 12 7 2 2 2" xfId="4106"/>
    <cellStyle name="Note 12 7 2 3" xfId="4107"/>
    <cellStyle name="Note 12 7 3" xfId="4108"/>
    <cellStyle name="Note 12 7 3 2" xfId="4109"/>
    <cellStyle name="Note 12 7 4" xfId="4110"/>
    <cellStyle name="Note 12 7 4 2" xfId="4111"/>
    <cellStyle name="Note 12 7 5" xfId="4112"/>
    <cellStyle name="Note 12 7 5 2" xfId="4113"/>
    <cellStyle name="Note 12 7 6" xfId="4114"/>
    <cellStyle name="Note 12 7 6 2" xfId="4115"/>
    <cellStyle name="Note 12 7 7" xfId="4116"/>
    <cellStyle name="Note 12 7 7 2" xfId="4117"/>
    <cellStyle name="Note 12 7 8" xfId="4118"/>
    <cellStyle name="Note 12 7 8 2" xfId="4119"/>
    <cellStyle name="Note 12 7 9" xfId="4120"/>
    <cellStyle name="Note 12 7 9 2" xfId="4121"/>
    <cellStyle name="Note 12 8" xfId="4122"/>
    <cellStyle name="Note 12 8 2" xfId="4123"/>
    <cellStyle name="Note 12 8 2 2" xfId="4124"/>
    <cellStyle name="Note 12 8 3" xfId="4125"/>
    <cellStyle name="Note 12 9" xfId="4126"/>
    <cellStyle name="Note 12 9 2" xfId="4127"/>
    <cellStyle name="Note 12_7 - Cap Add WS" xfId="606"/>
    <cellStyle name="Note 13" xfId="607"/>
    <cellStyle name="Note 13 10" xfId="4128"/>
    <cellStyle name="Note 13 10 2" xfId="4129"/>
    <cellStyle name="Note 13 11" xfId="4130"/>
    <cellStyle name="Note 13 11 2" xfId="4131"/>
    <cellStyle name="Note 13 12" xfId="4132"/>
    <cellStyle name="Note 13 12 2" xfId="4133"/>
    <cellStyle name="Note 13 13" xfId="4134"/>
    <cellStyle name="Note 13 13 2" xfId="4135"/>
    <cellStyle name="Note 13 14" xfId="4136"/>
    <cellStyle name="Note 13 2" xfId="608"/>
    <cellStyle name="Note 13 2 10" xfId="4137"/>
    <cellStyle name="Note 13 2 10 2" xfId="4138"/>
    <cellStyle name="Note 13 2 11" xfId="4139"/>
    <cellStyle name="Note 13 2 11 2" xfId="4140"/>
    <cellStyle name="Note 13 2 12" xfId="4141"/>
    <cellStyle name="Note 13 2 12 2" xfId="4142"/>
    <cellStyle name="Note 13 2 13" xfId="4143"/>
    <cellStyle name="Note 13 2 2" xfId="4144"/>
    <cellStyle name="Note 13 2 2 2" xfId="4145"/>
    <cellStyle name="Note 13 2 2 2 2" xfId="4146"/>
    <cellStyle name="Note 13 2 2 2 2 2" xfId="4147"/>
    <cellStyle name="Note 13 2 2 2 3" xfId="4148"/>
    <cellStyle name="Note 13 2 2 3" xfId="4149"/>
    <cellStyle name="Note 13 2 2 3 2" xfId="4150"/>
    <cellStyle name="Note 13 2 2 3 2 2" xfId="4151"/>
    <cellStyle name="Note 13 2 2 3 3" xfId="4152"/>
    <cellStyle name="Note 13 2 2 4" xfId="4153"/>
    <cellStyle name="Note 13 2 2 4 2" xfId="4154"/>
    <cellStyle name="Note 13 2 2 5" xfId="4155"/>
    <cellStyle name="Note 13 2 2 5 2" xfId="4156"/>
    <cellStyle name="Note 13 2 2 6" xfId="4157"/>
    <cellStyle name="Note 13 2 2 6 2" xfId="4158"/>
    <cellStyle name="Note 13 2 2 7" xfId="4159"/>
    <cellStyle name="Note 13 2 2 7 2" xfId="4160"/>
    <cellStyle name="Note 13 2 2 8" xfId="4161"/>
    <cellStyle name="Note 13 2 3" xfId="4162"/>
    <cellStyle name="Note 13 2 3 10" xfId="4163"/>
    <cellStyle name="Note 13 2 3 10 2" xfId="4164"/>
    <cellStyle name="Note 13 2 3 11" xfId="4165"/>
    <cellStyle name="Note 13 2 3 2" xfId="4166"/>
    <cellStyle name="Note 13 2 3 2 2" xfId="4167"/>
    <cellStyle name="Note 13 2 3 2 2 2" xfId="4168"/>
    <cellStyle name="Note 13 2 3 2 3" xfId="4169"/>
    <cellStyle name="Note 13 2 3 3" xfId="4170"/>
    <cellStyle name="Note 13 2 3 3 2" xfId="4171"/>
    <cellStyle name="Note 13 2 3 4" xfId="4172"/>
    <cellStyle name="Note 13 2 3 4 2" xfId="4173"/>
    <cellStyle name="Note 13 2 3 5" xfId="4174"/>
    <cellStyle name="Note 13 2 3 5 2" xfId="4175"/>
    <cellStyle name="Note 13 2 3 6" xfId="4176"/>
    <cellStyle name="Note 13 2 3 6 2" xfId="4177"/>
    <cellStyle name="Note 13 2 3 7" xfId="4178"/>
    <cellStyle name="Note 13 2 3 7 2" xfId="4179"/>
    <cellStyle name="Note 13 2 3 8" xfId="4180"/>
    <cellStyle name="Note 13 2 3 8 2" xfId="4181"/>
    <cellStyle name="Note 13 2 3 9" xfId="4182"/>
    <cellStyle name="Note 13 2 3 9 2" xfId="4183"/>
    <cellStyle name="Note 13 2 4" xfId="4184"/>
    <cellStyle name="Note 13 2 4 10" xfId="4185"/>
    <cellStyle name="Note 13 2 4 10 2" xfId="4186"/>
    <cellStyle name="Note 13 2 4 11" xfId="4187"/>
    <cellStyle name="Note 13 2 4 2" xfId="4188"/>
    <cellStyle name="Note 13 2 4 2 2" xfId="4189"/>
    <cellStyle name="Note 13 2 4 2 2 2" xfId="4190"/>
    <cellStyle name="Note 13 2 4 2 3" xfId="4191"/>
    <cellStyle name="Note 13 2 4 3" xfId="4192"/>
    <cellStyle name="Note 13 2 4 3 2" xfId="4193"/>
    <cellStyle name="Note 13 2 4 4" xfId="4194"/>
    <cellStyle name="Note 13 2 4 4 2" xfId="4195"/>
    <cellStyle name="Note 13 2 4 5" xfId="4196"/>
    <cellStyle name="Note 13 2 4 5 2" xfId="4197"/>
    <cellStyle name="Note 13 2 4 6" xfId="4198"/>
    <cellStyle name="Note 13 2 4 6 2" xfId="4199"/>
    <cellStyle name="Note 13 2 4 7" xfId="4200"/>
    <cellStyle name="Note 13 2 4 7 2" xfId="4201"/>
    <cellStyle name="Note 13 2 4 8" xfId="4202"/>
    <cellStyle name="Note 13 2 4 8 2" xfId="4203"/>
    <cellStyle name="Note 13 2 4 9" xfId="4204"/>
    <cellStyle name="Note 13 2 4 9 2" xfId="4205"/>
    <cellStyle name="Note 13 2 5" xfId="4206"/>
    <cellStyle name="Note 13 2 5 10" xfId="4207"/>
    <cellStyle name="Note 13 2 5 10 2" xfId="4208"/>
    <cellStyle name="Note 13 2 5 11" xfId="4209"/>
    <cellStyle name="Note 13 2 5 2" xfId="4210"/>
    <cellStyle name="Note 13 2 5 2 2" xfId="4211"/>
    <cellStyle name="Note 13 2 5 2 2 2" xfId="4212"/>
    <cellStyle name="Note 13 2 5 2 3" xfId="4213"/>
    <cellStyle name="Note 13 2 5 3" xfId="4214"/>
    <cellStyle name="Note 13 2 5 3 2" xfId="4215"/>
    <cellStyle name="Note 13 2 5 4" xfId="4216"/>
    <cellStyle name="Note 13 2 5 4 2" xfId="4217"/>
    <cellStyle name="Note 13 2 5 5" xfId="4218"/>
    <cellStyle name="Note 13 2 5 5 2" xfId="4219"/>
    <cellStyle name="Note 13 2 5 6" xfId="4220"/>
    <cellStyle name="Note 13 2 5 6 2" xfId="4221"/>
    <cellStyle name="Note 13 2 5 7" xfId="4222"/>
    <cellStyle name="Note 13 2 5 7 2" xfId="4223"/>
    <cellStyle name="Note 13 2 5 8" xfId="4224"/>
    <cellStyle name="Note 13 2 5 8 2" xfId="4225"/>
    <cellStyle name="Note 13 2 5 9" xfId="4226"/>
    <cellStyle name="Note 13 2 5 9 2" xfId="4227"/>
    <cellStyle name="Note 13 2 6" xfId="4228"/>
    <cellStyle name="Note 13 2 6 10" xfId="4229"/>
    <cellStyle name="Note 13 2 6 10 2" xfId="4230"/>
    <cellStyle name="Note 13 2 6 11" xfId="4231"/>
    <cellStyle name="Note 13 2 6 2" xfId="4232"/>
    <cellStyle name="Note 13 2 6 2 2" xfId="4233"/>
    <cellStyle name="Note 13 2 6 2 2 2" xfId="4234"/>
    <cellStyle name="Note 13 2 6 2 3" xfId="4235"/>
    <cellStyle name="Note 13 2 6 3" xfId="4236"/>
    <cellStyle name="Note 13 2 6 3 2" xfId="4237"/>
    <cellStyle name="Note 13 2 6 4" xfId="4238"/>
    <cellStyle name="Note 13 2 6 4 2" xfId="4239"/>
    <cellStyle name="Note 13 2 6 5" xfId="4240"/>
    <cellStyle name="Note 13 2 6 5 2" xfId="4241"/>
    <cellStyle name="Note 13 2 6 6" xfId="4242"/>
    <cellStyle name="Note 13 2 6 6 2" xfId="4243"/>
    <cellStyle name="Note 13 2 6 7" xfId="4244"/>
    <cellStyle name="Note 13 2 6 7 2" xfId="4245"/>
    <cellStyle name="Note 13 2 6 8" xfId="4246"/>
    <cellStyle name="Note 13 2 6 8 2" xfId="4247"/>
    <cellStyle name="Note 13 2 6 9" xfId="4248"/>
    <cellStyle name="Note 13 2 6 9 2" xfId="4249"/>
    <cellStyle name="Note 13 2 7" xfId="4250"/>
    <cellStyle name="Note 13 2 7 2" xfId="4251"/>
    <cellStyle name="Note 13 2 7 2 2" xfId="4252"/>
    <cellStyle name="Note 13 2 7 3" xfId="4253"/>
    <cellStyle name="Note 13 2 8" xfId="4254"/>
    <cellStyle name="Note 13 2 8 2" xfId="4255"/>
    <cellStyle name="Note 13 2 9" xfId="4256"/>
    <cellStyle name="Note 13 2 9 2" xfId="4257"/>
    <cellStyle name="Note 13 3" xfId="4258"/>
    <cellStyle name="Note 13 3 2" xfId="4259"/>
    <cellStyle name="Note 13 3 2 2" xfId="4260"/>
    <cellStyle name="Note 13 3 2 2 2" xfId="4261"/>
    <cellStyle name="Note 13 3 2 3" xfId="4262"/>
    <cellStyle name="Note 13 3 3" xfId="4263"/>
    <cellStyle name="Note 13 3 3 2" xfId="4264"/>
    <cellStyle name="Note 13 3 3 2 2" xfId="4265"/>
    <cellStyle name="Note 13 3 3 3" xfId="4266"/>
    <cellStyle name="Note 13 3 4" xfId="4267"/>
    <cellStyle name="Note 13 3 4 2" xfId="4268"/>
    <cellStyle name="Note 13 3 5" xfId="4269"/>
    <cellStyle name="Note 13 3 5 2" xfId="4270"/>
    <cellStyle name="Note 13 3 6" xfId="4271"/>
    <cellStyle name="Note 13 3 6 2" xfId="4272"/>
    <cellStyle name="Note 13 3 7" xfId="4273"/>
    <cellStyle name="Note 13 3 7 2" xfId="4274"/>
    <cellStyle name="Note 13 3 8" xfId="4275"/>
    <cellStyle name="Note 13 4" xfId="4276"/>
    <cellStyle name="Note 13 4 10" xfId="4277"/>
    <cellStyle name="Note 13 4 10 2" xfId="4278"/>
    <cellStyle name="Note 13 4 11" xfId="4279"/>
    <cellStyle name="Note 13 4 2" xfId="4280"/>
    <cellStyle name="Note 13 4 2 2" xfId="4281"/>
    <cellStyle name="Note 13 4 2 2 2" xfId="4282"/>
    <cellStyle name="Note 13 4 2 3" xfId="4283"/>
    <cellStyle name="Note 13 4 3" xfId="4284"/>
    <cellStyle name="Note 13 4 3 2" xfId="4285"/>
    <cellStyle name="Note 13 4 4" xfId="4286"/>
    <cellStyle name="Note 13 4 4 2" xfId="4287"/>
    <cellStyle name="Note 13 4 5" xfId="4288"/>
    <cellStyle name="Note 13 4 5 2" xfId="4289"/>
    <cellStyle name="Note 13 4 6" xfId="4290"/>
    <cellStyle name="Note 13 4 6 2" xfId="4291"/>
    <cellStyle name="Note 13 4 7" xfId="4292"/>
    <cellStyle name="Note 13 4 7 2" xfId="4293"/>
    <cellStyle name="Note 13 4 8" xfId="4294"/>
    <cellStyle name="Note 13 4 8 2" xfId="4295"/>
    <cellStyle name="Note 13 4 9" xfId="4296"/>
    <cellStyle name="Note 13 4 9 2" xfId="4297"/>
    <cellStyle name="Note 13 5" xfId="4298"/>
    <cellStyle name="Note 13 5 10" xfId="4299"/>
    <cellStyle name="Note 13 5 10 2" xfId="4300"/>
    <cellStyle name="Note 13 5 11" xfId="4301"/>
    <cellStyle name="Note 13 5 2" xfId="4302"/>
    <cellStyle name="Note 13 5 2 2" xfId="4303"/>
    <cellStyle name="Note 13 5 2 2 2" xfId="4304"/>
    <cellStyle name="Note 13 5 2 3" xfId="4305"/>
    <cellStyle name="Note 13 5 3" xfId="4306"/>
    <cellStyle name="Note 13 5 3 2" xfId="4307"/>
    <cellStyle name="Note 13 5 4" xfId="4308"/>
    <cellStyle name="Note 13 5 4 2" xfId="4309"/>
    <cellStyle name="Note 13 5 5" xfId="4310"/>
    <cellStyle name="Note 13 5 5 2" xfId="4311"/>
    <cellStyle name="Note 13 5 6" xfId="4312"/>
    <cellStyle name="Note 13 5 6 2" xfId="4313"/>
    <cellStyle name="Note 13 5 7" xfId="4314"/>
    <cellStyle name="Note 13 5 7 2" xfId="4315"/>
    <cellStyle name="Note 13 5 8" xfId="4316"/>
    <cellStyle name="Note 13 5 8 2" xfId="4317"/>
    <cellStyle name="Note 13 5 9" xfId="4318"/>
    <cellStyle name="Note 13 5 9 2" xfId="4319"/>
    <cellStyle name="Note 13 6" xfId="4320"/>
    <cellStyle name="Note 13 6 10" xfId="4321"/>
    <cellStyle name="Note 13 6 10 2" xfId="4322"/>
    <cellStyle name="Note 13 6 11" xfId="4323"/>
    <cellStyle name="Note 13 6 2" xfId="4324"/>
    <cellStyle name="Note 13 6 2 2" xfId="4325"/>
    <cellStyle name="Note 13 6 2 2 2" xfId="4326"/>
    <cellStyle name="Note 13 6 2 3" xfId="4327"/>
    <cellStyle name="Note 13 6 3" xfId="4328"/>
    <cellStyle name="Note 13 6 3 2" xfId="4329"/>
    <cellStyle name="Note 13 6 4" xfId="4330"/>
    <cellStyle name="Note 13 6 4 2" xfId="4331"/>
    <cellStyle name="Note 13 6 5" xfId="4332"/>
    <cellStyle name="Note 13 6 5 2" xfId="4333"/>
    <cellStyle name="Note 13 6 6" xfId="4334"/>
    <cellStyle name="Note 13 6 6 2" xfId="4335"/>
    <cellStyle name="Note 13 6 7" xfId="4336"/>
    <cellStyle name="Note 13 6 7 2" xfId="4337"/>
    <cellStyle name="Note 13 6 8" xfId="4338"/>
    <cellStyle name="Note 13 6 8 2" xfId="4339"/>
    <cellStyle name="Note 13 6 9" xfId="4340"/>
    <cellStyle name="Note 13 6 9 2" xfId="4341"/>
    <cellStyle name="Note 13 7" xfId="4342"/>
    <cellStyle name="Note 13 7 10" xfId="4343"/>
    <cellStyle name="Note 13 7 10 2" xfId="4344"/>
    <cellStyle name="Note 13 7 11" xfId="4345"/>
    <cellStyle name="Note 13 7 2" xfId="4346"/>
    <cellStyle name="Note 13 7 2 2" xfId="4347"/>
    <cellStyle name="Note 13 7 2 2 2" xfId="4348"/>
    <cellStyle name="Note 13 7 2 3" xfId="4349"/>
    <cellStyle name="Note 13 7 3" xfId="4350"/>
    <cellStyle name="Note 13 7 3 2" xfId="4351"/>
    <cellStyle name="Note 13 7 4" xfId="4352"/>
    <cellStyle name="Note 13 7 4 2" xfId="4353"/>
    <cellStyle name="Note 13 7 5" xfId="4354"/>
    <cellStyle name="Note 13 7 5 2" xfId="4355"/>
    <cellStyle name="Note 13 7 6" xfId="4356"/>
    <cellStyle name="Note 13 7 6 2" xfId="4357"/>
    <cellStyle name="Note 13 7 7" xfId="4358"/>
    <cellStyle name="Note 13 7 7 2" xfId="4359"/>
    <cellStyle name="Note 13 7 8" xfId="4360"/>
    <cellStyle name="Note 13 7 8 2" xfId="4361"/>
    <cellStyle name="Note 13 7 9" xfId="4362"/>
    <cellStyle name="Note 13 7 9 2" xfId="4363"/>
    <cellStyle name="Note 13 8" xfId="4364"/>
    <cellStyle name="Note 13 8 2" xfId="4365"/>
    <cellStyle name="Note 13 8 2 2" xfId="4366"/>
    <cellStyle name="Note 13 8 3" xfId="4367"/>
    <cellStyle name="Note 13 9" xfId="4368"/>
    <cellStyle name="Note 13 9 2" xfId="4369"/>
    <cellStyle name="Note 13_7 - Cap Add WS" xfId="609"/>
    <cellStyle name="Note 14" xfId="610"/>
    <cellStyle name="Note 14 10" xfId="4370"/>
    <cellStyle name="Note 14 10 2" xfId="4371"/>
    <cellStyle name="Note 14 11" xfId="4372"/>
    <cellStyle name="Note 14 11 2" xfId="4373"/>
    <cellStyle name="Note 14 12" xfId="4374"/>
    <cellStyle name="Note 14 12 2" xfId="4375"/>
    <cellStyle name="Note 14 13" xfId="4376"/>
    <cellStyle name="Note 14 13 2" xfId="4377"/>
    <cellStyle name="Note 14 14" xfId="4378"/>
    <cellStyle name="Note 14 2" xfId="611"/>
    <cellStyle name="Note 14 2 10" xfId="4379"/>
    <cellStyle name="Note 14 2 10 2" xfId="4380"/>
    <cellStyle name="Note 14 2 11" xfId="4381"/>
    <cellStyle name="Note 14 2 11 2" xfId="4382"/>
    <cellStyle name="Note 14 2 12" xfId="4383"/>
    <cellStyle name="Note 14 2 12 2" xfId="4384"/>
    <cellStyle name="Note 14 2 13" xfId="4385"/>
    <cellStyle name="Note 14 2 2" xfId="4386"/>
    <cellStyle name="Note 14 2 2 2" xfId="4387"/>
    <cellStyle name="Note 14 2 2 2 2" xfId="4388"/>
    <cellStyle name="Note 14 2 2 2 2 2" xfId="4389"/>
    <cellStyle name="Note 14 2 2 2 3" xfId="4390"/>
    <cellStyle name="Note 14 2 2 3" xfId="4391"/>
    <cellStyle name="Note 14 2 2 3 2" xfId="4392"/>
    <cellStyle name="Note 14 2 2 3 2 2" xfId="4393"/>
    <cellStyle name="Note 14 2 2 3 3" xfId="4394"/>
    <cellStyle name="Note 14 2 2 4" xfId="4395"/>
    <cellStyle name="Note 14 2 2 4 2" xfId="4396"/>
    <cellStyle name="Note 14 2 2 5" xfId="4397"/>
    <cellStyle name="Note 14 2 2 5 2" xfId="4398"/>
    <cellStyle name="Note 14 2 2 6" xfId="4399"/>
    <cellStyle name="Note 14 2 2 6 2" xfId="4400"/>
    <cellStyle name="Note 14 2 2 7" xfId="4401"/>
    <cellStyle name="Note 14 2 2 7 2" xfId="4402"/>
    <cellStyle name="Note 14 2 2 8" xfId="4403"/>
    <cellStyle name="Note 14 2 3" xfId="4404"/>
    <cellStyle name="Note 14 2 3 10" xfId="4405"/>
    <cellStyle name="Note 14 2 3 10 2" xfId="4406"/>
    <cellStyle name="Note 14 2 3 11" xfId="4407"/>
    <cellStyle name="Note 14 2 3 2" xfId="4408"/>
    <cellStyle name="Note 14 2 3 2 2" xfId="4409"/>
    <cellStyle name="Note 14 2 3 2 2 2" xfId="4410"/>
    <cellStyle name="Note 14 2 3 2 3" xfId="4411"/>
    <cellStyle name="Note 14 2 3 3" xfId="4412"/>
    <cellStyle name="Note 14 2 3 3 2" xfId="4413"/>
    <cellStyle name="Note 14 2 3 4" xfId="4414"/>
    <cellStyle name="Note 14 2 3 4 2" xfId="4415"/>
    <cellStyle name="Note 14 2 3 5" xfId="4416"/>
    <cellStyle name="Note 14 2 3 5 2" xfId="4417"/>
    <cellStyle name="Note 14 2 3 6" xfId="4418"/>
    <cellStyle name="Note 14 2 3 6 2" xfId="4419"/>
    <cellStyle name="Note 14 2 3 7" xfId="4420"/>
    <cellStyle name="Note 14 2 3 7 2" xfId="4421"/>
    <cellStyle name="Note 14 2 3 8" xfId="4422"/>
    <cellStyle name="Note 14 2 3 8 2" xfId="4423"/>
    <cellStyle name="Note 14 2 3 9" xfId="4424"/>
    <cellStyle name="Note 14 2 3 9 2" xfId="4425"/>
    <cellStyle name="Note 14 2 4" xfId="4426"/>
    <cellStyle name="Note 14 2 4 10" xfId="4427"/>
    <cellStyle name="Note 14 2 4 10 2" xfId="4428"/>
    <cellStyle name="Note 14 2 4 11" xfId="4429"/>
    <cellStyle name="Note 14 2 4 2" xfId="4430"/>
    <cellStyle name="Note 14 2 4 2 2" xfId="4431"/>
    <cellStyle name="Note 14 2 4 2 2 2" xfId="4432"/>
    <cellStyle name="Note 14 2 4 2 3" xfId="4433"/>
    <cellStyle name="Note 14 2 4 3" xfId="4434"/>
    <cellStyle name="Note 14 2 4 3 2" xfId="4435"/>
    <cellStyle name="Note 14 2 4 4" xfId="4436"/>
    <cellStyle name="Note 14 2 4 4 2" xfId="4437"/>
    <cellStyle name="Note 14 2 4 5" xfId="4438"/>
    <cellStyle name="Note 14 2 4 5 2" xfId="4439"/>
    <cellStyle name="Note 14 2 4 6" xfId="4440"/>
    <cellStyle name="Note 14 2 4 6 2" xfId="4441"/>
    <cellStyle name="Note 14 2 4 7" xfId="4442"/>
    <cellStyle name="Note 14 2 4 7 2" xfId="4443"/>
    <cellStyle name="Note 14 2 4 8" xfId="4444"/>
    <cellStyle name="Note 14 2 4 8 2" xfId="4445"/>
    <cellStyle name="Note 14 2 4 9" xfId="4446"/>
    <cellStyle name="Note 14 2 4 9 2" xfId="4447"/>
    <cellStyle name="Note 14 2 5" xfId="4448"/>
    <cellStyle name="Note 14 2 5 10" xfId="4449"/>
    <cellStyle name="Note 14 2 5 10 2" xfId="4450"/>
    <cellStyle name="Note 14 2 5 11" xfId="4451"/>
    <cellStyle name="Note 14 2 5 2" xfId="4452"/>
    <cellStyle name="Note 14 2 5 2 2" xfId="4453"/>
    <cellStyle name="Note 14 2 5 2 2 2" xfId="4454"/>
    <cellStyle name="Note 14 2 5 2 3" xfId="4455"/>
    <cellStyle name="Note 14 2 5 3" xfId="4456"/>
    <cellStyle name="Note 14 2 5 3 2" xfId="4457"/>
    <cellStyle name="Note 14 2 5 4" xfId="4458"/>
    <cellStyle name="Note 14 2 5 4 2" xfId="4459"/>
    <cellStyle name="Note 14 2 5 5" xfId="4460"/>
    <cellStyle name="Note 14 2 5 5 2" xfId="4461"/>
    <cellStyle name="Note 14 2 5 6" xfId="4462"/>
    <cellStyle name="Note 14 2 5 6 2" xfId="4463"/>
    <cellStyle name="Note 14 2 5 7" xfId="4464"/>
    <cellStyle name="Note 14 2 5 7 2" xfId="4465"/>
    <cellStyle name="Note 14 2 5 8" xfId="4466"/>
    <cellStyle name="Note 14 2 5 8 2" xfId="4467"/>
    <cellStyle name="Note 14 2 5 9" xfId="4468"/>
    <cellStyle name="Note 14 2 5 9 2" xfId="4469"/>
    <cellStyle name="Note 14 2 6" xfId="4470"/>
    <cellStyle name="Note 14 2 6 10" xfId="4471"/>
    <cellStyle name="Note 14 2 6 10 2" xfId="4472"/>
    <cellStyle name="Note 14 2 6 11" xfId="4473"/>
    <cellStyle name="Note 14 2 6 2" xfId="4474"/>
    <cellStyle name="Note 14 2 6 2 2" xfId="4475"/>
    <cellStyle name="Note 14 2 6 2 2 2" xfId="4476"/>
    <cellStyle name="Note 14 2 6 2 3" xfId="4477"/>
    <cellStyle name="Note 14 2 6 3" xfId="4478"/>
    <cellStyle name="Note 14 2 6 3 2" xfId="4479"/>
    <cellStyle name="Note 14 2 6 4" xfId="4480"/>
    <cellStyle name="Note 14 2 6 4 2" xfId="4481"/>
    <cellStyle name="Note 14 2 6 5" xfId="4482"/>
    <cellStyle name="Note 14 2 6 5 2" xfId="4483"/>
    <cellStyle name="Note 14 2 6 6" xfId="4484"/>
    <cellStyle name="Note 14 2 6 6 2" xfId="4485"/>
    <cellStyle name="Note 14 2 6 7" xfId="4486"/>
    <cellStyle name="Note 14 2 6 7 2" xfId="4487"/>
    <cellStyle name="Note 14 2 6 8" xfId="4488"/>
    <cellStyle name="Note 14 2 6 8 2" xfId="4489"/>
    <cellStyle name="Note 14 2 6 9" xfId="4490"/>
    <cellStyle name="Note 14 2 6 9 2" xfId="4491"/>
    <cellStyle name="Note 14 2 7" xfId="4492"/>
    <cellStyle name="Note 14 2 7 2" xfId="4493"/>
    <cellStyle name="Note 14 2 7 2 2" xfId="4494"/>
    <cellStyle name="Note 14 2 7 3" xfId="4495"/>
    <cellStyle name="Note 14 2 8" xfId="4496"/>
    <cellStyle name="Note 14 2 8 2" xfId="4497"/>
    <cellStyle name="Note 14 2 9" xfId="4498"/>
    <cellStyle name="Note 14 2 9 2" xfId="4499"/>
    <cellStyle name="Note 14 3" xfId="4500"/>
    <cellStyle name="Note 14 3 2" xfId="4501"/>
    <cellStyle name="Note 14 3 2 2" xfId="4502"/>
    <cellStyle name="Note 14 3 2 2 2" xfId="4503"/>
    <cellStyle name="Note 14 3 2 3" xfId="4504"/>
    <cellStyle name="Note 14 3 3" xfId="4505"/>
    <cellStyle name="Note 14 3 3 2" xfId="4506"/>
    <cellStyle name="Note 14 3 3 2 2" xfId="4507"/>
    <cellStyle name="Note 14 3 3 3" xfId="4508"/>
    <cellStyle name="Note 14 3 4" xfId="4509"/>
    <cellStyle name="Note 14 3 4 2" xfId="4510"/>
    <cellStyle name="Note 14 3 5" xfId="4511"/>
    <cellStyle name="Note 14 3 5 2" xfId="4512"/>
    <cellStyle name="Note 14 3 6" xfId="4513"/>
    <cellStyle name="Note 14 3 6 2" xfId="4514"/>
    <cellStyle name="Note 14 3 7" xfId="4515"/>
    <cellStyle name="Note 14 3 7 2" xfId="4516"/>
    <cellStyle name="Note 14 3 8" xfId="4517"/>
    <cellStyle name="Note 14 4" xfId="4518"/>
    <cellStyle name="Note 14 4 10" xfId="4519"/>
    <cellStyle name="Note 14 4 10 2" xfId="4520"/>
    <cellStyle name="Note 14 4 11" xfId="4521"/>
    <cellStyle name="Note 14 4 2" xfId="4522"/>
    <cellStyle name="Note 14 4 2 2" xfId="4523"/>
    <cellStyle name="Note 14 4 2 2 2" xfId="4524"/>
    <cellStyle name="Note 14 4 2 3" xfId="4525"/>
    <cellStyle name="Note 14 4 3" xfId="4526"/>
    <cellStyle name="Note 14 4 3 2" xfId="4527"/>
    <cellStyle name="Note 14 4 4" xfId="4528"/>
    <cellStyle name="Note 14 4 4 2" xfId="4529"/>
    <cellStyle name="Note 14 4 5" xfId="4530"/>
    <cellStyle name="Note 14 4 5 2" xfId="4531"/>
    <cellStyle name="Note 14 4 6" xfId="4532"/>
    <cellStyle name="Note 14 4 6 2" xfId="4533"/>
    <cellStyle name="Note 14 4 7" xfId="4534"/>
    <cellStyle name="Note 14 4 7 2" xfId="4535"/>
    <cellStyle name="Note 14 4 8" xfId="4536"/>
    <cellStyle name="Note 14 4 8 2" xfId="4537"/>
    <cellStyle name="Note 14 4 9" xfId="4538"/>
    <cellStyle name="Note 14 4 9 2" xfId="4539"/>
    <cellStyle name="Note 14 5" xfId="4540"/>
    <cellStyle name="Note 14 5 10" xfId="4541"/>
    <cellStyle name="Note 14 5 10 2" xfId="4542"/>
    <cellStyle name="Note 14 5 11" xfId="4543"/>
    <cellStyle name="Note 14 5 2" xfId="4544"/>
    <cellStyle name="Note 14 5 2 2" xfId="4545"/>
    <cellStyle name="Note 14 5 2 2 2" xfId="4546"/>
    <cellStyle name="Note 14 5 2 3" xfId="4547"/>
    <cellStyle name="Note 14 5 3" xfId="4548"/>
    <cellStyle name="Note 14 5 3 2" xfId="4549"/>
    <cellStyle name="Note 14 5 4" xfId="4550"/>
    <cellStyle name="Note 14 5 4 2" xfId="4551"/>
    <cellStyle name="Note 14 5 5" xfId="4552"/>
    <cellStyle name="Note 14 5 5 2" xfId="4553"/>
    <cellStyle name="Note 14 5 6" xfId="4554"/>
    <cellStyle name="Note 14 5 6 2" xfId="4555"/>
    <cellStyle name="Note 14 5 7" xfId="4556"/>
    <cellStyle name="Note 14 5 7 2" xfId="4557"/>
    <cellStyle name="Note 14 5 8" xfId="4558"/>
    <cellStyle name="Note 14 5 8 2" xfId="4559"/>
    <cellStyle name="Note 14 5 9" xfId="4560"/>
    <cellStyle name="Note 14 5 9 2" xfId="4561"/>
    <cellStyle name="Note 14 6" xfId="4562"/>
    <cellStyle name="Note 14 6 10" xfId="4563"/>
    <cellStyle name="Note 14 6 10 2" xfId="4564"/>
    <cellStyle name="Note 14 6 11" xfId="4565"/>
    <cellStyle name="Note 14 6 2" xfId="4566"/>
    <cellStyle name="Note 14 6 2 2" xfId="4567"/>
    <cellStyle name="Note 14 6 2 2 2" xfId="4568"/>
    <cellStyle name="Note 14 6 2 3" xfId="4569"/>
    <cellStyle name="Note 14 6 3" xfId="4570"/>
    <cellStyle name="Note 14 6 3 2" xfId="4571"/>
    <cellStyle name="Note 14 6 4" xfId="4572"/>
    <cellStyle name="Note 14 6 4 2" xfId="4573"/>
    <cellStyle name="Note 14 6 5" xfId="4574"/>
    <cellStyle name="Note 14 6 5 2" xfId="4575"/>
    <cellStyle name="Note 14 6 6" xfId="4576"/>
    <cellStyle name="Note 14 6 6 2" xfId="4577"/>
    <cellStyle name="Note 14 6 7" xfId="4578"/>
    <cellStyle name="Note 14 6 7 2" xfId="4579"/>
    <cellStyle name="Note 14 6 8" xfId="4580"/>
    <cellStyle name="Note 14 6 8 2" xfId="4581"/>
    <cellStyle name="Note 14 6 9" xfId="4582"/>
    <cellStyle name="Note 14 6 9 2" xfId="4583"/>
    <cellStyle name="Note 14 7" xfId="4584"/>
    <cellStyle name="Note 14 7 10" xfId="4585"/>
    <cellStyle name="Note 14 7 10 2" xfId="4586"/>
    <cellStyle name="Note 14 7 11" xfId="4587"/>
    <cellStyle name="Note 14 7 2" xfId="4588"/>
    <cellStyle name="Note 14 7 2 2" xfId="4589"/>
    <cellStyle name="Note 14 7 2 2 2" xfId="4590"/>
    <cellStyle name="Note 14 7 2 3" xfId="4591"/>
    <cellStyle name="Note 14 7 3" xfId="4592"/>
    <cellStyle name="Note 14 7 3 2" xfId="4593"/>
    <cellStyle name="Note 14 7 4" xfId="4594"/>
    <cellStyle name="Note 14 7 4 2" xfId="4595"/>
    <cellStyle name="Note 14 7 5" xfId="4596"/>
    <cellStyle name="Note 14 7 5 2" xfId="4597"/>
    <cellStyle name="Note 14 7 6" xfId="4598"/>
    <cellStyle name="Note 14 7 6 2" xfId="4599"/>
    <cellStyle name="Note 14 7 7" xfId="4600"/>
    <cellStyle name="Note 14 7 7 2" xfId="4601"/>
    <cellStyle name="Note 14 7 8" xfId="4602"/>
    <cellStyle name="Note 14 7 8 2" xfId="4603"/>
    <cellStyle name="Note 14 7 9" xfId="4604"/>
    <cellStyle name="Note 14 7 9 2" xfId="4605"/>
    <cellStyle name="Note 14 8" xfId="4606"/>
    <cellStyle name="Note 14 8 2" xfId="4607"/>
    <cellStyle name="Note 14 8 2 2" xfId="4608"/>
    <cellStyle name="Note 14 8 3" xfId="4609"/>
    <cellStyle name="Note 14 9" xfId="4610"/>
    <cellStyle name="Note 14 9 2" xfId="4611"/>
    <cellStyle name="Note 14_7 - Cap Add WS" xfId="612"/>
    <cellStyle name="Note 15" xfId="613"/>
    <cellStyle name="Note 15 10" xfId="4612"/>
    <cellStyle name="Note 15 10 2" xfId="4613"/>
    <cellStyle name="Note 15 11" xfId="4614"/>
    <cellStyle name="Note 15 11 2" xfId="4615"/>
    <cellStyle name="Note 15 12" xfId="4616"/>
    <cellStyle name="Note 15 12 2" xfId="4617"/>
    <cellStyle name="Note 15 13" xfId="4618"/>
    <cellStyle name="Note 15 13 2" xfId="4619"/>
    <cellStyle name="Note 15 14" xfId="4620"/>
    <cellStyle name="Note 15 2" xfId="614"/>
    <cellStyle name="Note 15 2 10" xfId="4621"/>
    <cellStyle name="Note 15 2 10 2" xfId="4622"/>
    <cellStyle name="Note 15 2 11" xfId="4623"/>
    <cellStyle name="Note 15 2 11 2" xfId="4624"/>
    <cellStyle name="Note 15 2 12" xfId="4625"/>
    <cellStyle name="Note 15 2 12 2" xfId="4626"/>
    <cellStyle name="Note 15 2 13" xfId="4627"/>
    <cellStyle name="Note 15 2 2" xfId="4628"/>
    <cellStyle name="Note 15 2 2 2" xfId="4629"/>
    <cellStyle name="Note 15 2 2 2 2" xfId="4630"/>
    <cellStyle name="Note 15 2 2 2 2 2" xfId="4631"/>
    <cellStyle name="Note 15 2 2 2 3" xfId="4632"/>
    <cellStyle name="Note 15 2 2 3" xfId="4633"/>
    <cellStyle name="Note 15 2 2 3 2" xfId="4634"/>
    <cellStyle name="Note 15 2 2 3 2 2" xfId="4635"/>
    <cellStyle name="Note 15 2 2 3 3" xfId="4636"/>
    <cellStyle name="Note 15 2 2 4" xfId="4637"/>
    <cellStyle name="Note 15 2 2 4 2" xfId="4638"/>
    <cellStyle name="Note 15 2 2 5" xfId="4639"/>
    <cellStyle name="Note 15 2 2 5 2" xfId="4640"/>
    <cellStyle name="Note 15 2 2 6" xfId="4641"/>
    <cellStyle name="Note 15 2 2 6 2" xfId="4642"/>
    <cellStyle name="Note 15 2 2 7" xfId="4643"/>
    <cellStyle name="Note 15 2 2 7 2" xfId="4644"/>
    <cellStyle name="Note 15 2 2 8" xfId="4645"/>
    <cellStyle name="Note 15 2 3" xfId="4646"/>
    <cellStyle name="Note 15 2 3 10" xfId="4647"/>
    <cellStyle name="Note 15 2 3 10 2" xfId="4648"/>
    <cellStyle name="Note 15 2 3 11" xfId="4649"/>
    <cellStyle name="Note 15 2 3 2" xfId="4650"/>
    <cellStyle name="Note 15 2 3 2 2" xfId="4651"/>
    <cellStyle name="Note 15 2 3 2 2 2" xfId="4652"/>
    <cellStyle name="Note 15 2 3 2 3" xfId="4653"/>
    <cellStyle name="Note 15 2 3 3" xfId="4654"/>
    <cellStyle name="Note 15 2 3 3 2" xfId="4655"/>
    <cellStyle name="Note 15 2 3 4" xfId="4656"/>
    <cellStyle name="Note 15 2 3 4 2" xfId="4657"/>
    <cellStyle name="Note 15 2 3 5" xfId="4658"/>
    <cellStyle name="Note 15 2 3 5 2" xfId="4659"/>
    <cellStyle name="Note 15 2 3 6" xfId="4660"/>
    <cellStyle name="Note 15 2 3 6 2" xfId="4661"/>
    <cellStyle name="Note 15 2 3 7" xfId="4662"/>
    <cellStyle name="Note 15 2 3 7 2" xfId="4663"/>
    <cellStyle name="Note 15 2 3 8" xfId="4664"/>
    <cellStyle name="Note 15 2 3 8 2" xfId="4665"/>
    <cellStyle name="Note 15 2 3 9" xfId="4666"/>
    <cellStyle name="Note 15 2 3 9 2" xfId="4667"/>
    <cellStyle name="Note 15 2 4" xfId="4668"/>
    <cellStyle name="Note 15 2 4 10" xfId="4669"/>
    <cellStyle name="Note 15 2 4 10 2" xfId="4670"/>
    <cellStyle name="Note 15 2 4 11" xfId="4671"/>
    <cellStyle name="Note 15 2 4 2" xfId="4672"/>
    <cellStyle name="Note 15 2 4 2 2" xfId="4673"/>
    <cellStyle name="Note 15 2 4 2 2 2" xfId="4674"/>
    <cellStyle name="Note 15 2 4 2 3" xfId="4675"/>
    <cellStyle name="Note 15 2 4 3" xfId="4676"/>
    <cellStyle name="Note 15 2 4 3 2" xfId="4677"/>
    <cellStyle name="Note 15 2 4 4" xfId="4678"/>
    <cellStyle name="Note 15 2 4 4 2" xfId="4679"/>
    <cellStyle name="Note 15 2 4 5" xfId="4680"/>
    <cellStyle name="Note 15 2 4 5 2" xfId="4681"/>
    <cellStyle name="Note 15 2 4 6" xfId="4682"/>
    <cellStyle name="Note 15 2 4 6 2" xfId="4683"/>
    <cellStyle name="Note 15 2 4 7" xfId="4684"/>
    <cellStyle name="Note 15 2 4 7 2" xfId="4685"/>
    <cellStyle name="Note 15 2 4 8" xfId="4686"/>
    <cellStyle name="Note 15 2 4 8 2" xfId="4687"/>
    <cellStyle name="Note 15 2 4 9" xfId="4688"/>
    <cellStyle name="Note 15 2 4 9 2" xfId="4689"/>
    <cellStyle name="Note 15 2 5" xfId="4690"/>
    <cellStyle name="Note 15 2 5 10" xfId="4691"/>
    <cellStyle name="Note 15 2 5 10 2" xfId="4692"/>
    <cellStyle name="Note 15 2 5 11" xfId="4693"/>
    <cellStyle name="Note 15 2 5 2" xfId="4694"/>
    <cellStyle name="Note 15 2 5 2 2" xfId="4695"/>
    <cellStyle name="Note 15 2 5 2 2 2" xfId="4696"/>
    <cellStyle name="Note 15 2 5 2 3" xfId="4697"/>
    <cellStyle name="Note 15 2 5 3" xfId="4698"/>
    <cellStyle name="Note 15 2 5 3 2" xfId="4699"/>
    <cellStyle name="Note 15 2 5 4" xfId="4700"/>
    <cellStyle name="Note 15 2 5 4 2" xfId="4701"/>
    <cellStyle name="Note 15 2 5 5" xfId="4702"/>
    <cellStyle name="Note 15 2 5 5 2" xfId="4703"/>
    <cellStyle name="Note 15 2 5 6" xfId="4704"/>
    <cellStyle name="Note 15 2 5 6 2" xfId="4705"/>
    <cellStyle name="Note 15 2 5 7" xfId="4706"/>
    <cellStyle name="Note 15 2 5 7 2" xfId="4707"/>
    <cellStyle name="Note 15 2 5 8" xfId="4708"/>
    <cellStyle name="Note 15 2 5 8 2" xfId="4709"/>
    <cellStyle name="Note 15 2 5 9" xfId="4710"/>
    <cellStyle name="Note 15 2 5 9 2" xfId="4711"/>
    <cellStyle name="Note 15 2 6" xfId="4712"/>
    <cellStyle name="Note 15 2 6 10" xfId="4713"/>
    <cellStyle name="Note 15 2 6 10 2" xfId="4714"/>
    <cellStyle name="Note 15 2 6 11" xfId="4715"/>
    <cellStyle name="Note 15 2 6 2" xfId="4716"/>
    <cellStyle name="Note 15 2 6 2 2" xfId="4717"/>
    <cellStyle name="Note 15 2 6 2 2 2" xfId="4718"/>
    <cellStyle name="Note 15 2 6 2 3" xfId="4719"/>
    <cellStyle name="Note 15 2 6 3" xfId="4720"/>
    <cellStyle name="Note 15 2 6 3 2" xfId="4721"/>
    <cellStyle name="Note 15 2 6 4" xfId="4722"/>
    <cellStyle name="Note 15 2 6 4 2" xfId="4723"/>
    <cellStyle name="Note 15 2 6 5" xfId="4724"/>
    <cellStyle name="Note 15 2 6 5 2" xfId="4725"/>
    <cellStyle name="Note 15 2 6 6" xfId="4726"/>
    <cellStyle name="Note 15 2 6 6 2" xfId="4727"/>
    <cellStyle name="Note 15 2 6 7" xfId="4728"/>
    <cellStyle name="Note 15 2 6 7 2" xfId="4729"/>
    <cellStyle name="Note 15 2 6 8" xfId="4730"/>
    <cellStyle name="Note 15 2 6 8 2" xfId="4731"/>
    <cellStyle name="Note 15 2 6 9" xfId="4732"/>
    <cellStyle name="Note 15 2 6 9 2" xfId="4733"/>
    <cellStyle name="Note 15 2 7" xfId="4734"/>
    <cellStyle name="Note 15 2 7 2" xfId="4735"/>
    <cellStyle name="Note 15 2 7 2 2" xfId="4736"/>
    <cellStyle name="Note 15 2 7 3" xfId="4737"/>
    <cellStyle name="Note 15 2 8" xfId="4738"/>
    <cellStyle name="Note 15 2 8 2" xfId="4739"/>
    <cellStyle name="Note 15 2 9" xfId="4740"/>
    <cellStyle name="Note 15 2 9 2" xfId="4741"/>
    <cellStyle name="Note 15 3" xfId="4742"/>
    <cellStyle name="Note 15 3 2" xfId="4743"/>
    <cellStyle name="Note 15 3 2 2" xfId="4744"/>
    <cellStyle name="Note 15 3 2 2 2" xfId="4745"/>
    <cellStyle name="Note 15 3 2 3" xfId="4746"/>
    <cellStyle name="Note 15 3 3" xfId="4747"/>
    <cellStyle name="Note 15 3 3 2" xfId="4748"/>
    <cellStyle name="Note 15 3 3 2 2" xfId="4749"/>
    <cellStyle name="Note 15 3 3 3" xfId="4750"/>
    <cellStyle name="Note 15 3 4" xfId="4751"/>
    <cellStyle name="Note 15 3 4 2" xfId="4752"/>
    <cellStyle name="Note 15 3 5" xfId="4753"/>
    <cellStyle name="Note 15 3 5 2" xfId="4754"/>
    <cellStyle name="Note 15 3 6" xfId="4755"/>
    <cellStyle name="Note 15 3 6 2" xfId="4756"/>
    <cellStyle name="Note 15 3 7" xfId="4757"/>
    <cellStyle name="Note 15 3 7 2" xfId="4758"/>
    <cellStyle name="Note 15 3 8" xfId="4759"/>
    <cellStyle name="Note 15 4" xfId="4760"/>
    <cellStyle name="Note 15 4 10" xfId="4761"/>
    <cellStyle name="Note 15 4 10 2" xfId="4762"/>
    <cellStyle name="Note 15 4 11" xfId="4763"/>
    <cellStyle name="Note 15 4 2" xfId="4764"/>
    <cellStyle name="Note 15 4 2 2" xfId="4765"/>
    <cellStyle name="Note 15 4 2 2 2" xfId="4766"/>
    <cellStyle name="Note 15 4 2 3" xfId="4767"/>
    <cellStyle name="Note 15 4 3" xfId="4768"/>
    <cellStyle name="Note 15 4 3 2" xfId="4769"/>
    <cellStyle name="Note 15 4 4" xfId="4770"/>
    <cellStyle name="Note 15 4 4 2" xfId="4771"/>
    <cellStyle name="Note 15 4 5" xfId="4772"/>
    <cellStyle name="Note 15 4 5 2" xfId="4773"/>
    <cellStyle name="Note 15 4 6" xfId="4774"/>
    <cellStyle name="Note 15 4 6 2" xfId="4775"/>
    <cellStyle name="Note 15 4 7" xfId="4776"/>
    <cellStyle name="Note 15 4 7 2" xfId="4777"/>
    <cellStyle name="Note 15 4 8" xfId="4778"/>
    <cellStyle name="Note 15 4 8 2" xfId="4779"/>
    <cellStyle name="Note 15 4 9" xfId="4780"/>
    <cellStyle name="Note 15 4 9 2" xfId="4781"/>
    <cellStyle name="Note 15 5" xfId="4782"/>
    <cellStyle name="Note 15 5 10" xfId="4783"/>
    <cellStyle name="Note 15 5 10 2" xfId="4784"/>
    <cellStyle name="Note 15 5 11" xfId="4785"/>
    <cellStyle name="Note 15 5 2" xfId="4786"/>
    <cellStyle name="Note 15 5 2 2" xfId="4787"/>
    <cellStyle name="Note 15 5 2 2 2" xfId="4788"/>
    <cellStyle name="Note 15 5 2 3" xfId="4789"/>
    <cellStyle name="Note 15 5 3" xfId="4790"/>
    <cellStyle name="Note 15 5 3 2" xfId="4791"/>
    <cellStyle name="Note 15 5 4" xfId="4792"/>
    <cellStyle name="Note 15 5 4 2" xfId="4793"/>
    <cellStyle name="Note 15 5 5" xfId="4794"/>
    <cellStyle name="Note 15 5 5 2" xfId="4795"/>
    <cellStyle name="Note 15 5 6" xfId="4796"/>
    <cellStyle name="Note 15 5 6 2" xfId="4797"/>
    <cellStyle name="Note 15 5 7" xfId="4798"/>
    <cellStyle name="Note 15 5 7 2" xfId="4799"/>
    <cellStyle name="Note 15 5 8" xfId="4800"/>
    <cellStyle name="Note 15 5 8 2" xfId="4801"/>
    <cellStyle name="Note 15 5 9" xfId="4802"/>
    <cellStyle name="Note 15 5 9 2" xfId="4803"/>
    <cellStyle name="Note 15 6" xfId="4804"/>
    <cellStyle name="Note 15 6 10" xfId="4805"/>
    <cellStyle name="Note 15 6 10 2" xfId="4806"/>
    <cellStyle name="Note 15 6 11" xfId="4807"/>
    <cellStyle name="Note 15 6 2" xfId="4808"/>
    <cellStyle name="Note 15 6 2 2" xfId="4809"/>
    <cellStyle name="Note 15 6 2 2 2" xfId="4810"/>
    <cellStyle name="Note 15 6 2 3" xfId="4811"/>
    <cellStyle name="Note 15 6 3" xfId="4812"/>
    <cellStyle name="Note 15 6 3 2" xfId="4813"/>
    <cellStyle name="Note 15 6 4" xfId="4814"/>
    <cellStyle name="Note 15 6 4 2" xfId="4815"/>
    <cellStyle name="Note 15 6 5" xfId="4816"/>
    <cellStyle name="Note 15 6 5 2" xfId="4817"/>
    <cellStyle name="Note 15 6 6" xfId="4818"/>
    <cellStyle name="Note 15 6 6 2" xfId="4819"/>
    <cellStyle name="Note 15 6 7" xfId="4820"/>
    <cellStyle name="Note 15 6 7 2" xfId="4821"/>
    <cellStyle name="Note 15 6 8" xfId="4822"/>
    <cellStyle name="Note 15 6 8 2" xfId="4823"/>
    <cellStyle name="Note 15 6 9" xfId="4824"/>
    <cellStyle name="Note 15 6 9 2" xfId="4825"/>
    <cellStyle name="Note 15 7" xfId="4826"/>
    <cellStyle name="Note 15 7 10" xfId="4827"/>
    <cellStyle name="Note 15 7 10 2" xfId="4828"/>
    <cellStyle name="Note 15 7 11" xfId="4829"/>
    <cellStyle name="Note 15 7 2" xfId="4830"/>
    <cellStyle name="Note 15 7 2 2" xfId="4831"/>
    <cellStyle name="Note 15 7 2 2 2" xfId="4832"/>
    <cellStyle name="Note 15 7 2 3" xfId="4833"/>
    <cellStyle name="Note 15 7 3" xfId="4834"/>
    <cellStyle name="Note 15 7 3 2" xfId="4835"/>
    <cellStyle name="Note 15 7 4" xfId="4836"/>
    <cellStyle name="Note 15 7 4 2" xfId="4837"/>
    <cellStyle name="Note 15 7 5" xfId="4838"/>
    <cellStyle name="Note 15 7 5 2" xfId="4839"/>
    <cellStyle name="Note 15 7 6" xfId="4840"/>
    <cellStyle name="Note 15 7 6 2" xfId="4841"/>
    <cellStyle name="Note 15 7 7" xfId="4842"/>
    <cellStyle name="Note 15 7 7 2" xfId="4843"/>
    <cellStyle name="Note 15 7 8" xfId="4844"/>
    <cellStyle name="Note 15 7 8 2" xfId="4845"/>
    <cellStyle name="Note 15 7 9" xfId="4846"/>
    <cellStyle name="Note 15 7 9 2" xfId="4847"/>
    <cellStyle name="Note 15 8" xfId="4848"/>
    <cellStyle name="Note 15 8 2" xfId="4849"/>
    <cellStyle name="Note 15 8 2 2" xfId="4850"/>
    <cellStyle name="Note 15 8 3" xfId="4851"/>
    <cellStyle name="Note 15 9" xfId="4852"/>
    <cellStyle name="Note 15 9 2" xfId="4853"/>
    <cellStyle name="Note 15_7 - Cap Add WS" xfId="615"/>
    <cellStyle name="Note 16" xfId="616"/>
    <cellStyle name="Note 16 10" xfId="4854"/>
    <cellStyle name="Note 16 10 2" xfId="4855"/>
    <cellStyle name="Note 16 11" xfId="4856"/>
    <cellStyle name="Note 16 11 2" xfId="4857"/>
    <cellStyle name="Note 16 12" xfId="4858"/>
    <cellStyle name="Note 16 12 2" xfId="4859"/>
    <cellStyle name="Note 16 13" xfId="4860"/>
    <cellStyle name="Note 16 2" xfId="4861"/>
    <cellStyle name="Note 16 2 2" xfId="4862"/>
    <cellStyle name="Note 16 2 2 2" xfId="4863"/>
    <cellStyle name="Note 16 2 2 2 2" xfId="4864"/>
    <cellStyle name="Note 16 2 2 3" xfId="4865"/>
    <cellStyle name="Note 16 2 3" xfId="4866"/>
    <cellStyle name="Note 16 2 3 2" xfId="4867"/>
    <cellStyle name="Note 16 2 3 2 2" xfId="4868"/>
    <cellStyle name="Note 16 2 3 3" xfId="4869"/>
    <cellStyle name="Note 16 2 4" xfId="4870"/>
    <cellStyle name="Note 16 2 4 2" xfId="4871"/>
    <cellStyle name="Note 16 2 5" xfId="4872"/>
    <cellStyle name="Note 16 2 5 2" xfId="4873"/>
    <cellStyle name="Note 16 2 6" xfId="4874"/>
    <cellStyle name="Note 16 2 6 2" xfId="4875"/>
    <cellStyle name="Note 16 2 7" xfId="4876"/>
    <cellStyle name="Note 16 2 7 2" xfId="4877"/>
    <cellStyle name="Note 16 2 8" xfId="4878"/>
    <cellStyle name="Note 16 3" xfId="4879"/>
    <cellStyle name="Note 16 3 10" xfId="4880"/>
    <cellStyle name="Note 16 3 10 2" xfId="4881"/>
    <cellStyle name="Note 16 3 11" xfId="4882"/>
    <cellStyle name="Note 16 3 2" xfId="4883"/>
    <cellStyle name="Note 16 3 2 2" xfId="4884"/>
    <cellStyle name="Note 16 3 2 2 2" xfId="4885"/>
    <cellStyle name="Note 16 3 2 3" xfId="4886"/>
    <cellStyle name="Note 16 3 3" xfId="4887"/>
    <cellStyle name="Note 16 3 3 2" xfId="4888"/>
    <cellStyle name="Note 16 3 4" xfId="4889"/>
    <cellStyle name="Note 16 3 4 2" xfId="4890"/>
    <cellStyle name="Note 16 3 5" xfId="4891"/>
    <cellStyle name="Note 16 3 5 2" xfId="4892"/>
    <cellStyle name="Note 16 3 6" xfId="4893"/>
    <cellStyle name="Note 16 3 6 2" xfId="4894"/>
    <cellStyle name="Note 16 3 7" xfId="4895"/>
    <cellStyle name="Note 16 3 7 2" xfId="4896"/>
    <cellStyle name="Note 16 3 8" xfId="4897"/>
    <cellStyle name="Note 16 3 8 2" xfId="4898"/>
    <cellStyle name="Note 16 3 9" xfId="4899"/>
    <cellStyle name="Note 16 3 9 2" xfId="4900"/>
    <cellStyle name="Note 16 4" xfId="4901"/>
    <cellStyle name="Note 16 4 10" xfId="4902"/>
    <cellStyle name="Note 16 4 10 2" xfId="4903"/>
    <cellStyle name="Note 16 4 11" xfId="4904"/>
    <cellStyle name="Note 16 4 2" xfId="4905"/>
    <cellStyle name="Note 16 4 2 2" xfId="4906"/>
    <cellStyle name="Note 16 4 2 2 2" xfId="4907"/>
    <cellStyle name="Note 16 4 2 3" xfId="4908"/>
    <cellStyle name="Note 16 4 3" xfId="4909"/>
    <cellStyle name="Note 16 4 3 2" xfId="4910"/>
    <cellStyle name="Note 16 4 4" xfId="4911"/>
    <cellStyle name="Note 16 4 4 2" xfId="4912"/>
    <cellStyle name="Note 16 4 5" xfId="4913"/>
    <cellStyle name="Note 16 4 5 2" xfId="4914"/>
    <cellStyle name="Note 16 4 6" xfId="4915"/>
    <cellStyle name="Note 16 4 6 2" xfId="4916"/>
    <cellStyle name="Note 16 4 7" xfId="4917"/>
    <cellStyle name="Note 16 4 7 2" xfId="4918"/>
    <cellStyle name="Note 16 4 8" xfId="4919"/>
    <cellStyle name="Note 16 4 8 2" xfId="4920"/>
    <cellStyle name="Note 16 4 9" xfId="4921"/>
    <cellStyle name="Note 16 4 9 2" xfId="4922"/>
    <cellStyle name="Note 16 5" xfId="4923"/>
    <cellStyle name="Note 16 5 10" xfId="4924"/>
    <cellStyle name="Note 16 5 10 2" xfId="4925"/>
    <cellStyle name="Note 16 5 11" xfId="4926"/>
    <cellStyle name="Note 16 5 2" xfId="4927"/>
    <cellStyle name="Note 16 5 2 2" xfId="4928"/>
    <cellStyle name="Note 16 5 2 2 2" xfId="4929"/>
    <cellStyle name="Note 16 5 2 3" xfId="4930"/>
    <cellStyle name="Note 16 5 3" xfId="4931"/>
    <cellStyle name="Note 16 5 3 2" xfId="4932"/>
    <cellStyle name="Note 16 5 4" xfId="4933"/>
    <cellStyle name="Note 16 5 4 2" xfId="4934"/>
    <cellStyle name="Note 16 5 5" xfId="4935"/>
    <cellStyle name="Note 16 5 5 2" xfId="4936"/>
    <cellStyle name="Note 16 5 6" xfId="4937"/>
    <cellStyle name="Note 16 5 6 2" xfId="4938"/>
    <cellStyle name="Note 16 5 7" xfId="4939"/>
    <cellStyle name="Note 16 5 7 2" xfId="4940"/>
    <cellStyle name="Note 16 5 8" xfId="4941"/>
    <cellStyle name="Note 16 5 8 2" xfId="4942"/>
    <cellStyle name="Note 16 5 9" xfId="4943"/>
    <cellStyle name="Note 16 5 9 2" xfId="4944"/>
    <cellStyle name="Note 16 6" xfId="4945"/>
    <cellStyle name="Note 16 6 10" xfId="4946"/>
    <cellStyle name="Note 16 6 10 2" xfId="4947"/>
    <cellStyle name="Note 16 6 11" xfId="4948"/>
    <cellStyle name="Note 16 6 2" xfId="4949"/>
    <cellStyle name="Note 16 6 2 2" xfId="4950"/>
    <cellStyle name="Note 16 6 2 2 2" xfId="4951"/>
    <cellStyle name="Note 16 6 2 3" xfId="4952"/>
    <cellStyle name="Note 16 6 3" xfId="4953"/>
    <cellStyle name="Note 16 6 3 2" xfId="4954"/>
    <cellStyle name="Note 16 6 4" xfId="4955"/>
    <cellStyle name="Note 16 6 4 2" xfId="4956"/>
    <cellStyle name="Note 16 6 5" xfId="4957"/>
    <cellStyle name="Note 16 6 5 2" xfId="4958"/>
    <cellStyle name="Note 16 6 6" xfId="4959"/>
    <cellStyle name="Note 16 6 6 2" xfId="4960"/>
    <cellStyle name="Note 16 6 7" xfId="4961"/>
    <cellStyle name="Note 16 6 7 2" xfId="4962"/>
    <cellStyle name="Note 16 6 8" xfId="4963"/>
    <cellStyle name="Note 16 6 8 2" xfId="4964"/>
    <cellStyle name="Note 16 6 9" xfId="4965"/>
    <cellStyle name="Note 16 6 9 2" xfId="4966"/>
    <cellStyle name="Note 16 7" xfId="4967"/>
    <cellStyle name="Note 16 7 2" xfId="4968"/>
    <cellStyle name="Note 16 7 2 2" xfId="4969"/>
    <cellStyle name="Note 16 7 3" xfId="4970"/>
    <cellStyle name="Note 16 8" xfId="4971"/>
    <cellStyle name="Note 16 8 2" xfId="4972"/>
    <cellStyle name="Note 16 9" xfId="4973"/>
    <cellStyle name="Note 16 9 2" xfId="4974"/>
    <cellStyle name="Note 17" xfId="11304"/>
    <cellStyle name="Note 18" xfId="11310"/>
    <cellStyle name="Note 19" xfId="11299"/>
    <cellStyle name="Note 2" xfId="617"/>
    <cellStyle name="Note 2 10" xfId="4975"/>
    <cellStyle name="Note 2 10 2" xfId="4976"/>
    <cellStyle name="Note 2 11" xfId="4977"/>
    <cellStyle name="Note 2 11 2" xfId="4978"/>
    <cellStyle name="Note 2 12" xfId="4979"/>
    <cellStyle name="Note 2 12 2" xfId="4980"/>
    <cellStyle name="Note 2 13" xfId="4981"/>
    <cellStyle name="Note 2 13 2" xfId="4982"/>
    <cellStyle name="Note 2 14" xfId="4983"/>
    <cellStyle name="Note 2 2" xfId="618"/>
    <cellStyle name="Note 2 2 10" xfId="4984"/>
    <cellStyle name="Note 2 2 10 2" xfId="4985"/>
    <cellStyle name="Note 2 2 11" xfId="4986"/>
    <cellStyle name="Note 2 2 11 2" xfId="4987"/>
    <cellStyle name="Note 2 2 12" xfId="4988"/>
    <cellStyle name="Note 2 2 12 2" xfId="4989"/>
    <cellStyle name="Note 2 2 13" xfId="4990"/>
    <cellStyle name="Note 2 2 2" xfId="4991"/>
    <cellStyle name="Note 2 2 2 2" xfId="4992"/>
    <cellStyle name="Note 2 2 2 2 2" xfId="4993"/>
    <cellStyle name="Note 2 2 2 2 2 2" xfId="4994"/>
    <cellStyle name="Note 2 2 2 2 3" xfId="4995"/>
    <cellStyle name="Note 2 2 2 3" xfId="4996"/>
    <cellStyle name="Note 2 2 2 3 2" xfId="4997"/>
    <cellStyle name="Note 2 2 2 3 2 2" xfId="4998"/>
    <cellStyle name="Note 2 2 2 3 3" xfId="4999"/>
    <cellStyle name="Note 2 2 2 4" xfId="5000"/>
    <cellStyle name="Note 2 2 2 4 2" xfId="5001"/>
    <cellStyle name="Note 2 2 2 5" xfId="5002"/>
    <cellStyle name="Note 2 2 2 5 2" xfId="5003"/>
    <cellStyle name="Note 2 2 2 6" xfId="5004"/>
    <cellStyle name="Note 2 2 2 6 2" xfId="5005"/>
    <cellStyle name="Note 2 2 2 7" xfId="5006"/>
    <cellStyle name="Note 2 2 2 7 2" xfId="5007"/>
    <cellStyle name="Note 2 2 2 8" xfId="5008"/>
    <cellStyle name="Note 2 2 3" xfId="5009"/>
    <cellStyle name="Note 2 2 3 10" xfId="5010"/>
    <cellStyle name="Note 2 2 3 10 2" xfId="5011"/>
    <cellStyle name="Note 2 2 3 11" xfId="5012"/>
    <cellStyle name="Note 2 2 3 2" xfId="5013"/>
    <cellStyle name="Note 2 2 3 2 2" xfId="5014"/>
    <cellStyle name="Note 2 2 3 2 2 2" xfId="5015"/>
    <cellStyle name="Note 2 2 3 2 3" xfId="5016"/>
    <cellStyle name="Note 2 2 3 3" xfId="5017"/>
    <cellStyle name="Note 2 2 3 3 2" xfId="5018"/>
    <cellStyle name="Note 2 2 3 4" xfId="5019"/>
    <cellStyle name="Note 2 2 3 4 2" xfId="5020"/>
    <cellStyle name="Note 2 2 3 5" xfId="5021"/>
    <cellStyle name="Note 2 2 3 5 2" xfId="5022"/>
    <cellStyle name="Note 2 2 3 6" xfId="5023"/>
    <cellStyle name="Note 2 2 3 6 2" xfId="5024"/>
    <cellStyle name="Note 2 2 3 7" xfId="5025"/>
    <cellStyle name="Note 2 2 3 7 2" xfId="5026"/>
    <cellStyle name="Note 2 2 3 8" xfId="5027"/>
    <cellStyle name="Note 2 2 3 8 2" xfId="5028"/>
    <cellStyle name="Note 2 2 3 9" xfId="5029"/>
    <cellStyle name="Note 2 2 3 9 2" xfId="5030"/>
    <cellStyle name="Note 2 2 4" xfId="5031"/>
    <cellStyle name="Note 2 2 4 10" xfId="5032"/>
    <cellStyle name="Note 2 2 4 10 2" xfId="5033"/>
    <cellStyle name="Note 2 2 4 11" xfId="5034"/>
    <cellStyle name="Note 2 2 4 2" xfId="5035"/>
    <cellStyle name="Note 2 2 4 2 2" xfId="5036"/>
    <cellStyle name="Note 2 2 4 2 2 2" xfId="5037"/>
    <cellStyle name="Note 2 2 4 2 3" xfId="5038"/>
    <cellStyle name="Note 2 2 4 3" xfId="5039"/>
    <cellStyle name="Note 2 2 4 3 2" xfId="5040"/>
    <cellStyle name="Note 2 2 4 4" xfId="5041"/>
    <cellStyle name="Note 2 2 4 4 2" xfId="5042"/>
    <cellStyle name="Note 2 2 4 5" xfId="5043"/>
    <cellStyle name="Note 2 2 4 5 2" xfId="5044"/>
    <cellStyle name="Note 2 2 4 6" xfId="5045"/>
    <cellStyle name="Note 2 2 4 6 2" xfId="5046"/>
    <cellStyle name="Note 2 2 4 7" xfId="5047"/>
    <cellStyle name="Note 2 2 4 7 2" xfId="5048"/>
    <cellStyle name="Note 2 2 4 8" xfId="5049"/>
    <cellStyle name="Note 2 2 4 8 2" xfId="5050"/>
    <cellStyle name="Note 2 2 4 9" xfId="5051"/>
    <cellStyle name="Note 2 2 4 9 2" xfId="5052"/>
    <cellStyle name="Note 2 2 5" xfId="5053"/>
    <cellStyle name="Note 2 2 5 10" xfId="5054"/>
    <cellStyle name="Note 2 2 5 10 2" xfId="5055"/>
    <cellStyle name="Note 2 2 5 11" xfId="5056"/>
    <cellStyle name="Note 2 2 5 2" xfId="5057"/>
    <cellStyle name="Note 2 2 5 2 2" xfId="5058"/>
    <cellStyle name="Note 2 2 5 2 2 2" xfId="5059"/>
    <cellStyle name="Note 2 2 5 2 3" xfId="5060"/>
    <cellStyle name="Note 2 2 5 3" xfId="5061"/>
    <cellStyle name="Note 2 2 5 3 2" xfId="5062"/>
    <cellStyle name="Note 2 2 5 4" xfId="5063"/>
    <cellStyle name="Note 2 2 5 4 2" xfId="5064"/>
    <cellStyle name="Note 2 2 5 5" xfId="5065"/>
    <cellStyle name="Note 2 2 5 5 2" xfId="5066"/>
    <cellStyle name="Note 2 2 5 6" xfId="5067"/>
    <cellStyle name="Note 2 2 5 6 2" xfId="5068"/>
    <cellStyle name="Note 2 2 5 7" xfId="5069"/>
    <cellStyle name="Note 2 2 5 7 2" xfId="5070"/>
    <cellStyle name="Note 2 2 5 8" xfId="5071"/>
    <cellStyle name="Note 2 2 5 8 2" xfId="5072"/>
    <cellStyle name="Note 2 2 5 9" xfId="5073"/>
    <cellStyle name="Note 2 2 5 9 2" xfId="5074"/>
    <cellStyle name="Note 2 2 6" xfId="5075"/>
    <cellStyle name="Note 2 2 6 10" xfId="5076"/>
    <cellStyle name="Note 2 2 6 10 2" xfId="5077"/>
    <cellStyle name="Note 2 2 6 11" xfId="5078"/>
    <cellStyle name="Note 2 2 6 2" xfId="5079"/>
    <cellStyle name="Note 2 2 6 2 2" xfId="5080"/>
    <cellStyle name="Note 2 2 6 2 2 2" xfId="5081"/>
    <cellStyle name="Note 2 2 6 2 3" xfId="5082"/>
    <cellStyle name="Note 2 2 6 3" xfId="5083"/>
    <cellStyle name="Note 2 2 6 3 2" xfId="5084"/>
    <cellStyle name="Note 2 2 6 4" xfId="5085"/>
    <cellStyle name="Note 2 2 6 4 2" xfId="5086"/>
    <cellStyle name="Note 2 2 6 5" xfId="5087"/>
    <cellStyle name="Note 2 2 6 5 2" xfId="5088"/>
    <cellStyle name="Note 2 2 6 6" xfId="5089"/>
    <cellStyle name="Note 2 2 6 6 2" xfId="5090"/>
    <cellStyle name="Note 2 2 6 7" xfId="5091"/>
    <cellStyle name="Note 2 2 6 7 2" xfId="5092"/>
    <cellStyle name="Note 2 2 6 8" xfId="5093"/>
    <cellStyle name="Note 2 2 6 8 2" xfId="5094"/>
    <cellStyle name="Note 2 2 6 9" xfId="5095"/>
    <cellStyle name="Note 2 2 6 9 2" xfId="5096"/>
    <cellStyle name="Note 2 2 7" xfId="5097"/>
    <cellStyle name="Note 2 2 7 2" xfId="5098"/>
    <cellStyle name="Note 2 2 7 2 2" xfId="5099"/>
    <cellStyle name="Note 2 2 7 3" xfId="5100"/>
    <cellStyle name="Note 2 2 8" xfId="5101"/>
    <cellStyle name="Note 2 2 8 2" xfId="5102"/>
    <cellStyle name="Note 2 2 9" xfId="5103"/>
    <cellStyle name="Note 2 2 9 2" xfId="5104"/>
    <cellStyle name="Note 2 3" xfId="5105"/>
    <cellStyle name="Note 2 3 2" xfId="5106"/>
    <cellStyle name="Note 2 3 2 2" xfId="5107"/>
    <cellStyle name="Note 2 3 2 2 2" xfId="5108"/>
    <cellStyle name="Note 2 3 2 3" xfId="5109"/>
    <cellStyle name="Note 2 3 3" xfId="5110"/>
    <cellStyle name="Note 2 3 3 2" xfId="5111"/>
    <cellStyle name="Note 2 3 3 2 2" xfId="5112"/>
    <cellStyle name="Note 2 3 3 3" xfId="5113"/>
    <cellStyle name="Note 2 3 4" xfId="5114"/>
    <cellStyle name="Note 2 3 4 2" xfId="5115"/>
    <cellStyle name="Note 2 3 5" xfId="5116"/>
    <cellStyle name="Note 2 3 5 2" xfId="5117"/>
    <cellStyle name="Note 2 3 6" xfId="5118"/>
    <cellStyle name="Note 2 3 6 2" xfId="5119"/>
    <cellStyle name="Note 2 3 7" xfId="5120"/>
    <cellStyle name="Note 2 3 7 2" xfId="5121"/>
    <cellStyle name="Note 2 3 8" xfId="5122"/>
    <cellStyle name="Note 2 4" xfId="5123"/>
    <cellStyle name="Note 2 4 10" xfId="5124"/>
    <cellStyle name="Note 2 4 10 2" xfId="5125"/>
    <cellStyle name="Note 2 4 11" xfId="5126"/>
    <cellStyle name="Note 2 4 2" xfId="5127"/>
    <cellStyle name="Note 2 4 2 2" xfId="5128"/>
    <cellStyle name="Note 2 4 2 2 2" xfId="5129"/>
    <cellStyle name="Note 2 4 2 3" xfId="5130"/>
    <cellStyle name="Note 2 4 3" xfId="5131"/>
    <cellStyle name="Note 2 4 3 2" xfId="5132"/>
    <cellStyle name="Note 2 4 4" xfId="5133"/>
    <cellStyle name="Note 2 4 4 2" xfId="5134"/>
    <cellStyle name="Note 2 4 5" xfId="5135"/>
    <cellStyle name="Note 2 4 5 2" xfId="5136"/>
    <cellStyle name="Note 2 4 6" xfId="5137"/>
    <cellStyle name="Note 2 4 6 2" xfId="5138"/>
    <cellStyle name="Note 2 4 7" xfId="5139"/>
    <cellStyle name="Note 2 4 7 2" xfId="5140"/>
    <cellStyle name="Note 2 4 8" xfId="5141"/>
    <cellStyle name="Note 2 4 8 2" xfId="5142"/>
    <cellStyle name="Note 2 4 9" xfId="5143"/>
    <cellStyle name="Note 2 4 9 2" xfId="5144"/>
    <cellStyle name="Note 2 5" xfId="5145"/>
    <cellStyle name="Note 2 5 10" xfId="5146"/>
    <cellStyle name="Note 2 5 10 2" xfId="5147"/>
    <cellStyle name="Note 2 5 11" xfId="5148"/>
    <cellStyle name="Note 2 5 2" xfId="5149"/>
    <cellStyle name="Note 2 5 2 2" xfId="5150"/>
    <cellStyle name="Note 2 5 2 2 2" xfId="5151"/>
    <cellStyle name="Note 2 5 2 3" xfId="5152"/>
    <cellStyle name="Note 2 5 3" xfId="5153"/>
    <cellStyle name="Note 2 5 3 2" xfId="5154"/>
    <cellStyle name="Note 2 5 4" xfId="5155"/>
    <cellStyle name="Note 2 5 4 2" xfId="5156"/>
    <cellStyle name="Note 2 5 5" xfId="5157"/>
    <cellStyle name="Note 2 5 5 2" xfId="5158"/>
    <cellStyle name="Note 2 5 6" xfId="5159"/>
    <cellStyle name="Note 2 5 6 2" xfId="5160"/>
    <cellStyle name="Note 2 5 7" xfId="5161"/>
    <cellStyle name="Note 2 5 7 2" xfId="5162"/>
    <cellStyle name="Note 2 5 8" xfId="5163"/>
    <cellStyle name="Note 2 5 8 2" xfId="5164"/>
    <cellStyle name="Note 2 5 9" xfId="5165"/>
    <cellStyle name="Note 2 5 9 2" xfId="5166"/>
    <cellStyle name="Note 2 6" xfId="5167"/>
    <cellStyle name="Note 2 6 10" xfId="5168"/>
    <cellStyle name="Note 2 6 10 2" xfId="5169"/>
    <cellStyle name="Note 2 6 11" xfId="5170"/>
    <cellStyle name="Note 2 6 2" xfId="5171"/>
    <cellStyle name="Note 2 6 2 2" xfId="5172"/>
    <cellStyle name="Note 2 6 2 2 2" xfId="5173"/>
    <cellStyle name="Note 2 6 2 3" xfId="5174"/>
    <cellStyle name="Note 2 6 3" xfId="5175"/>
    <cellStyle name="Note 2 6 3 2" xfId="5176"/>
    <cellStyle name="Note 2 6 4" xfId="5177"/>
    <cellStyle name="Note 2 6 4 2" xfId="5178"/>
    <cellStyle name="Note 2 6 5" xfId="5179"/>
    <cellStyle name="Note 2 6 5 2" xfId="5180"/>
    <cellStyle name="Note 2 6 6" xfId="5181"/>
    <cellStyle name="Note 2 6 6 2" xfId="5182"/>
    <cellStyle name="Note 2 6 7" xfId="5183"/>
    <cellStyle name="Note 2 6 7 2" xfId="5184"/>
    <cellStyle name="Note 2 6 8" xfId="5185"/>
    <cellStyle name="Note 2 6 8 2" xfId="5186"/>
    <cellStyle name="Note 2 6 9" xfId="5187"/>
    <cellStyle name="Note 2 6 9 2" xfId="5188"/>
    <cellStyle name="Note 2 7" xfId="5189"/>
    <cellStyle name="Note 2 7 10" xfId="5190"/>
    <cellStyle name="Note 2 7 10 2" xfId="5191"/>
    <cellStyle name="Note 2 7 11" xfId="5192"/>
    <cellStyle name="Note 2 7 2" xfId="5193"/>
    <cellStyle name="Note 2 7 2 2" xfId="5194"/>
    <cellStyle name="Note 2 7 2 2 2" xfId="5195"/>
    <cellStyle name="Note 2 7 2 3" xfId="5196"/>
    <cellStyle name="Note 2 7 3" xfId="5197"/>
    <cellStyle name="Note 2 7 3 2" xfId="5198"/>
    <cellStyle name="Note 2 7 4" xfId="5199"/>
    <cellStyle name="Note 2 7 4 2" xfId="5200"/>
    <cellStyle name="Note 2 7 5" xfId="5201"/>
    <cellStyle name="Note 2 7 5 2" xfId="5202"/>
    <cellStyle name="Note 2 7 6" xfId="5203"/>
    <cellStyle name="Note 2 7 6 2" xfId="5204"/>
    <cellStyle name="Note 2 7 7" xfId="5205"/>
    <cellStyle name="Note 2 7 7 2" xfId="5206"/>
    <cellStyle name="Note 2 7 8" xfId="5207"/>
    <cellStyle name="Note 2 7 8 2" xfId="5208"/>
    <cellStyle name="Note 2 7 9" xfId="5209"/>
    <cellStyle name="Note 2 7 9 2" xfId="5210"/>
    <cellStyle name="Note 2 8" xfId="5211"/>
    <cellStyle name="Note 2 8 2" xfId="5212"/>
    <cellStyle name="Note 2 8 2 2" xfId="5213"/>
    <cellStyle name="Note 2 8 3" xfId="5214"/>
    <cellStyle name="Note 2 9" xfId="5215"/>
    <cellStyle name="Note 2 9 2" xfId="5216"/>
    <cellStyle name="Note 2_7 - Cap Add WS" xfId="619"/>
    <cellStyle name="Note 20" xfId="11312"/>
    <cellStyle name="Note 21" xfId="11301"/>
    <cellStyle name="Note 22" xfId="11313"/>
    <cellStyle name="Note 23" xfId="11315"/>
    <cellStyle name="Note 24" xfId="11317"/>
    <cellStyle name="Note 25" xfId="11319"/>
    <cellStyle name="Note 26" xfId="11321"/>
    <cellStyle name="Note 3" xfId="620"/>
    <cellStyle name="Note 3 10" xfId="5217"/>
    <cellStyle name="Note 3 10 2" xfId="5218"/>
    <cellStyle name="Note 3 11" xfId="5219"/>
    <cellStyle name="Note 3 11 2" xfId="5220"/>
    <cellStyle name="Note 3 12" xfId="5221"/>
    <cellStyle name="Note 3 12 2" xfId="5222"/>
    <cellStyle name="Note 3 13" xfId="5223"/>
    <cellStyle name="Note 3 13 2" xfId="5224"/>
    <cellStyle name="Note 3 14" xfId="5225"/>
    <cellStyle name="Note 3 2" xfId="621"/>
    <cellStyle name="Note 3 2 10" xfId="5226"/>
    <cellStyle name="Note 3 2 10 2" xfId="5227"/>
    <cellStyle name="Note 3 2 11" xfId="5228"/>
    <cellStyle name="Note 3 2 11 2" xfId="5229"/>
    <cellStyle name="Note 3 2 12" xfId="5230"/>
    <cellStyle name="Note 3 2 12 2" xfId="5231"/>
    <cellStyle name="Note 3 2 13" xfId="5232"/>
    <cellStyle name="Note 3 2 2" xfId="5233"/>
    <cellStyle name="Note 3 2 2 2" xfId="5234"/>
    <cellStyle name="Note 3 2 2 2 2" xfId="5235"/>
    <cellStyle name="Note 3 2 2 2 2 2" xfId="5236"/>
    <cellStyle name="Note 3 2 2 2 3" xfId="5237"/>
    <cellStyle name="Note 3 2 2 3" xfId="5238"/>
    <cellStyle name="Note 3 2 2 3 2" xfId="5239"/>
    <cellStyle name="Note 3 2 2 3 2 2" xfId="5240"/>
    <cellStyle name="Note 3 2 2 3 3" xfId="5241"/>
    <cellStyle name="Note 3 2 2 4" xfId="5242"/>
    <cellStyle name="Note 3 2 2 4 2" xfId="5243"/>
    <cellStyle name="Note 3 2 2 5" xfId="5244"/>
    <cellStyle name="Note 3 2 2 5 2" xfId="5245"/>
    <cellStyle name="Note 3 2 2 6" xfId="5246"/>
    <cellStyle name="Note 3 2 2 6 2" xfId="5247"/>
    <cellStyle name="Note 3 2 2 7" xfId="5248"/>
    <cellStyle name="Note 3 2 2 7 2" xfId="5249"/>
    <cellStyle name="Note 3 2 2 8" xfId="5250"/>
    <cellStyle name="Note 3 2 3" xfId="5251"/>
    <cellStyle name="Note 3 2 3 10" xfId="5252"/>
    <cellStyle name="Note 3 2 3 10 2" xfId="5253"/>
    <cellStyle name="Note 3 2 3 11" xfId="5254"/>
    <cellStyle name="Note 3 2 3 2" xfId="5255"/>
    <cellStyle name="Note 3 2 3 2 2" xfId="5256"/>
    <cellStyle name="Note 3 2 3 2 2 2" xfId="5257"/>
    <cellStyle name="Note 3 2 3 2 3" xfId="5258"/>
    <cellStyle name="Note 3 2 3 3" xfId="5259"/>
    <cellStyle name="Note 3 2 3 3 2" xfId="5260"/>
    <cellStyle name="Note 3 2 3 4" xfId="5261"/>
    <cellStyle name="Note 3 2 3 4 2" xfId="5262"/>
    <cellStyle name="Note 3 2 3 5" xfId="5263"/>
    <cellStyle name="Note 3 2 3 5 2" xfId="5264"/>
    <cellStyle name="Note 3 2 3 6" xfId="5265"/>
    <cellStyle name="Note 3 2 3 6 2" xfId="5266"/>
    <cellStyle name="Note 3 2 3 7" xfId="5267"/>
    <cellStyle name="Note 3 2 3 7 2" xfId="5268"/>
    <cellStyle name="Note 3 2 3 8" xfId="5269"/>
    <cellStyle name="Note 3 2 3 8 2" xfId="5270"/>
    <cellStyle name="Note 3 2 3 9" xfId="5271"/>
    <cellStyle name="Note 3 2 3 9 2" xfId="5272"/>
    <cellStyle name="Note 3 2 4" xfId="5273"/>
    <cellStyle name="Note 3 2 4 10" xfId="5274"/>
    <cellStyle name="Note 3 2 4 10 2" xfId="5275"/>
    <cellStyle name="Note 3 2 4 11" xfId="5276"/>
    <cellStyle name="Note 3 2 4 2" xfId="5277"/>
    <cellStyle name="Note 3 2 4 2 2" xfId="5278"/>
    <cellStyle name="Note 3 2 4 2 2 2" xfId="5279"/>
    <cellStyle name="Note 3 2 4 2 3" xfId="5280"/>
    <cellStyle name="Note 3 2 4 3" xfId="5281"/>
    <cellStyle name="Note 3 2 4 3 2" xfId="5282"/>
    <cellStyle name="Note 3 2 4 4" xfId="5283"/>
    <cellStyle name="Note 3 2 4 4 2" xfId="5284"/>
    <cellStyle name="Note 3 2 4 5" xfId="5285"/>
    <cellStyle name="Note 3 2 4 5 2" xfId="5286"/>
    <cellStyle name="Note 3 2 4 6" xfId="5287"/>
    <cellStyle name="Note 3 2 4 6 2" xfId="5288"/>
    <cellStyle name="Note 3 2 4 7" xfId="5289"/>
    <cellStyle name="Note 3 2 4 7 2" xfId="5290"/>
    <cellStyle name="Note 3 2 4 8" xfId="5291"/>
    <cellStyle name="Note 3 2 4 8 2" xfId="5292"/>
    <cellStyle name="Note 3 2 4 9" xfId="5293"/>
    <cellStyle name="Note 3 2 4 9 2" xfId="5294"/>
    <cellStyle name="Note 3 2 5" xfId="5295"/>
    <cellStyle name="Note 3 2 5 10" xfId="5296"/>
    <cellStyle name="Note 3 2 5 10 2" xfId="5297"/>
    <cellStyle name="Note 3 2 5 11" xfId="5298"/>
    <cellStyle name="Note 3 2 5 2" xfId="5299"/>
    <cellStyle name="Note 3 2 5 2 2" xfId="5300"/>
    <cellStyle name="Note 3 2 5 2 2 2" xfId="5301"/>
    <cellStyle name="Note 3 2 5 2 3" xfId="5302"/>
    <cellStyle name="Note 3 2 5 3" xfId="5303"/>
    <cellStyle name="Note 3 2 5 3 2" xfId="5304"/>
    <cellStyle name="Note 3 2 5 4" xfId="5305"/>
    <cellStyle name="Note 3 2 5 4 2" xfId="5306"/>
    <cellStyle name="Note 3 2 5 5" xfId="5307"/>
    <cellStyle name="Note 3 2 5 5 2" xfId="5308"/>
    <cellStyle name="Note 3 2 5 6" xfId="5309"/>
    <cellStyle name="Note 3 2 5 6 2" xfId="5310"/>
    <cellStyle name="Note 3 2 5 7" xfId="5311"/>
    <cellStyle name="Note 3 2 5 7 2" xfId="5312"/>
    <cellStyle name="Note 3 2 5 8" xfId="5313"/>
    <cellStyle name="Note 3 2 5 8 2" xfId="5314"/>
    <cellStyle name="Note 3 2 5 9" xfId="5315"/>
    <cellStyle name="Note 3 2 5 9 2" xfId="5316"/>
    <cellStyle name="Note 3 2 6" xfId="5317"/>
    <cellStyle name="Note 3 2 6 10" xfId="5318"/>
    <cellStyle name="Note 3 2 6 10 2" xfId="5319"/>
    <cellStyle name="Note 3 2 6 11" xfId="5320"/>
    <cellStyle name="Note 3 2 6 2" xfId="5321"/>
    <cellStyle name="Note 3 2 6 2 2" xfId="5322"/>
    <cellStyle name="Note 3 2 6 2 2 2" xfId="5323"/>
    <cellStyle name="Note 3 2 6 2 3" xfId="5324"/>
    <cellStyle name="Note 3 2 6 3" xfId="5325"/>
    <cellStyle name="Note 3 2 6 3 2" xfId="5326"/>
    <cellStyle name="Note 3 2 6 4" xfId="5327"/>
    <cellStyle name="Note 3 2 6 4 2" xfId="5328"/>
    <cellStyle name="Note 3 2 6 5" xfId="5329"/>
    <cellStyle name="Note 3 2 6 5 2" xfId="5330"/>
    <cellStyle name="Note 3 2 6 6" xfId="5331"/>
    <cellStyle name="Note 3 2 6 6 2" xfId="5332"/>
    <cellStyle name="Note 3 2 6 7" xfId="5333"/>
    <cellStyle name="Note 3 2 6 7 2" xfId="5334"/>
    <cellStyle name="Note 3 2 6 8" xfId="5335"/>
    <cellStyle name="Note 3 2 6 8 2" xfId="5336"/>
    <cellStyle name="Note 3 2 6 9" xfId="5337"/>
    <cellStyle name="Note 3 2 6 9 2" xfId="5338"/>
    <cellStyle name="Note 3 2 7" xfId="5339"/>
    <cellStyle name="Note 3 2 7 2" xfId="5340"/>
    <cellStyle name="Note 3 2 7 2 2" xfId="5341"/>
    <cellStyle name="Note 3 2 7 3" xfId="5342"/>
    <cellStyle name="Note 3 2 8" xfId="5343"/>
    <cellStyle name="Note 3 2 8 2" xfId="5344"/>
    <cellStyle name="Note 3 2 9" xfId="5345"/>
    <cellStyle name="Note 3 2 9 2" xfId="5346"/>
    <cellStyle name="Note 3 3" xfId="5347"/>
    <cellStyle name="Note 3 3 2" xfId="5348"/>
    <cellStyle name="Note 3 3 2 2" xfId="5349"/>
    <cellStyle name="Note 3 3 2 2 2" xfId="5350"/>
    <cellStyle name="Note 3 3 2 3" xfId="5351"/>
    <cellStyle name="Note 3 3 3" xfId="5352"/>
    <cellStyle name="Note 3 3 3 2" xfId="5353"/>
    <cellStyle name="Note 3 3 3 2 2" xfId="5354"/>
    <cellStyle name="Note 3 3 3 3" xfId="5355"/>
    <cellStyle name="Note 3 3 4" xfId="5356"/>
    <cellStyle name="Note 3 3 4 2" xfId="5357"/>
    <cellStyle name="Note 3 3 5" xfId="5358"/>
    <cellStyle name="Note 3 3 5 2" xfId="5359"/>
    <cellStyle name="Note 3 3 6" xfId="5360"/>
    <cellStyle name="Note 3 3 6 2" xfId="5361"/>
    <cellStyle name="Note 3 3 7" xfId="5362"/>
    <cellStyle name="Note 3 3 7 2" xfId="5363"/>
    <cellStyle name="Note 3 3 8" xfId="5364"/>
    <cellStyle name="Note 3 4" xfId="5365"/>
    <cellStyle name="Note 3 4 10" xfId="5366"/>
    <cellStyle name="Note 3 4 10 2" xfId="5367"/>
    <cellStyle name="Note 3 4 11" xfId="5368"/>
    <cellStyle name="Note 3 4 2" xfId="5369"/>
    <cellStyle name="Note 3 4 2 2" xfId="5370"/>
    <cellStyle name="Note 3 4 2 2 2" xfId="5371"/>
    <cellStyle name="Note 3 4 2 3" xfId="5372"/>
    <cellStyle name="Note 3 4 3" xfId="5373"/>
    <cellStyle name="Note 3 4 3 2" xfId="5374"/>
    <cellStyle name="Note 3 4 4" xfId="5375"/>
    <cellStyle name="Note 3 4 4 2" xfId="5376"/>
    <cellStyle name="Note 3 4 5" xfId="5377"/>
    <cellStyle name="Note 3 4 5 2" xfId="5378"/>
    <cellStyle name="Note 3 4 6" xfId="5379"/>
    <cellStyle name="Note 3 4 6 2" xfId="5380"/>
    <cellStyle name="Note 3 4 7" xfId="5381"/>
    <cellStyle name="Note 3 4 7 2" xfId="5382"/>
    <cellStyle name="Note 3 4 8" xfId="5383"/>
    <cellStyle name="Note 3 4 8 2" xfId="5384"/>
    <cellStyle name="Note 3 4 9" xfId="5385"/>
    <cellStyle name="Note 3 4 9 2" xfId="5386"/>
    <cellStyle name="Note 3 5" xfId="5387"/>
    <cellStyle name="Note 3 5 10" xfId="5388"/>
    <cellStyle name="Note 3 5 10 2" xfId="5389"/>
    <cellStyle name="Note 3 5 11" xfId="5390"/>
    <cellStyle name="Note 3 5 2" xfId="5391"/>
    <cellStyle name="Note 3 5 2 2" xfId="5392"/>
    <cellStyle name="Note 3 5 2 2 2" xfId="5393"/>
    <cellStyle name="Note 3 5 2 3" xfId="5394"/>
    <cellStyle name="Note 3 5 3" xfId="5395"/>
    <cellStyle name="Note 3 5 3 2" xfId="5396"/>
    <cellStyle name="Note 3 5 4" xfId="5397"/>
    <cellStyle name="Note 3 5 4 2" xfId="5398"/>
    <cellStyle name="Note 3 5 5" xfId="5399"/>
    <cellStyle name="Note 3 5 5 2" xfId="5400"/>
    <cellStyle name="Note 3 5 6" xfId="5401"/>
    <cellStyle name="Note 3 5 6 2" xfId="5402"/>
    <cellStyle name="Note 3 5 7" xfId="5403"/>
    <cellStyle name="Note 3 5 7 2" xfId="5404"/>
    <cellStyle name="Note 3 5 8" xfId="5405"/>
    <cellStyle name="Note 3 5 8 2" xfId="5406"/>
    <cellStyle name="Note 3 5 9" xfId="5407"/>
    <cellStyle name="Note 3 5 9 2" xfId="5408"/>
    <cellStyle name="Note 3 6" xfId="5409"/>
    <cellStyle name="Note 3 6 10" xfId="5410"/>
    <cellStyle name="Note 3 6 10 2" xfId="5411"/>
    <cellStyle name="Note 3 6 11" xfId="5412"/>
    <cellStyle name="Note 3 6 2" xfId="5413"/>
    <cellStyle name="Note 3 6 2 2" xfId="5414"/>
    <cellStyle name="Note 3 6 2 2 2" xfId="5415"/>
    <cellStyle name="Note 3 6 2 3" xfId="5416"/>
    <cellStyle name="Note 3 6 3" xfId="5417"/>
    <cellStyle name="Note 3 6 3 2" xfId="5418"/>
    <cellStyle name="Note 3 6 4" xfId="5419"/>
    <cellStyle name="Note 3 6 4 2" xfId="5420"/>
    <cellStyle name="Note 3 6 5" xfId="5421"/>
    <cellStyle name="Note 3 6 5 2" xfId="5422"/>
    <cellStyle name="Note 3 6 6" xfId="5423"/>
    <cellStyle name="Note 3 6 6 2" xfId="5424"/>
    <cellStyle name="Note 3 6 7" xfId="5425"/>
    <cellStyle name="Note 3 6 7 2" xfId="5426"/>
    <cellStyle name="Note 3 6 8" xfId="5427"/>
    <cellStyle name="Note 3 6 8 2" xfId="5428"/>
    <cellStyle name="Note 3 6 9" xfId="5429"/>
    <cellStyle name="Note 3 6 9 2" xfId="5430"/>
    <cellStyle name="Note 3 7" xfId="5431"/>
    <cellStyle name="Note 3 7 10" xfId="5432"/>
    <cellStyle name="Note 3 7 10 2" xfId="5433"/>
    <cellStyle name="Note 3 7 11" xfId="5434"/>
    <cellStyle name="Note 3 7 2" xfId="5435"/>
    <cellStyle name="Note 3 7 2 2" xfId="5436"/>
    <cellStyle name="Note 3 7 2 2 2" xfId="5437"/>
    <cellStyle name="Note 3 7 2 3" xfId="5438"/>
    <cellStyle name="Note 3 7 3" xfId="5439"/>
    <cellStyle name="Note 3 7 3 2" xfId="5440"/>
    <cellStyle name="Note 3 7 4" xfId="5441"/>
    <cellStyle name="Note 3 7 4 2" xfId="5442"/>
    <cellStyle name="Note 3 7 5" xfId="5443"/>
    <cellStyle name="Note 3 7 5 2" xfId="5444"/>
    <cellStyle name="Note 3 7 6" xfId="5445"/>
    <cellStyle name="Note 3 7 6 2" xfId="5446"/>
    <cellStyle name="Note 3 7 7" xfId="5447"/>
    <cellStyle name="Note 3 7 7 2" xfId="5448"/>
    <cellStyle name="Note 3 7 8" xfId="5449"/>
    <cellStyle name="Note 3 7 8 2" xfId="5450"/>
    <cellStyle name="Note 3 7 9" xfId="5451"/>
    <cellStyle name="Note 3 7 9 2" xfId="5452"/>
    <cellStyle name="Note 3 8" xfId="5453"/>
    <cellStyle name="Note 3 8 2" xfId="5454"/>
    <cellStyle name="Note 3 8 2 2" xfId="5455"/>
    <cellStyle name="Note 3 8 3" xfId="5456"/>
    <cellStyle name="Note 3 9" xfId="5457"/>
    <cellStyle name="Note 3 9 2" xfId="5458"/>
    <cellStyle name="Note 3_7 - Cap Add WS" xfId="622"/>
    <cellStyle name="Note 4" xfId="623"/>
    <cellStyle name="Note 4 10" xfId="5459"/>
    <cellStyle name="Note 4 10 2" xfId="5460"/>
    <cellStyle name="Note 4 11" xfId="5461"/>
    <cellStyle name="Note 4 11 2" xfId="5462"/>
    <cellStyle name="Note 4 12" xfId="5463"/>
    <cellStyle name="Note 4 12 2" xfId="5464"/>
    <cellStyle name="Note 4 13" xfId="5465"/>
    <cellStyle name="Note 4 13 2" xfId="5466"/>
    <cellStyle name="Note 4 14" xfId="5467"/>
    <cellStyle name="Note 4 2" xfId="624"/>
    <cellStyle name="Note 4 2 10" xfId="5468"/>
    <cellStyle name="Note 4 2 10 2" xfId="5469"/>
    <cellStyle name="Note 4 2 11" xfId="5470"/>
    <cellStyle name="Note 4 2 11 2" xfId="5471"/>
    <cellStyle name="Note 4 2 12" xfId="5472"/>
    <cellStyle name="Note 4 2 12 2" xfId="5473"/>
    <cellStyle name="Note 4 2 13" xfId="5474"/>
    <cellStyle name="Note 4 2 2" xfId="5475"/>
    <cellStyle name="Note 4 2 2 2" xfId="5476"/>
    <cellStyle name="Note 4 2 2 2 2" xfId="5477"/>
    <cellStyle name="Note 4 2 2 2 2 2" xfId="5478"/>
    <cellStyle name="Note 4 2 2 2 3" xfId="5479"/>
    <cellStyle name="Note 4 2 2 3" xfId="5480"/>
    <cellStyle name="Note 4 2 2 3 2" xfId="5481"/>
    <cellStyle name="Note 4 2 2 3 2 2" xfId="5482"/>
    <cellStyle name="Note 4 2 2 3 3" xfId="5483"/>
    <cellStyle name="Note 4 2 2 4" xfId="5484"/>
    <cellStyle name="Note 4 2 2 4 2" xfId="5485"/>
    <cellStyle name="Note 4 2 2 5" xfId="5486"/>
    <cellStyle name="Note 4 2 2 5 2" xfId="5487"/>
    <cellStyle name="Note 4 2 2 6" xfId="5488"/>
    <cellStyle name="Note 4 2 2 6 2" xfId="5489"/>
    <cellStyle name="Note 4 2 2 7" xfId="5490"/>
    <cellStyle name="Note 4 2 2 7 2" xfId="5491"/>
    <cellStyle name="Note 4 2 2 8" xfId="5492"/>
    <cellStyle name="Note 4 2 3" xfId="5493"/>
    <cellStyle name="Note 4 2 3 10" xfId="5494"/>
    <cellStyle name="Note 4 2 3 10 2" xfId="5495"/>
    <cellStyle name="Note 4 2 3 11" xfId="5496"/>
    <cellStyle name="Note 4 2 3 2" xfId="5497"/>
    <cellStyle name="Note 4 2 3 2 2" xfId="5498"/>
    <cellStyle name="Note 4 2 3 2 2 2" xfId="5499"/>
    <cellStyle name="Note 4 2 3 2 3" xfId="5500"/>
    <cellStyle name="Note 4 2 3 3" xfId="5501"/>
    <cellStyle name="Note 4 2 3 3 2" xfId="5502"/>
    <cellStyle name="Note 4 2 3 4" xfId="5503"/>
    <cellStyle name="Note 4 2 3 4 2" xfId="5504"/>
    <cellStyle name="Note 4 2 3 5" xfId="5505"/>
    <cellStyle name="Note 4 2 3 5 2" xfId="5506"/>
    <cellStyle name="Note 4 2 3 6" xfId="5507"/>
    <cellStyle name="Note 4 2 3 6 2" xfId="5508"/>
    <cellStyle name="Note 4 2 3 7" xfId="5509"/>
    <cellStyle name="Note 4 2 3 7 2" xfId="5510"/>
    <cellStyle name="Note 4 2 3 8" xfId="5511"/>
    <cellStyle name="Note 4 2 3 8 2" xfId="5512"/>
    <cellStyle name="Note 4 2 3 9" xfId="5513"/>
    <cellStyle name="Note 4 2 3 9 2" xfId="5514"/>
    <cellStyle name="Note 4 2 4" xfId="5515"/>
    <cellStyle name="Note 4 2 4 10" xfId="5516"/>
    <cellStyle name="Note 4 2 4 10 2" xfId="5517"/>
    <cellStyle name="Note 4 2 4 11" xfId="5518"/>
    <cellStyle name="Note 4 2 4 2" xfId="5519"/>
    <cellStyle name="Note 4 2 4 2 2" xfId="5520"/>
    <cellStyle name="Note 4 2 4 2 2 2" xfId="5521"/>
    <cellStyle name="Note 4 2 4 2 3" xfId="5522"/>
    <cellStyle name="Note 4 2 4 3" xfId="5523"/>
    <cellStyle name="Note 4 2 4 3 2" xfId="5524"/>
    <cellStyle name="Note 4 2 4 4" xfId="5525"/>
    <cellStyle name="Note 4 2 4 4 2" xfId="5526"/>
    <cellStyle name="Note 4 2 4 5" xfId="5527"/>
    <cellStyle name="Note 4 2 4 5 2" xfId="5528"/>
    <cellStyle name="Note 4 2 4 6" xfId="5529"/>
    <cellStyle name="Note 4 2 4 6 2" xfId="5530"/>
    <cellStyle name="Note 4 2 4 7" xfId="5531"/>
    <cellStyle name="Note 4 2 4 7 2" xfId="5532"/>
    <cellStyle name="Note 4 2 4 8" xfId="5533"/>
    <cellStyle name="Note 4 2 4 8 2" xfId="5534"/>
    <cellStyle name="Note 4 2 4 9" xfId="5535"/>
    <cellStyle name="Note 4 2 4 9 2" xfId="5536"/>
    <cellStyle name="Note 4 2 5" xfId="5537"/>
    <cellStyle name="Note 4 2 5 10" xfId="5538"/>
    <cellStyle name="Note 4 2 5 10 2" xfId="5539"/>
    <cellStyle name="Note 4 2 5 11" xfId="5540"/>
    <cellStyle name="Note 4 2 5 2" xfId="5541"/>
    <cellStyle name="Note 4 2 5 2 2" xfId="5542"/>
    <cellStyle name="Note 4 2 5 2 2 2" xfId="5543"/>
    <cellStyle name="Note 4 2 5 2 3" xfId="5544"/>
    <cellStyle name="Note 4 2 5 3" xfId="5545"/>
    <cellStyle name="Note 4 2 5 3 2" xfId="5546"/>
    <cellStyle name="Note 4 2 5 4" xfId="5547"/>
    <cellStyle name="Note 4 2 5 4 2" xfId="5548"/>
    <cellStyle name="Note 4 2 5 5" xfId="5549"/>
    <cellStyle name="Note 4 2 5 5 2" xfId="5550"/>
    <cellStyle name="Note 4 2 5 6" xfId="5551"/>
    <cellStyle name="Note 4 2 5 6 2" xfId="5552"/>
    <cellStyle name="Note 4 2 5 7" xfId="5553"/>
    <cellStyle name="Note 4 2 5 7 2" xfId="5554"/>
    <cellStyle name="Note 4 2 5 8" xfId="5555"/>
    <cellStyle name="Note 4 2 5 8 2" xfId="5556"/>
    <cellStyle name="Note 4 2 5 9" xfId="5557"/>
    <cellStyle name="Note 4 2 5 9 2" xfId="5558"/>
    <cellStyle name="Note 4 2 6" xfId="5559"/>
    <cellStyle name="Note 4 2 6 10" xfId="5560"/>
    <cellStyle name="Note 4 2 6 10 2" xfId="5561"/>
    <cellStyle name="Note 4 2 6 11" xfId="5562"/>
    <cellStyle name="Note 4 2 6 2" xfId="5563"/>
    <cellStyle name="Note 4 2 6 2 2" xfId="5564"/>
    <cellStyle name="Note 4 2 6 2 2 2" xfId="5565"/>
    <cellStyle name="Note 4 2 6 2 3" xfId="5566"/>
    <cellStyle name="Note 4 2 6 3" xfId="5567"/>
    <cellStyle name="Note 4 2 6 3 2" xfId="5568"/>
    <cellStyle name="Note 4 2 6 4" xfId="5569"/>
    <cellStyle name="Note 4 2 6 4 2" xfId="5570"/>
    <cellStyle name="Note 4 2 6 5" xfId="5571"/>
    <cellStyle name="Note 4 2 6 5 2" xfId="5572"/>
    <cellStyle name="Note 4 2 6 6" xfId="5573"/>
    <cellStyle name="Note 4 2 6 6 2" xfId="5574"/>
    <cellStyle name="Note 4 2 6 7" xfId="5575"/>
    <cellStyle name="Note 4 2 6 7 2" xfId="5576"/>
    <cellStyle name="Note 4 2 6 8" xfId="5577"/>
    <cellStyle name="Note 4 2 6 8 2" xfId="5578"/>
    <cellStyle name="Note 4 2 6 9" xfId="5579"/>
    <cellStyle name="Note 4 2 6 9 2" xfId="5580"/>
    <cellStyle name="Note 4 2 7" xfId="5581"/>
    <cellStyle name="Note 4 2 7 2" xfId="5582"/>
    <cellStyle name="Note 4 2 7 2 2" xfId="5583"/>
    <cellStyle name="Note 4 2 7 3" xfId="5584"/>
    <cellStyle name="Note 4 2 8" xfId="5585"/>
    <cellStyle name="Note 4 2 8 2" xfId="5586"/>
    <cellStyle name="Note 4 2 9" xfId="5587"/>
    <cellStyle name="Note 4 2 9 2" xfId="5588"/>
    <cellStyle name="Note 4 3" xfId="5589"/>
    <cellStyle name="Note 4 3 2" xfId="5590"/>
    <cellStyle name="Note 4 3 2 2" xfId="5591"/>
    <cellStyle name="Note 4 3 2 2 2" xfId="5592"/>
    <cellStyle name="Note 4 3 2 3" xfId="5593"/>
    <cellStyle name="Note 4 3 3" xfId="5594"/>
    <cellStyle name="Note 4 3 3 2" xfId="5595"/>
    <cellStyle name="Note 4 3 3 2 2" xfId="5596"/>
    <cellStyle name="Note 4 3 3 3" xfId="5597"/>
    <cellStyle name="Note 4 3 4" xfId="5598"/>
    <cellStyle name="Note 4 3 4 2" xfId="5599"/>
    <cellStyle name="Note 4 3 5" xfId="5600"/>
    <cellStyle name="Note 4 3 5 2" xfId="5601"/>
    <cellStyle name="Note 4 3 6" xfId="5602"/>
    <cellStyle name="Note 4 3 6 2" xfId="5603"/>
    <cellStyle name="Note 4 3 7" xfId="5604"/>
    <cellStyle name="Note 4 3 7 2" xfId="5605"/>
    <cellStyle name="Note 4 3 8" xfId="5606"/>
    <cellStyle name="Note 4 4" xfId="5607"/>
    <cellStyle name="Note 4 4 10" xfId="5608"/>
    <cellStyle name="Note 4 4 10 2" xfId="5609"/>
    <cellStyle name="Note 4 4 11" xfId="5610"/>
    <cellStyle name="Note 4 4 2" xfId="5611"/>
    <cellStyle name="Note 4 4 2 2" xfId="5612"/>
    <cellStyle name="Note 4 4 2 2 2" xfId="5613"/>
    <cellStyle name="Note 4 4 2 3" xfId="5614"/>
    <cellStyle name="Note 4 4 3" xfId="5615"/>
    <cellStyle name="Note 4 4 3 2" xfId="5616"/>
    <cellStyle name="Note 4 4 4" xfId="5617"/>
    <cellStyle name="Note 4 4 4 2" xfId="5618"/>
    <cellStyle name="Note 4 4 5" xfId="5619"/>
    <cellStyle name="Note 4 4 5 2" xfId="5620"/>
    <cellStyle name="Note 4 4 6" xfId="5621"/>
    <cellStyle name="Note 4 4 6 2" xfId="5622"/>
    <cellStyle name="Note 4 4 7" xfId="5623"/>
    <cellStyle name="Note 4 4 7 2" xfId="5624"/>
    <cellStyle name="Note 4 4 8" xfId="5625"/>
    <cellStyle name="Note 4 4 8 2" xfId="5626"/>
    <cellStyle name="Note 4 4 9" xfId="5627"/>
    <cellStyle name="Note 4 4 9 2" xfId="5628"/>
    <cellStyle name="Note 4 5" xfId="5629"/>
    <cellStyle name="Note 4 5 10" xfId="5630"/>
    <cellStyle name="Note 4 5 10 2" xfId="5631"/>
    <cellStyle name="Note 4 5 11" xfId="5632"/>
    <cellStyle name="Note 4 5 2" xfId="5633"/>
    <cellStyle name="Note 4 5 2 2" xfId="5634"/>
    <cellStyle name="Note 4 5 2 2 2" xfId="5635"/>
    <cellStyle name="Note 4 5 2 3" xfId="5636"/>
    <cellStyle name="Note 4 5 3" xfId="5637"/>
    <cellStyle name="Note 4 5 3 2" xfId="5638"/>
    <cellStyle name="Note 4 5 4" xfId="5639"/>
    <cellStyle name="Note 4 5 4 2" xfId="5640"/>
    <cellStyle name="Note 4 5 5" xfId="5641"/>
    <cellStyle name="Note 4 5 5 2" xfId="5642"/>
    <cellStyle name="Note 4 5 6" xfId="5643"/>
    <cellStyle name="Note 4 5 6 2" xfId="5644"/>
    <cellStyle name="Note 4 5 7" xfId="5645"/>
    <cellStyle name="Note 4 5 7 2" xfId="5646"/>
    <cellStyle name="Note 4 5 8" xfId="5647"/>
    <cellStyle name="Note 4 5 8 2" xfId="5648"/>
    <cellStyle name="Note 4 5 9" xfId="5649"/>
    <cellStyle name="Note 4 5 9 2" xfId="5650"/>
    <cellStyle name="Note 4 6" xfId="5651"/>
    <cellStyle name="Note 4 6 10" xfId="5652"/>
    <cellStyle name="Note 4 6 10 2" xfId="5653"/>
    <cellStyle name="Note 4 6 11" xfId="5654"/>
    <cellStyle name="Note 4 6 2" xfId="5655"/>
    <cellStyle name="Note 4 6 2 2" xfId="5656"/>
    <cellStyle name="Note 4 6 2 2 2" xfId="5657"/>
    <cellStyle name="Note 4 6 2 3" xfId="5658"/>
    <cellStyle name="Note 4 6 3" xfId="5659"/>
    <cellStyle name="Note 4 6 3 2" xfId="5660"/>
    <cellStyle name="Note 4 6 4" xfId="5661"/>
    <cellStyle name="Note 4 6 4 2" xfId="5662"/>
    <cellStyle name="Note 4 6 5" xfId="5663"/>
    <cellStyle name="Note 4 6 5 2" xfId="5664"/>
    <cellStyle name="Note 4 6 6" xfId="5665"/>
    <cellStyle name="Note 4 6 6 2" xfId="5666"/>
    <cellStyle name="Note 4 6 7" xfId="5667"/>
    <cellStyle name="Note 4 6 7 2" xfId="5668"/>
    <cellStyle name="Note 4 6 8" xfId="5669"/>
    <cellStyle name="Note 4 6 8 2" xfId="5670"/>
    <cellStyle name="Note 4 6 9" xfId="5671"/>
    <cellStyle name="Note 4 6 9 2" xfId="5672"/>
    <cellStyle name="Note 4 7" xfId="5673"/>
    <cellStyle name="Note 4 7 10" xfId="5674"/>
    <cellStyle name="Note 4 7 10 2" xfId="5675"/>
    <cellStyle name="Note 4 7 11" xfId="5676"/>
    <cellStyle name="Note 4 7 2" xfId="5677"/>
    <cellStyle name="Note 4 7 2 2" xfId="5678"/>
    <cellStyle name="Note 4 7 2 2 2" xfId="5679"/>
    <cellStyle name="Note 4 7 2 3" xfId="5680"/>
    <cellStyle name="Note 4 7 3" xfId="5681"/>
    <cellStyle name="Note 4 7 3 2" xfId="5682"/>
    <cellStyle name="Note 4 7 4" xfId="5683"/>
    <cellStyle name="Note 4 7 4 2" xfId="5684"/>
    <cellStyle name="Note 4 7 5" xfId="5685"/>
    <cellStyle name="Note 4 7 5 2" xfId="5686"/>
    <cellStyle name="Note 4 7 6" xfId="5687"/>
    <cellStyle name="Note 4 7 6 2" xfId="5688"/>
    <cellStyle name="Note 4 7 7" xfId="5689"/>
    <cellStyle name="Note 4 7 7 2" xfId="5690"/>
    <cellStyle name="Note 4 7 8" xfId="5691"/>
    <cellStyle name="Note 4 7 8 2" xfId="5692"/>
    <cellStyle name="Note 4 7 9" xfId="5693"/>
    <cellStyle name="Note 4 7 9 2" xfId="5694"/>
    <cellStyle name="Note 4 8" xfId="5695"/>
    <cellStyle name="Note 4 8 2" xfId="5696"/>
    <cellStyle name="Note 4 8 2 2" xfId="5697"/>
    <cellStyle name="Note 4 8 3" xfId="5698"/>
    <cellStyle name="Note 4 9" xfId="5699"/>
    <cellStyle name="Note 4 9 2" xfId="5700"/>
    <cellStyle name="Note 4_7 - Cap Add WS" xfId="625"/>
    <cellStyle name="Note 5" xfId="626"/>
    <cellStyle name="Note 5 10" xfId="5701"/>
    <cellStyle name="Note 5 10 2" xfId="5702"/>
    <cellStyle name="Note 5 10 2 2" xfId="5703"/>
    <cellStyle name="Note 5 10 3" xfId="5704"/>
    <cellStyle name="Note 5 11" xfId="5705"/>
    <cellStyle name="Note 5 11 2" xfId="5706"/>
    <cellStyle name="Note 5 12" xfId="5707"/>
    <cellStyle name="Note 5 12 2" xfId="5708"/>
    <cellStyle name="Note 5 13" xfId="5709"/>
    <cellStyle name="Note 5 13 2" xfId="5710"/>
    <cellStyle name="Note 5 14" xfId="5711"/>
    <cellStyle name="Note 5 14 2" xfId="5712"/>
    <cellStyle name="Note 5 15" xfId="5713"/>
    <cellStyle name="Note 5 15 2" xfId="5714"/>
    <cellStyle name="Note 5 16" xfId="5715"/>
    <cellStyle name="Note 5 2" xfId="627"/>
    <cellStyle name="Note 5 2 10" xfId="5716"/>
    <cellStyle name="Note 5 2 10 2" xfId="5717"/>
    <cellStyle name="Note 5 2 11" xfId="5718"/>
    <cellStyle name="Note 5 2 11 2" xfId="5719"/>
    <cellStyle name="Note 5 2 12" xfId="5720"/>
    <cellStyle name="Note 5 2 12 2" xfId="5721"/>
    <cellStyle name="Note 5 2 13" xfId="5722"/>
    <cellStyle name="Note 5 2 13 2" xfId="5723"/>
    <cellStyle name="Note 5 2 14" xfId="5724"/>
    <cellStyle name="Note 5 2 2" xfId="628"/>
    <cellStyle name="Note 5 2 2 10" xfId="5725"/>
    <cellStyle name="Note 5 2 2 10 2" xfId="5726"/>
    <cellStyle name="Note 5 2 2 11" xfId="5727"/>
    <cellStyle name="Note 5 2 2 11 2" xfId="5728"/>
    <cellStyle name="Note 5 2 2 12" xfId="5729"/>
    <cellStyle name="Note 5 2 2 12 2" xfId="5730"/>
    <cellStyle name="Note 5 2 2 13" xfId="5731"/>
    <cellStyle name="Note 5 2 2 2" xfId="5732"/>
    <cellStyle name="Note 5 2 2 2 2" xfId="5733"/>
    <cellStyle name="Note 5 2 2 2 2 2" xfId="5734"/>
    <cellStyle name="Note 5 2 2 2 2 2 2" xfId="5735"/>
    <cellStyle name="Note 5 2 2 2 2 3" xfId="5736"/>
    <cellStyle name="Note 5 2 2 2 3" xfId="5737"/>
    <cellStyle name="Note 5 2 2 2 3 2" xfId="5738"/>
    <cellStyle name="Note 5 2 2 2 3 2 2" xfId="5739"/>
    <cellStyle name="Note 5 2 2 2 3 3" xfId="5740"/>
    <cellStyle name="Note 5 2 2 2 4" xfId="5741"/>
    <cellStyle name="Note 5 2 2 2 4 2" xfId="5742"/>
    <cellStyle name="Note 5 2 2 2 5" xfId="5743"/>
    <cellStyle name="Note 5 2 2 2 5 2" xfId="5744"/>
    <cellStyle name="Note 5 2 2 2 6" xfId="5745"/>
    <cellStyle name="Note 5 2 2 2 6 2" xfId="5746"/>
    <cellStyle name="Note 5 2 2 2 7" xfId="5747"/>
    <cellStyle name="Note 5 2 2 2 7 2" xfId="5748"/>
    <cellStyle name="Note 5 2 2 2 8" xfId="5749"/>
    <cellStyle name="Note 5 2 2 3" xfId="5750"/>
    <cellStyle name="Note 5 2 2 3 10" xfId="5751"/>
    <cellStyle name="Note 5 2 2 3 10 2" xfId="5752"/>
    <cellStyle name="Note 5 2 2 3 11" xfId="5753"/>
    <cellStyle name="Note 5 2 2 3 2" xfId="5754"/>
    <cellStyle name="Note 5 2 2 3 2 2" xfId="5755"/>
    <cellStyle name="Note 5 2 2 3 2 2 2" xfId="5756"/>
    <cellStyle name="Note 5 2 2 3 2 3" xfId="5757"/>
    <cellStyle name="Note 5 2 2 3 3" xfId="5758"/>
    <cellStyle name="Note 5 2 2 3 3 2" xfId="5759"/>
    <cellStyle name="Note 5 2 2 3 4" xfId="5760"/>
    <cellStyle name="Note 5 2 2 3 4 2" xfId="5761"/>
    <cellStyle name="Note 5 2 2 3 5" xfId="5762"/>
    <cellStyle name="Note 5 2 2 3 5 2" xfId="5763"/>
    <cellStyle name="Note 5 2 2 3 6" xfId="5764"/>
    <cellStyle name="Note 5 2 2 3 6 2" xfId="5765"/>
    <cellStyle name="Note 5 2 2 3 7" xfId="5766"/>
    <cellStyle name="Note 5 2 2 3 7 2" xfId="5767"/>
    <cellStyle name="Note 5 2 2 3 8" xfId="5768"/>
    <cellStyle name="Note 5 2 2 3 8 2" xfId="5769"/>
    <cellStyle name="Note 5 2 2 3 9" xfId="5770"/>
    <cellStyle name="Note 5 2 2 3 9 2" xfId="5771"/>
    <cellStyle name="Note 5 2 2 4" xfId="5772"/>
    <cellStyle name="Note 5 2 2 4 10" xfId="5773"/>
    <cellStyle name="Note 5 2 2 4 10 2" xfId="5774"/>
    <cellStyle name="Note 5 2 2 4 11" xfId="5775"/>
    <cellStyle name="Note 5 2 2 4 2" xfId="5776"/>
    <cellStyle name="Note 5 2 2 4 2 2" xfId="5777"/>
    <cellStyle name="Note 5 2 2 4 2 2 2" xfId="5778"/>
    <cellStyle name="Note 5 2 2 4 2 3" xfId="5779"/>
    <cellStyle name="Note 5 2 2 4 3" xfId="5780"/>
    <cellStyle name="Note 5 2 2 4 3 2" xfId="5781"/>
    <cellStyle name="Note 5 2 2 4 4" xfId="5782"/>
    <cellStyle name="Note 5 2 2 4 4 2" xfId="5783"/>
    <cellStyle name="Note 5 2 2 4 5" xfId="5784"/>
    <cellStyle name="Note 5 2 2 4 5 2" xfId="5785"/>
    <cellStyle name="Note 5 2 2 4 6" xfId="5786"/>
    <cellStyle name="Note 5 2 2 4 6 2" xfId="5787"/>
    <cellStyle name="Note 5 2 2 4 7" xfId="5788"/>
    <cellStyle name="Note 5 2 2 4 7 2" xfId="5789"/>
    <cellStyle name="Note 5 2 2 4 8" xfId="5790"/>
    <cellStyle name="Note 5 2 2 4 8 2" xfId="5791"/>
    <cellStyle name="Note 5 2 2 4 9" xfId="5792"/>
    <cellStyle name="Note 5 2 2 4 9 2" xfId="5793"/>
    <cellStyle name="Note 5 2 2 5" xfId="5794"/>
    <cellStyle name="Note 5 2 2 5 10" xfId="5795"/>
    <cellStyle name="Note 5 2 2 5 10 2" xfId="5796"/>
    <cellStyle name="Note 5 2 2 5 11" xfId="5797"/>
    <cellStyle name="Note 5 2 2 5 2" xfId="5798"/>
    <cellStyle name="Note 5 2 2 5 2 2" xfId="5799"/>
    <cellStyle name="Note 5 2 2 5 2 2 2" xfId="5800"/>
    <cellStyle name="Note 5 2 2 5 2 3" xfId="5801"/>
    <cellStyle name="Note 5 2 2 5 3" xfId="5802"/>
    <cellStyle name="Note 5 2 2 5 3 2" xfId="5803"/>
    <cellStyle name="Note 5 2 2 5 4" xfId="5804"/>
    <cellStyle name="Note 5 2 2 5 4 2" xfId="5805"/>
    <cellStyle name="Note 5 2 2 5 5" xfId="5806"/>
    <cellStyle name="Note 5 2 2 5 5 2" xfId="5807"/>
    <cellStyle name="Note 5 2 2 5 6" xfId="5808"/>
    <cellStyle name="Note 5 2 2 5 6 2" xfId="5809"/>
    <cellStyle name="Note 5 2 2 5 7" xfId="5810"/>
    <cellStyle name="Note 5 2 2 5 7 2" xfId="5811"/>
    <cellStyle name="Note 5 2 2 5 8" xfId="5812"/>
    <cellStyle name="Note 5 2 2 5 8 2" xfId="5813"/>
    <cellStyle name="Note 5 2 2 5 9" xfId="5814"/>
    <cellStyle name="Note 5 2 2 5 9 2" xfId="5815"/>
    <cellStyle name="Note 5 2 2 6" xfId="5816"/>
    <cellStyle name="Note 5 2 2 6 10" xfId="5817"/>
    <cellStyle name="Note 5 2 2 6 10 2" xfId="5818"/>
    <cellStyle name="Note 5 2 2 6 11" xfId="5819"/>
    <cellStyle name="Note 5 2 2 6 2" xfId="5820"/>
    <cellStyle name="Note 5 2 2 6 2 2" xfId="5821"/>
    <cellStyle name="Note 5 2 2 6 2 2 2" xfId="5822"/>
    <cellStyle name="Note 5 2 2 6 2 3" xfId="5823"/>
    <cellStyle name="Note 5 2 2 6 3" xfId="5824"/>
    <cellStyle name="Note 5 2 2 6 3 2" xfId="5825"/>
    <cellStyle name="Note 5 2 2 6 4" xfId="5826"/>
    <cellStyle name="Note 5 2 2 6 4 2" xfId="5827"/>
    <cellStyle name="Note 5 2 2 6 5" xfId="5828"/>
    <cellStyle name="Note 5 2 2 6 5 2" xfId="5829"/>
    <cellStyle name="Note 5 2 2 6 6" xfId="5830"/>
    <cellStyle name="Note 5 2 2 6 6 2" xfId="5831"/>
    <cellStyle name="Note 5 2 2 6 7" xfId="5832"/>
    <cellStyle name="Note 5 2 2 6 7 2" xfId="5833"/>
    <cellStyle name="Note 5 2 2 6 8" xfId="5834"/>
    <cellStyle name="Note 5 2 2 6 8 2" xfId="5835"/>
    <cellStyle name="Note 5 2 2 6 9" xfId="5836"/>
    <cellStyle name="Note 5 2 2 6 9 2" xfId="5837"/>
    <cellStyle name="Note 5 2 2 7" xfId="5838"/>
    <cellStyle name="Note 5 2 2 7 2" xfId="5839"/>
    <cellStyle name="Note 5 2 2 7 2 2" xfId="5840"/>
    <cellStyle name="Note 5 2 2 7 3" xfId="5841"/>
    <cellStyle name="Note 5 2 2 8" xfId="5842"/>
    <cellStyle name="Note 5 2 2 8 2" xfId="5843"/>
    <cellStyle name="Note 5 2 2 9" xfId="5844"/>
    <cellStyle name="Note 5 2 2 9 2" xfId="5845"/>
    <cellStyle name="Note 5 2 3" xfId="5846"/>
    <cellStyle name="Note 5 2 3 2" xfId="5847"/>
    <cellStyle name="Note 5 2 3 2 2" xfId="5848"/>
    <cellStyle name="Note 5 2 3 2 2 2" xfId="5849"/>
    <cellStyle name="Note 5 2 3 2 3" xfId="5850"/>
    <cellStyle name="Note 5 2 3 3" xfId="5851"/>
    <cellStyle name="Note 5 2 3 3 2" xfId="5852"/>
    <cellStyle name="Note 5 2 3 3 2 2" xfId="5853"/>
    <cellStyle name="Note 5 2 3 3 3" xfId="5854"/>
    <cellStyle name="Note 5 2 3 4" xfId="5855"/>
    <cellStyle name="Note 5 2 3 4 2" xfId="5856"/>
    <cellStyle name="Note 5 2 3 5" xfId="5857"/>
    <cellStyle name="Note 5 2 3 5 2" xfId="5858"/>
    <cellStyle name="Note 5 2 3 6" xfId="5859"/>
    <cellStyle name="Note 5 2 3 6 2" xfId="5860"/>
    <cellStyle name="Note 5 2 3 7" xfId="5861"/>
    <cellStyle name="Note 5 2 3 7 2" xfId="5862"/>
    <cellStyle name="Note 5 2 3 8" xfId="5863"/>
    <cellStyle name="Note 5 2 4" xfId="5864"/>
    <cellStyle name="Note 5 2 4 10" xfId="5865"/>
    <cellStyle name="Note 5 2 4 10 2" xfId="5866"/>
    <cellStyle name="Note 5 2 4 11" xfId="5867"/>
    <cellStyle name="Note 5 2 4 2" xfId="5868"/>
    <cellStyle name="Note 5 2 4 2 2" xfId="5869"/>
    <cellStyle name="Note 5 2 4 2 2 2" xfId="5870"/>
    <cellStyle name="Note 5 2 4 2 3" xfId="5871"/>
    <cellStyle name="Note 5 2 4 3" xfId="5872"/>
    <cellStyle name="Note 5 2 4 3 2" xfId="5873"/>
    <cellStyle name="Note 5 2 4 4" xfId="5874"/>
    <cellStyle name="Note 5 2 4 4 2" xfId="5875"/>
    <cellStyle name="Note 5 2 4 5" xfId="5876"/>
    <cellStyle name="Note 5 2 4 5 2" xfId="5877"/>
    <cellStyle name="Note 5 2 4 6" xfId="5878"/>
    <cellStyle name="Note 5 2 4 6 2" xfId="5879"/>
    <cellStyle name="Note 5 2 4 7" xfId="5880"/>
    <cellStyle name="Note 5 2 4 7 2" xfId="5881"/>
    <cellStyle name="Note 5 2 4 8" xfId="5882"/>
    <cellStyle name="Note 5 2 4 8 2" xfId="5883"/>
    <cellStyle name="Note 5 2 4 9" xfId="5884"/>
    <cellStyle name="Note 5 2 4 9 2" xfId="5885"/>
    <cellStyle name="Note 5 2 5" xfId="5886"/>
    <cellStyle name="Note 5 2 5 10" xfId="5887"/>
    <cellStyle name="Note 5 2 5 10 2" xfId="5888"/>
    <cellStyle name="Note 5 2 5 11" xfId="5889"/>
    <cellStyle name="Note 5 2 5 2" xfId="5890"/>
    <cellStyle name="Note 5 2 5 2 2" xfId="5891"/>
    <cellStyle name="Note 5 2 5 2 2 2" xfId="5892"/>
    <cellStyle name="Note 5 2 5 2 3" xfId="5893"/>
    <cellStyle name="Note 5 2 5 3" xfId="5894"/>
    <cellStyle name="Note 5 2 5 3 2" xfId="5895"/>
    <cellStyle name="Note 5 2 5 4" xfId="5896"/>
    <cellStyle name="Note 5 2 5 4 2" xfId="5897"/>
    <cellStyle name="Note 5 2 5 5" xfId="5898"/>
    <cellStyle name="Note 5 2 5 5 2" xfId="5899"/>
    <cellStyle name="Note 5 2 5 6" xfId="5900"/>
    <cellStyle name="Note 5 2 5 6 2" xfId="5901"/>
    <cellStyle name="Note 5 2 5 7" xfId="5902"/>
    <cellStyle name="Note 5 2 5 7 2" xfId="5903"/>
    <cellStyle name="Note 5 2 5 8" xfId="5904"/>
    <cellStyle name="Note 5 2 5 8 2" xfId="5905"/>
    <cellStyle name="Note 5 2 5 9" xfId="5906"/>
    <cellStyle name="Note 5 2 5 9 2" xfId="5907"/>
    <cellStyle name="Note 5 2 6" xfId="5908"/>
    <cellStyle name="Note 5 2 6 10" xfId="5909"/>
    <cellStyle name="Note 5 2 6 10 2" xfId="5910"/>
    <cellStyle name="Note 5 2 6 11" xfId="5911"/>
    <cellStyle name="Note 5 2 6 2" xfId="5912"/>
    <cellStyle name="Note 5 2 6 2 2" xfId="5913"/>
    <cellStyle name="Note 5 2 6 2 2 2" xfId="5914"/>
    <cellStyle name="Note 5 2 6 2 3" xfId="5915"/>
    <cellStyle name="Note 5 2 6 3" xfId="5916"/>
    <cellStyle name="Note 5 2 6 3 2" xfId="5917"/>
    <cellStyle name="Note 5 2 6 4" xfId="5918"/>
    <cellStyle name="Note 5 2 6 4 2" xfId="5919"/>
    <cellStyle name="Note 5 2 6 5" xfId="5920"/>
    <cellStyle name="Note 5 2 6 5 2" xfId="5921"/>
    <cellStyle name="Note 5 2 6 6" xfId="5922"/>
    <cellStyle name="Note 5 2 6 6 2" xfId="5923"/>
    <cellStyle name="Note 5 2 6 7" xfId="5924"/>
    <cellStyle name="Note 5 2 6 7 2" xfId="5925"/>
    <cellStyle name="Note 5 2 6 8" xfId="5926"/>
    <cellStyle name="Note 5 2 6 8 2" xfId="5927"/>
    <cellStyle name="Note 5 2 6 9" xfId="5928"/>
    <cellStyle name="Note 5 2 6 9 2" xfId="5929"/>
    <cellStyle name="Note 5 2 7" xfId="5930"/>
    <cellStyle name="Note 5 2 7 10" xfId="5931"/>
    <cellStyle name="Note 5 2 7 10 2" xfId="5932"/>
    <cellStyle name="Note 5 2 7 11" xfId="5933"/>
    <cellStyle name="Note 5 2 7 2" xfId="5934"/>
    <cellStyle name="Note 5 2 7 2 2" xfId="5935"/>
    <cellStyle name="Note 5 2 7 2 2 2" xfId="5936"/>
    <cellStyle name="Note 5 2 7 2 3" xfId="5937"/>
    <cellStyle name="Note 5 2 7 3" xfId="5938"/>
    <cellStyle name="Note 5 2 7 3 2" xfId="5939"/>
    <cellStyle name="Note 5 2 7 4" xfId="5940"/>
    <cellStyle name="Note 5 2 7 4 2" xfId="5941"/>
    <cellStyle name="Note 5 2 7 5" xfId="5942"/>
    <cellStyle name="Note 5 2 7 5 2" xfId="5943"/>
    <cellStyle name="Note 5 2 7 6" xfId="5944"/>
    <cellStyle name="Note 5 2 7 6 2" xfId="5945"/>
    <cellStyle name="Note 5 2 7 7" xfId="5946"/>
    <cellStyle name="Note 5 2 7 7 2" xfId="5947"/>
    <cellStyle name="Note 5 2 7 8" xfId="5948"/>
    <cellStyle name="Note 5 2 7 8 2" xfId="5949"/>
    <cellStyle name="Note 5 2 7 9" xfId="5950"/>
    <cellStyle name="Note 5 2 7 9 2" xfId="5951"/>
    <cellStyle name="Note 5 2 8" xfId="5952"/>
    <cellStyle name="Note 5 2 8 2" xfId="5953"/>
    <cellStyle name="Note 5 2 8 2 2" xfId="5954"/>
    <cellStyle name="Note 5 2 8 3" xfId="5955"/>
    <cellStyle name="Note 5 2 9" xfId="5956"/>
    <cellStyle name="Note 5 2 9 2" xfId="5957"/>
    <cellStyle name="Note 5 2_7 - Cap Add WS" xfId="629"/>
    <cellStyle name="Note 5 3" xfId="630"/>
    <cellStyle name="Note 5 3 10" xfId="5958"/>
    <cellStyle name="Note 5 3 10 2" xfId="5959"/>
    <cellStyle name="Note 5 3 11" xfId="5960"/>
    <cellStyle name="Note 5 3 11 2" xfId="5961"/>
    <cellStyle name="Note 5 3 12" xfId="5962"/>
    <cellStyle name="Note 5 3 12 2" xfId="5963"/>
    <cellStyle name="Note 5 3 13" xfId="5964"/>
    <cellStyle name="Note 5 3 13 2" xfId="5965"/>
    <cellStyle name="Note 5 3 14" xfId="5966"/>
    <cellStyle name="Note 5 3 2" xfId="631"/>
    <cellStyle name="Note 5 3 2 10" xfId="5967"/>
    <cellStyle name="Note 5 3 2 10 2" xfId="5968"/>
    <cellStyle name="Note 5 3 2 11" xfId="5969"/>
    <cellStyle name="Note 5 3 2 11 2" xfId="5970"/>
    <cellStyle name="Note 5 3 2 12" xfId="5971"/>
    <cellStyle name="Note 5 3 2 12 2" xfId="5972"/>
    <cellStyle name="Note 5 3 2 13" xfId="5973"/>
    <cellStyle name="Note 5 3 2 2" xfId="5974"/>
    <cellStyle name="Note 5 3 2 2 2" xfId="5975"/>
    <cellStyle name="Note 5 3 2 2 2 2" xfId="5976"/>
    <cellStyle name="Note 5 3 2 2 2 2 2" xfId="5977"/>
    <cellStyle name="Note 5 3 2 2 2 3" xfId="5978"/>
    <cellStyle name="Note 5 3 2 2 3" xfId="5979"/>
    <cellStyle name="Note 5 3 2 2 3 2" xfId="5980"/>
    <cellStyle name="Note 5 3 2 2 3 2 2" xfId="5981"/>
    <cellStyle name="Note 5 3 2 2 3 3" xfId="5982"/>
    <cellStyle name="Note 5 3 2 2 4" xfId="5983"/>
    <cellStyle name="Note 5 3 2 2 4 2" xfId="5984"/>
    <cellStyle name="Note 5 3 2 2 5" xfId="5985"/>
    <cellStyle name="Note 5 3 2 2 5 2" xfId="5986"/>
    <cellStyle name="Note 5 3 2 2 6" xfId="5987"/>
    <cellStyle name="Note 5 3 2 2 6 2" xfId="5988"/>
    <cellStyle name="Note 5 3 2 2 7" xfId="5989"/>
    <cellStyle name="Note 5 3 2 2 7 2" xfId="5990"/>
    <cellStyle name="Note 5 3 2 2 8" xfId="5991"/>
    <cellStyle name="Note 5 3 2 3" xfId="5992"/>
    <cellStyle name="Note 5 3 2 3 10" xfId="5993"/>
    <cellStyle name="Note 5 3 2 3 10 2" xfId="5994"/>
    <cellStyle name="Note 5 3 2 3 11" xfId="5995"/>
    <cellStyle name="Note 5 3 2 3 2" xfId="5996"/>
    <cellStyle name="Note 5 3 2 3 2 2" xfId="5997"/>
    <cellStyle name="Note 5 3 2 3 2 2 2" xfId="5998"/>
    <cellStyle name="Note 5 3 2 3 2 3" xfId="5999"/>
    <cellStyle name="Note 5 3 2 3 3" xfId="6000"/>
    <cellStyle name="Note 5 3 2 3 3 2" xfId="6001"/>
    <cellStyle name="Note 5 3 2 3 4" xfId="6002"/>
    <cellStyle name="Note 5 3 2 3 4 2" xfId="6003"/>
    <cellStyle name="Note 5 3 2 3 5" xfId="6004"/>
    <cellStyle name="Note 5 3 2 3 5 2" xfId="6005"/>
    <cellStyle name="Note 5 3 2 3 6" xfId="6006"/>
    <cellStyle name="Note 5 3 2 3 6 2" xfId="6007"/>
    <cellStyle name="Note 5 3 2 3 7" xfId="6008"/>
    <cellStyle name="Note 5 3 2 3 7 2" xfId="6009"/>
    <cellStyle name="Note 5 3 2 3 8" xfId="6010"/>
    <cellStyle name="Note 5 3 2 3 8 2" xfId="6011"/>
    <cellStyle name="Note 5 3 2 3 9" xfId="6012"/>
    <cellStyle name="Note 5 3 2 3 9 2" xfId="6013"/>
    <cellStyle name="Note 5 3 2 4" xfId="6014"/>
    <cellStyle name="Note 5 3 2 4 10" xfId="6015"/>
    <cellStyle name="Note 5 3 2 4 10 2" xfId="6016"/>
    <cellStyle name="Note 5 3 2 4 11" xfId="6017"/>
    <cellStyle name="Note 5 3 2 4 2" xfId="6018"/>
    <cellStyle name="Note 5 3 2 4 2 2" xfId="6019"/>
    <cellStyle name="Note 5 3 2 4 2 2 2" xfId="6020"/>
    <cellStyle name="Note 5 3 2 4 2 3" xfId="6021"/>
    <cellStyle name="Note 5 3 2 4 3" xfId="6022"/>
    <cellStyle name="Note 5 3 2 4 3 2" xfId="6023"/>
    <cellStyle name="Note 5 3 2 4 4" xfId="6024"/>
    <cellStyle name="Note 5 3 2 4 4 2" xfId="6025"/>
    <cellStyle name="Note 5 3 2 4 5" xfId="6026"/>
    <cellStyle name="Note 5 3 2 4 5 2" xfId="6027"/>
    <cellStyle name="Note 5 3 2 4 6" xfId="6028"/>
    <cellStyle name="Note 5 3 2 4 6 2" xfId="6029"/>
    <cellStyle name="Note 5 3 2 4 7" xfId="6030"/>
    <cellStyle name="Note 5 3 2 4 7 2" xfId="6031"/>
    <cellStyle name="Note 5 3 2 4 8" xfId="6032"/>
    <cellStyle name="Note 5 3 2 4 8 2" xfId="6033"/>
    <cellStyle name="Note 5 3 2 4 9" xfId="6034"/>
    <cellStyle name="Note 5 3 2 4 9 2" xfId="6035"/>
    <cellStyle name="Note 5 3 2 5" xfId="6036"/>
    <cellStyle name="Note 5 3 2 5 10" xfId="6037"/>
    <cellStyle name="Note 5 3 2 5 10 2" xfId="6038"/>
    <cellStyle name="Note 5 3 2 5 11" xfId="6039"/>
    <cellStyle name="Note 5 3 2 5 2" xfId="6040"/>
    <cellStyle name="Note 5 3 2 5 2 2" xfId="6041"/>
    <cellStyle name="Note 5 3 2 5 2 2 2" xfId="6042"/>
    <cellStyle name="Note 5 3 2 5 2 3" xfId="6043"/>
    <cellStyle name="Note 5 3 2 5 3" xfId="6044"/>
    <cellStyle name="Note 5 3 2 5 3 2" xfId="6045"/>
    <cellStyle name="Note 5 3 2 5 4" xfId="6046"/>
    <cellStyle name="Note 5 3 2 5 4 2" xfId="6047"/>
    <cellStyle name="Note 5 3 2 5 5" xfId="6048"/>
    <cellStyle name="Note 5 3 2 5 5 2" xfId="6049"/>
    <cellStyle name="Note 5 3 2 5 6" xfId="6050"/>
    <cellStyle name="Note 5 3 2 5 6 2" xfId="6051"/>
    <cellStyle name="Note 5 3 2 5 7" xfId="6052"/>
    <cellStyle name="Note 5 3 2 5 7 2" xfId="6053"/>
    <cellStyle name="Note 5 3 2 5 8" xfId="6054"/>
    <cellStyle name="Note 5 3 2 5 8 2" xfId="6055"/>
    <cellStyle name="Note 5 3 2 5 9" xfId="6056"/>
    <cellStyle name="Note 5 3 2 5 9 2" xfId="6057"/>
    <cellStyle name="Note 5 3 2 6" xfId="6058"/>
    <cellStyle name="Note 5 3 2 6 10" xfId="6059"/>
    <cellStyle name="Note 5 3 2 6 10 2" xfId="6060"/>
    <cellStyle name="Note 5 3 2 6 11" xfId="6061"/>
    <cellStyle name="Note 5 3 2 6 2" xfId="6062"/>
    <cellStyle name="Note 5 3 2 6 2 2" xfId="6063"/>
    <cellStyle name="Note 5 3 2 6 2 2 2" xfId="6064"/>
    <cellStyle name="Note 5 3 2 6 2 3" xfId="6065"/>
    <cellStyle name="Note 5 3 2 6 3" xfId="6066"/>
    <cellStyle name="Note 5 3 2 6 3 2" xfId="6067"/>
    <cellStyle name="Note 5 3 2 6 4" xfId="6068"/>
    <cellStyle name="Note 5 3 2 6 4 2" xfId="6069"/>
    <cellStyle name="Note 5 3 2 6 5" xfId="6070"/>
    <cellStyle name="Note 5 3 2 6 5 2" xfId="6071"/>
    <cellStyle name="Note 5 3 2 6 6" xfId="6072"/>
    <cellStyle name="Note 5 3 2 6 6 2" xfId="6073"/>
    <cellStyle name="Note 5 3 2 6 7" xfId="6074"/>
    <cellStyle name="Note 5 3 2 6 7 2" xfId="6075"/>
    <cellStyle name="Note 5 3 2 6 8" xfId="6076"/>
    <cellStyle name="Note 5 3 2 6 8 2" xfId="6077"/>
    <cellStyle name="Note 5 3 2 6 9" xfId="6078"/>
    <cellStyle name="Note 5 3 2 6 9 2" xfId="6079"/>
    <cellStyle name="Note 5 3 2 7" xfId="6080"/>
    <cellStyle name="Note 5 3 2 7 2" xfId="6081"/>
    <cellStyle name="Note 5 3 2 7 2 2" xfId="6082"/>
    <cellStyle name="Note 5 3 2 7 3" xfId="6083"/>
    <cellStyle name="Note 5 3 2 8" xfId="6084"/>
    <cellStyle name="Note 5 3 2 8 2" xfId="6085"/>
    <cellStyle name="Note 5 3 2 9" xfId="6086"/>
    <cellStyle name="Note 5 3 2 9 2" xfId="6087"/>
    <cellStyle name="Note 5 3 3" xfId="6088"/>
    <cellStyle name="Note 5 3 3 2" xfId="6089"/>
    <cellStyle name="Note 5 3 3 2 2" xfId="6090"/>
    <cellStyle name="Note 5 3 3 2 2 2" xfId="6091"/>
    <cellStyle name="Note 5 3 3 2 3" xfId="6092"/>
    <cellStyle name="Note 5 3 3 3" xfId="6093"/>
    <cellStyle name="Note 5 3 3 3 2" xfId="6094"/>
    <cellStyle name="Note 5 3 3 3 2 2" xfId="6095"/>
    <cellStyle name="Note 5 3 3 3 3" xfId="6096"/>
    <cellStyle name="Note 5 3 3 4" xfId="6097"/>
    <cellStyle name="Note 5 3 3 4 2" xfId="6098"/>
    <cellStyle name="Note 5 3 3 5" xfId="6099"/>
    <cellStyle name="Note 5 3 3 5 2" xfId="6100"/>
    <cellStyle name="Note 5 3 3 6" xfId="6101"/>
    <cellStyle name="Note 5 3 3 6 2" xfId="6102"/>
    <cellStyle name="Note 5 3 3 7" xfId="6103"/>
    <cellStyle name="Note 5 3 3 7 2" xfId="6104"/>
    <cellStyle name="Note 5 3 3 8" xfId="6105"/>
    <cellStyle name="Note 5 3 4" xfId="6106"/>
    <cellStyle name="Note 5 3 4 10" xfId="6107"/>
    <cellStyle name="Note 5 3 4 10 2" xfId="6108"/>
    <cellStyle name="Note 5 3 4 11" xfId="6109"/>
    <cellStyle name="Note 5 3 4 2" xfId="6110"/>
    <cellStyle name="Note 5 3 4 2 2" xfId="6111"/>
    <cellStyle name="Note 5 3 4 2 2 2" xfId="6112"/>
    <cellStyle name="Note 5 3 4 2 3" xfId="6113"/>
    <cellStyle name="Note 5 3 4 3" xfId="6114"/>
    <cellStyle name="Note 5 3 4 3 2" xfId="6115"/>
    <cellStyle name="Note 5 3 4 4" xfId="6116"/>
    <cellStyle name="Note 5 3 4 4 2" xfId="6117"/>
    <cellStyle name="Note 5 3 4 5" xfId="6118"/>
    <cellStyle name="Note 5 3 4 5 2" xfId="6119"/>
    <cellStyle name="Note 5 3 4 6" xfId="6120"/>
    <cellStyle name="Note 5 3 4 6 2" xfId="6121"/>
    <cellStyle name="Note 5 3 4 7" xfId="6122"/>
    <cellStyle name="Note 5 3 4 7 2" xfId="6123"/>
    <cellStyle name="Note 5 3 4 8" xfId="6124"/>
    <cellStyle name="Note 5 3 4 8 2" xfId="6125"/>
    <cellStyle name="Note 5 3 4 9" xfId="6126"/>
    <cellStyle name="Note 5 3 4 9 2" xfId="6127"/>
    <cellStyle name="Note 5 3 5" xfId="6128"/>
    <cellStyle name="Note 5 3 5 10" xfId="6129"/>
    <cellStyle name="Note 5 3 5 10 2" xfId="6130"/>
    <cellStyle name="Note 5 3 5 11" xfId="6131"/>
    <cellStyle name="Note 5 3 5 2" xfId="6132"/>
    <cellStyle name="Note 5 3 5 2 2" xfId="6133"/>
    <cellStyle name="Note 5 3 5 2 2 2" xfId="6134"/>
    <cellStyle name="Note 5 3 5 2 3" xfId="6135"/>
    <cellStyle name="Note 5 3 5 3" xfId="6136"/>
    <cellStyle name="Note 5 3 5 3 2" xfId="6137"/>
    <cellStyle name="Note 5 3 5 4" xfId="6138"/>
    <cellStyle name="Note 5 3 5 4 2" xfId="6139"/>
    <cellStyle name="Note 5 3 5 5" xfId="6140"/>
    <cellStyle name="Note 5 3 5 5 2" xfId="6141"/>
    <cellStyle name="Note 5 3 5 6" xfId="6142"/>
    <cellStyle name="Note 5 3 5 6 2" xfId="6143"/>
    <cellStyle name="Note 5 3 5 7" xfId="6144"/>
    <cellStyle name="Note 5 3 5 7 2" xfId="6145"/>
    <cellStyle name="Note 5 3 5 8" xfId="6146"/>
    <cellStyle name="Note 5 3 5 8 2" xfId="6147"/>
    <cellStyle name="Note 5 3 5 9" xfId="6148"/>
    <cellStyle name="Note 5 3 5 9 2" xfId="6149"/>
    <cellStyle name="Note 5 3 6" xfId="6150"/>
    <cellStyle name="Note 5 3 6 10" xfId="6151"/>
    <cellStyle name="Note 5 3 6 10 2" xfId="6152"/>
    <cellStyle name="Note 5 3 6 11" xfId="6153"/>
    <cellStyle name="Note 5 3 6 2" xfId="6154"/>
    <cellStyle name="Note 5 3 6 2 2" xfId="6155"/>
    <cellStyle name="Note 5 3 6 2 2 2" xfId="6156"/>
    <cellStyle name="Note 5 3 6 2 3" xfId="6157"/>
    <cellStyle name="Note 5 3 6 3" xfId="6158"/>
    <cellStyle name="Note 5 3 6 3 2" xfId="6159"/>
    <cellStyle name="Note 5 3 6 4" xfId="6160"/>
    <cellStyle name="Note 5 3 6 4 2" xfId="6161"/>
    <cellStyle name="Note 5 3 6 5" xfId="6162"/>
    <cellStyle name="Note 5 3 6 5 2" xfId="6163"/>
    <cellStyle name="Note 5 3 6 6" xfId="6164"/>
    <cellStyle name="Note 5 3 6 6 2" xfId="6165"/>
    <cellStyle name="Note 5 3 6 7" xfId="6166"/>
    <cellStyle name="Note 5 3 6 7 2" xfId="6167"/>
    <cellStyle name="Note 5 3 6 8" xfId="6168"/>
    <cellStyle name="Note 5 3 6 8 2" xfId="6169"/>
    <cellStyle name="Note 5 3 6 9" xfId="6170"/>
    <cellStyle name="Note 5 3 6 9 2" xfId="6171"/>
    <cellStyle name="Note 5 3 7" xfId="6172"/>
    <cellStyle name="Note 5 3 7 10" xfId="6173"/>
    <cellStyle name="Note 5 3 7 10 2" xfId="6174"/>
    <cellStyle name="Note 5 3 7 11" xfId="6175"/>
    <cellStyle name="Note 5 3 7 2" xfId="6176"/>
    <cellStyle name="Note 5 3 7 2 2" xfId="6177"/>
    <cellStyle name="Note 5 3 7 2 2 2" xfId="6178"/>
    <cellStyle name="Note 5 3 7 2 3" xfId="6179"/>
    <cellStyle name="Note 5 3 7 3" xfId="6180"/>
    <cellStyle name="Note 5 3 7 3 2" xfId="6181"/>
    <cellStyle name="Note 5 3 7 4" xfId="6182"/>
    <cellStyle name="Note 5 3 7 4 2" xfId="6183"/>
    <cellStyle name="Note 5 3 7 5" xfId="6184"/>
    <cellStyle name="Note 5 3 7 5 2" xfId="6185"/>
    <cellStyle name="Note 5 3 7 6" xfId="6186"/>
    <cellStyle name="Note 5 3 7 6 2" xfId="6187"/>
    <cellStyle name="Note 5 3 7 7" xfId="6188"/>
    <cellStyle name="Note 5 3 7 7 2" xfId="6189"/>
    <cellStyle name="Note 5 3 7 8" xfId="6190"/>
    <cellStyle name="Note 5 3 7 8 2" xfId="6191"/>
    <cellStyle name="Note 5 3 7 9" xfId="6192"/>
    <cellStyle name="Note 5 3 7 9 2" xfId="6193"/>
    <cellStyle name="Note 5 3 8" xfId="6194"/>
    <cellStyle name="Note 5 3 8 2" xfId="6195"/>
    <cellStyle name="Note 5 3 8 2 2" xfId="6196"/>
    <cellStyle name="Note 5 3 8 3" xfId="6197"/>
    <cellStyle name="Note 5 3 9" xfId="6198"/>
    <cellStyle name="Note 5 3 9 2" xfId="6199"/>
    <cellStyle name="Note 5 3_7 - Cap Add WS" xfId="632"/>
    <cellStyle name="Note 5 4" xfId="633"/>
    <cellStyle name="Note 5 4 10" xfId="6200"/>
    <cellStyle name="Note 5 4 10 2" xfId="6201"/>
    <cellStyle name="Note 5 4 11" xfId="6202"/>
    <cellStyle name="Note 5 4 11 2" xfId="6203"/>
    <cellStyle name="Note 5 4 12" xfId="6204"/>
    <cellStyle name="Note 5 4 12 2" xfId="6205"/>
    <cellStyle name="Note 5 4 13" xfId="6206"/>
    <cellStyle name="Note 5 4 2" xfId="6207"/>
    <cellStyle name="Note 5 4 2 2" xfId="6208"/>
    <cellStyle name="Note 5 4 2 2 2" xfId="6209"/>
    <cellStyle name="Note 5 4 2 2 2 2" xfId="6210"/>
    <cellStyle name="Note 5 4 2 2 3" xfId="6211"/>
    <cellStyle name="Note 5 4 2 3" xfId="6212"/>
    <cellStyle name="Note 5 4 2 3 2" xfId="6213"/>
    <cellStyle name="Note 5 4 2 3 2 2" xfId="6214"/>
    <cellStyle name="Note 5 4 2 3 3" xfId="6215"/>
    <cellStyle name="Note 5 4 2 4" xfId="6216"/>
    <cellStyle name="Note 5 4 2 4 2" xfId="6217"/>
    <cellStyle name="Note 5 4 2 5" xfId="6218"/>
    <cellStyle name="Note 5 4 2 5 2" xfId="6219"/>
    <cellStyle name="Note 5 4 2 6" xfId="6220"/>
    <cellStyle name="Note 5 4 2 6 2" xfId="6221"/>
    <cellStyle name="Note 5 4 2 7" xfId="6222"/>
    <cellStyle name="Note 5 4 2 7 2" xfId="6223"/>
    <cellStyle name="Note 5 4 2 8" xfId="6224"/>
    <cellStyle name="Note 5 4 3" xfId="6225"/>
    <cellStyle name="Note 5 4 3 10" xfId="6226"/>
    <cellStyle name="Note 5 4 3 10 2" xfId="6227"/>
    <cellStyle name="Note 5 4 3 11" xfId="6228"/>
    <cellStyle name="Note 5 4 3 2" xfId="6229"/>
    <cellStyle name="Note 5 4 3 2 2" xfId="6230"/>
    <cellStyle name="Note 5 4 3 2 2 2" xfId="6231"/>
    <cellStyle name="Note 5 4 3 2 3" xfId="6232"/>
    <cellStyle name="Note 5 4 3 3" xfId="6233"/>
    <cellStyle name="Note 5 4 3 3 2" xfId="6234"/>
    <cellStyle name="Note 5 4 3 4" xfId="6235"/>
    <cellStyle name="Note 5 4 3 4 2" xfId="6236"/>
    <cellStyle name="Note 5 4 3 5" xfId="6237"/>
    <cellStyle name="Note 5 4 3 5 2" xfId="6238"/>
    <cellStyle name="Note 5 4 3 6" xfId="6239"/>
    <cellStyle name="Note 5 4 3 6 2" xfId="6240"/>
    <cellStyle name="Note 5 4 3 7" xfId="6241"/>
    <cellStyle name="Note 5 4 3 7 2" xfId="6242"/>
    <cellStyle name="Note 5 4 3 8" xfId="6243"/>
    <cellStyle name="Note 5 4 3 8 2" xfId="6244"/>
    <cellStyle name="Note 5 4 3 9" xfId="6245"/>
    <cellStyle name="Note 5 4 3 9 2" xfId="6246"/>
    <cellStyle name="Note 5 4 4" xfId="6247"/>
    <cellStyle name="Note 5 4 4 10" xfId="6248"/>
    <cellStyle name="Note 5 4 4 10 2" xfId="6249"/>
    <cellStyle name="Note 5 4 4 11" xfId="6250"/>
    <cellStyle name="Note 5 4 4 2" xfId="6251"/>
    <cellStyle name="Note 5 4 4 2 2" xfId="6252"/>
    <cellStyle name="Note 5 4 4 2 2 2" xfId="6253"/>
    <cellStyle name="Note 5 4 4 2 3" xfId="6254"/>
    <cellStyle name="Note 5 4 4 3" xfId="6255"/>
    <cellStyle name="Note 5 4 4 3 2" xfId="6256"/>
    <cellStyle name="Note 5 4 4 4" xfId="6257"/>
    <cellStyle name="Note 5 4 4 4 2" xfId="6258"/>
    <cellStyle name="Note 5 4 4 5" xfId="6259"/>
    <cellStyle name="Note 5 4 4 5 2" xfId="6260"/>
    <cellStyle name="Note 5 4 4 6" xfId="6261"/>
    <cellStyle name="Note 5 4 4 6 2" xfId="6262"/>
    <cellStyle name="Note 5 4 4 7" xfId="6263"/>
    <cellStyle name="Note 5 4 4 7 2" xfId="6264"/>
    <cellStyle name="Note 5 4 4 8" xfId="6265"/>
    <cellStyle name="Note 5 4 4 8 2" xfId="6266"/>
    <cellStyle name="Note 5 4 4 9" xfId="6267"/>
    <cellStyle name="Note 5 4 4 9 2" xfId="6268"/>
    <cellStyle name="Note 5 4 5" xfId="6269"/>
    <cellStyle name="Note 5 4 5 10" xfId="6270"/>
    <cellStyle name="Note 5 4 5 10 2" xfId="6271"/>
    <cellStyle name="Note 5 4 5 11" xfId="6272"/>
    <cellStyle name="Note 5 4 5 2" xfId="6273"/>
    <cellStyle name="Note 5 4 5 2 2" xfId="6274"/>
    <cellStyle name="Note 5 4 5 2 2 2" xfId="6275"/>
    <cellStyle name="Note 5 4 5 2 3" xfId="6276"/>
    <cellStyle name="Note 5 4 5 3" xfId="6277"/>
    <cellStyle name="Note 5 4 5 3 2" xfId="6278"/>
    <cellStyle name="Note 5 4 5 4" xfId="6279"/>
    <cellStyle name="Note 5 4 5 4 2" xfId="6280"/>
    <cellStyle name="Note 5 4 5 5" xfId="6281"/>
    <cellStyle name="Note 5 4 5 5 2" xfId="6282"/>
    <cellStyle name="Note 5 4 5 6" xfId="6283"/>
    <cellStyle name="Note 5 4 5 6 2" xfId="6284"/>
    <cellStyle name="Note 5 4 5 7" xfId="6285"/>
    <cellStyle name="Note 5 4 5 7 2" xfId="6286"/>
    <cellStyle name="Note 5 4 5 8" xfId="6287"/>
    <cellStyle name="Note 5 4 5 8 2" xfId="6288"/>
    <cellStyle name="Note 5 4 5 9" xfId="6289"/>
    <cellStyle name="Note 5 4 5 9 2" xfId="6290"/>
    <cellStyle name="Note 5 4 6" xfId="6291"/>
    <cellStyle name="Note 5 4 6 10" xfId="6292"/>
    <cellStyle name="Note 5 4 6 10 2" xfId="6293"/>
    <cellStyle name="Note 5 4 6 11" xfId="6294"/>
    <cellStyle name="Note 5 4 6 2" xfId="6295"/>
    <cellStyle name="Note 5 4 6 2 2" xfId="6296"/>
    <cellStyle name="Note 5 4 6 2 2 2" xfId="6297"/>
    <cellStyle name="Note 5 4 6 2 3" xfId="6298"/>
    <cellStyle name="Note 5 4 6 3" xfId="6299"/>
    <cellStyle name="Note 5 4 6 3 2" xfId="6300"/>
    <cellStyle name="Note 5 4 6 4" xfId="6301"/>
    <cellStyle name="Note 5 4 6 4 2" xfId="6302"/>
    <cellStyle name="Note 5 4 6 5" xfId="6303"/>
    <cellStyle name="Note 5 4 6 5 2" xfId="6304"/>
    <cellStyle name="Note 5 4 6 6" xfId="6305"/>
    <cellStyle name="Note 5 4 6 6 2" xfId="6306"/>
    <cellStyle name="Note 5 4 6 7" xfId="6307"/>
    <cellStyle name="Note 5 4 6 7 2" xfId="6308"/>
    <cellStyle name="Note 5 4 6 8" xfId="6309"/>
    <cellStyle name="Note 5 4 6 8 2" xfId="6310"/>
    <cellStyle name="Note 5 4 6 9" xfId="6311"/>
    <cellStyle name="Note 5 4 6 9 2" xfId="6312"/>
    <cellStyle name="Note 5 4 7" xfId="6313"/>
    <cellStyle name="Note 5 4 7 2" xfId="6314"/>
    <cellStyle name="Note 5 4 7 2 2" xfId="6315"/>
    <cellStyle name="Note 5 4 7 3" xfId="6316"/>
    <cellStyle name="Note 5 4 8" xfId="6317"/>
    <cellStyle name="Note 5 4 8 2" xfId="6318"/>
    <cellStyle name="Note 5 4 9" xfId="6319"/>
    <cellStyle name="Note 5 4 9 2" xfId="6320"/>
    <cellStyle name="Note 5 5" xfId="6321"/>
    <cellStyle name="Note 5 5 2" xfId="6322"/>
    <cellStyle name="Note 5 5 2 2" xfId="6323"/>
    <cellStyle name="Note 5 5 2 2 2" xfId="6324"/>
    <cellStyle name="Note 5 5 2 3" xfId="6325"/>
    <cellStyle name="Note 5 5 3" xfId="6326"/>
    <cellStyle name="Note 5 5 3 2" xfId="6327"/>
    <cellStyle name="Note 5 5 3 2 2" xfId="6328"/>
    <cellStyle name="Note 5 5 3 3" xfId="6329"/>
    <cellStyle name="Note 5 5 4" xfId="6330"/>
    <cellStyle name="Note 5 5 4 2" xfId="6331"/>
    <cellStyle name="Note 5 5 5" xfId="6332"/>
    <cellStyle name="Note 5 5 5 2" xfId="6333"/>
    <cellStyle name="Note 5 5 6" xfId="6334"/>
    <cellStyle name="Note 5 5 6 2" xfId="6335"/>
    <cellStyle name="Note 5 5 7" xfId="6336"/>
    <cellStyle name="Note 5 5 7 2" xfId="6337"/>
    <cellStyle name="Note 5 5 8" xfId="6338"/>
    <cellStyle name="Note 5 6" xfId="6339"/>
    <cellStyle name="Note 5 6 10" xfId="6340"/>
    <cellStyle name="Note 5 6 10 2" xfId="6341"/>
    <cellStyle name="Note 5 6 11" xfId="6342"/>
    <cellStyle name="Note 5 6 2" xfId="6343"/>
    <cellStyle name="Note 5 6 2 2" xfId="6344"/>
    <cellStyle name="Note 5 6 2 2 2" xfId="6345"/>
    <cellStyle name="Note 5 6 2 3" xfId="6346"/>
    <cellStyle name="Note 5 6 3" xfId="6347"/>
    <cellStyle name="Note 5 6 3 2" xfId="6348"/>
    <cellStyle name="Note 5 6 4" xfId="6349"/>
    <cellStyle name="Note 5 6 4 2" xfId="6350"/>
    <cellStyle name="Note 5 6 5" xfId="6351"/>
    <cellStyle name="Note 5 6 5 2" xfId="6352"/>
    <cellStyle name="Note 5 6 6" xfId="6353"/>
    <cellStyle name="Note 5 6 6 2" xfId="6354"/>
    <cellStyle name="Note 5 6 7" xfId="6355"/>
    <cellStyle name="Note 5 6 7 2" xfId="6356"/>
    <cellStyle name="Note 5 6 8" xfId="6357"/>
    <cellStyle name="Note 5 6 8 2" xfId="6358"/>
    <cellStyle name="Note 5 6 9" xfId="6359"/>
    <cellStyle name="Note 5 6 9 2" xfId="6360"/>
    <cellStyle name="Note 5 7" xfId="6361"/>
    <cellStyle name="Note 5 7 10" xfId="6362"/>
    <cellStyle name="Note 5 7 10 2" xfId="6363"/>
    <cellStyle name="Note 5 7 11" xfId="6364"/>
    <cellStyle name="Note 5 7 2" xfId="6365"/>
    <cellStyle name="Note 5 7 2 2" xfId="6366"/>
    <cellStyle name="Note 5 7 2 2 2" xfId="6367"/>
    <cellStyle name="Note 5 7 2 3" xfId="6368"/>
    <cellStyle name="Note 5 7 3" xfId="6369"/>
    <cellStyle name="Note 5 7 3 2" xfId="6370"/>
    <cellStyle name="Note 5 7 4" xfId="6371"/>
    <cellStyle name="Note 5 7 4 2" xfId="6372"/>
    <cellStyle name="Note 5 7 5" xfId="6373"/>
    <cellStyle name="Note 5 7 5 2" xfId="6374"/>
    <cellStyle name="Note 5 7 6" xfId="6375"/>
    <cellStyle name="Note 5 7 6 2" xfId="6376"/>
    <cellStyle name="Note 5 7 7" xfId="6377"/>
    <cellStyle name="Note 5 7 7 2" xfId="6378"/>
    <cellStyle name="Note 5 7 8" xfId="6379"/>
    <cellStyle name="Note 5 7 8 2" xfId="6380"/>
    <cellStyle name="Note 5 7 9" xfId="6381"/>
    <cellStyle name="Note 5 7 9 2" xfId="6382"/>
    <cellStyle name="Note 5 8" xfId="6383"/>
    <cellStyle name="Note 5 8 10" xfId="6384"/>
    <cellStyle name="Note 5 8 10 2" xfId="6385"/>
    <cellStyle name="Note 5 8 11" xfId="6386"/>
    <cellStyle name="Note 5 8 2" xfId="6387"/>
    <cellStyle name="Note 5 8 2 2" xfId="6388"/>
    <cellStyle name="Note 5 8 2 2 2" xfId="6389"/>
    <cellStyle name="Note 5 8 2 3" xfId="6390"/>
    <cellStyle name="Note 5 8 3" xfId="6391"/>
    <cellStyle name="Note 5 8 3 2" xfId="6392"/>
    <cellStyle name="Note 5 8 4" xfId="6393"/>
    <cellStyle name="Note 5 8 4 2" xfId="6394"/>
    <cellStyle name="Note 5 8 5" xfId="6395"/>
    <cellStyle name="Note 5 8 5 2" xfId="6396"/>
    <cellStyle name="Note 5 8 6" xfId="6397"/>
    <cellStyle name="Note 5 8 6 2" xfId="6398"/>
    <cellStyle name="Note 5 8 7" xfId="6399"/>
    <cellStyle name="Note 5 8 7 2" xfId="6400"/>
    <cellStyle name="Note 5 8 8" xfId="6401"/>
    <cellStyle name="Note 5 8 8 2" xfId="6402"/>
    <cellStyle name="Note 5 8 9" xfId="6403"/>
    <cellStyle name="Note 5 8 9 2" xfId="6404"/>
    <cellStyle name="Note 5 9" xfId="6405"/>
    <cellStyle name="Note 5 9 10" xfId="6406"/>
    <cellStyle name="Note 5 9 10 2" xfId="6407"/>
    <cellStyle name="Note 5 9 11" xfId="6408"/>
    <cellStyle name="Note 5 9 2" xfId="6409"/>
    <cellStyle name="Note 5 9 2 2" xfId="6410"/>
    <cellStyle name="Note 5 9 2 2 2" xfId="6411"/>
    <cellStyle name="Note 5 9 2 3" xfId="6412"/>
    <cellStyle name="Note 5 9 3" xfId="6413"/>
    <cellStyle name="Note 5 9 3 2" xfId="6414"/>
    <cellStyle name="Note 5 9 4" xfId="6415"/>
    <cellStyle name="Note 5 9 4 2" xfId="6416"/>
    <cellStyle name="Note 5 9 5" xfId="6417"/>
    <cellStyle name="Note 5 9 5 2" xfId="6418"/>
    <cellStyle name="Note 5 9 6" xfId="6419"/>
    <cellStyle name="Note 5 9 6 2" xfId="6420"/>
    <cellStyle name="Note 5 9 7" xfId="6421"/>
    <cellStyle name="Note 5 9 7 2" xfId="6422"/>
    <cellStyle name="Note 5 9 8" xfId="6423"/>
    <cellStyle name="Note 5 9 8 2" xfId="6424"/>
    <cellStyle name="Note 5 9 9" xfId="6425"/>
    <cellStyle name="Note 5 9 9 2" xfId="6426"/>
    <cellStyle name="Note 5_7 - Cap Add WS" xfId="634"/>
    <cellStyle name="Note 6" xfId="635"/>
    <cellStyle name="Note 6 10" xfId="6427"/>
    <cellStyle name="Note 6 10 2" xfId="6428"/>
    <cellStyle name="Note 6 10 2 2" xfId="6429"/>
    <cellStyle name="Note 6 10 3" xfId="6430"/>
    <cellStyle name="Note 6 11" xfId="6431"/>
    <cellStyle name="Note 6 11 2" xfId="6432"/>
    <cellStyle name="Note 6 12" xfId="6433"/>
    <cellStyle name="Note 6 12 2" xfId="6434"/>
    <cellStyle name="Note 6 13" xfId="6435"/>
    <cellStyle name="Note 6 13 2" xfId="6436"/>
    <cellStyle name="Note 6 14" xfId="6437"/>
    <cellStyle name="Note 6 14 2" xfId="6438"/>
    <cellStyle name="Note 6 15" xfId="6439"/>
    <cellStyle name="Note 6 15 2" xfId="6440"/>
    <cellStyle name="Note 6 16" xfId="6441"/>
    <cellStyle name="Note 6 2" xfId="636"/>
    <cellStyle name="Note 6 2 10" xfId="6442"/>
    <cellStyle name="Note 6 2 10 2" xfId="6443"/>
    <cellStyle name="Note 6 2 11" xfId="6444"/>
    <cellStyle name="Note 6 2 11 2" xfId="6445"/>
    <cellStyle name="Note 6 2 12" xfId="6446"/>
    <cellStyle name="Note 6 2 12 2" xfId="6447"/>
    <cellStyle name="Note 6 2 13" xfId="6448"/>
    <cellStyle name="Note 6 2 13 2" xfId="6449"/>
    <cellStyle name="Note 6 2 14" xfId="6450"/>
    <cellStyle name="Note 6 2 2" xfId="637"/>
    <cellStyle name="Note 6 2 2 10" xfId="6451"/>
    <cellStyle name="Note 6 2 2 10 2" xfId="6452"/>
    <cellStyle name="Note 6 2 2 11" xfId="6453"/>
    <cellStyle name="Note 6 2 2 11 2" xfId="6454"/>
    <cellStyle name="Note 6 2 2 12" xfId="6455"/>
    <cellStyle name="Note 6 2 2 12 2" xfId="6456"/>
    <cellStyle name="Note 6 2 2 13" xfId="6457"/>
    <cellStyle name="Note 6 2 2 2" xfId="6458"/>
    <cellStyle name="Note 6 2 2 2 2" xfId="6459"/>
    <cellStyle name="Note 6 2 2 2 2 2" xfId="6460"/>
    <cellStyle name="Note 6 2 2 2 2 2 2" xfId="6461"/>
    <cellStyle name="Note 6 2 2 2 2 3" xfId="6462"/>
    <cellStyle name="Note 6 2 2 2 3" xfId="6463"/>
    <cellStyle name="Note 6 2 2 2 3 2" xfId="6464"/>
    <cellStyle name="Note 6 2 2 2 3 2 2" xfId="6465"/>
    <cellStyle name="Note 6 2 2 2 3 3" xfId="6466"/>
    <cellStyle name="Note 6 2 2 2 4" xfId="6467"/>
    <cellStyle name="Note 6 2 2 2 4 2" xfId="6468"/>
    <cellStyle name="Note 6 2 2 2 5" xfId="6469"/>
    <cellStyle name="Note 6 2 2 2 5 2" xfId="6470"/>
    <cellStyle name="Note 6 2 2 2 6" xfId="6471"/>
    <cellStyle name="Note 6 2 2 2 6 2" xfId="6472"/>
    <cellStyle name="Note 6 2 2 2 7" xfId="6473"/>
    <cellStyle name="Note 6 2 2 2 7 2" xfId="6474"/>
    <cellStyle name="Note 6 2 2 2 8" xfId="6475"/>
    <cellStyle name="Note 6 2 2 3" xfId="6476"/>
    <cellStyle name="Note 6 2 2 3 10" xfId="6477"/>
    <cellStyle name="Note 6 2 2 3 10 2" xfId="6478"/>
    <cellStyle name="Note 6 2 2 3 11" xfId="6479"/>
    <cellStyle name="Note 6 2 2 3 2" xfId="6480"/>
    <cellStyle name="Note 6 2 2 3 2 2" xfId="6481"/>
    <cellStyle name="Note 6 2 2 3 2 2 2" xfId="6482"/>
    <cellStyle name="Note 6 2 2 3 2 3" xfId="6483"/>
    <cellStyle name="Note 6 2 2 3 3" xfId="6484"/>
    <cellStyle name="Note 6 2 2 3 3 2" xfId="6485"/>
    <cellStyle name="Note 6 2 2 3 4" xfId="6486"/>
    <cellStyle name="Note 6 2 2 3 4 2" xfId="6487"/>
    <cellStyle name="Note 6 2 2 3 5" xfId="6488"/>
    <cellStyle name="Note 6 2 2 3 5 2" xfId="6489"/>
    <cellStyle name="Note 6 2 2 3 6" xfId="6490"/>
    <cellStyle name="Note 6 2 2 3 6 2" xfId="6491"/>
    <cellStyle name="Note 6 2 2 3 7" xfId="6492"/>
    <cellStyle name="Note 6 2 2 3 7 2" xfId="6493"/>
    <cellStyle name="Note 6 2 2 3 8" xfId="6494"/>
    <cellStyle name="Note 6 2 2 3 8 2" xfId="6495"/>
    <cellStyle name="Note 6 2 2 3 9" xfId="6496"/>
    <cellStyle name="Note 6 2 2 3 9 2" xfId="6497"/>
    <cellStyle name="Note 6 2 2 4" xfId="6498"/>
    <cellStyle name="Note 6 2 2 4 10" xfId="6499"/>
    <cellStyle name="Note 6 2 2 4 10 2" xfId="6500"/>
    <cellStyle name="Note 6 2 2 4 11" xfId="6501"/>
    <cellStyle name="Note 6 2 2 4 2" xfId="6502"/>
    <cellStyle name="Note 6 2 2 4 2 2" xfId="6503"/>
    <cellStyle name="Note 6 2 2 4 2 2 2" xfId="6504"/>
    <cellStyle name="Note 6 2 2 4 2 3" xfId="6505"/>
    <cellStyle name="Note 6 2 2 4 3" xfId="6506"/>
    <cellStyle name="Note 6 2 2 4 3 2" xfId="6507"/>
    <cellStyle name="Note 6 2 2 4 4" xfId="6508"/>
    <cellStyle name="Note 6 2 2 4 4 2" xfId="6509"/>
    <cellStyle name="Note 6 2 2 4 5" xfId="6510"/>
    <cellStyle name="Note 6 2 2 4 5 2" xfId="6511"/>
    <cellStyle name="Note 6 2 2 4 6" xfId="6512"/>
    <cellStyle name="Note 6 2 2 4 6 2" xfId="6513"/>
    <cellStyle name="Note 6 2 2 4 7" xfId="6514"/>
    <cellStyle name="Note 6 2 2 4 7 2" xfId="6515"/>
    <cellStyle name="Note 6 2 2 4 8" xfId="6516"/>
    <cellStyle name="Note 6 2 2 4 8 2" xfId="6517"/>
    <cellStyle name="Note 6 2 2 4 9" xfId="6518"/>
    <cellStyle name="Note 6 2 2 4 9 2" xfId="6519"/>
    <cellStyle name="Note 6 2 2 5" xfId="6520"/>
    <cellStyle name="Note 6 2 2 5 10" xfId="6521"/>
    <cellStyle name="Note 6 2 2 5 10 2" xfId="6522"/>
    <cellStyle name="Note 6 2 2 5 11" xfId="6523"/>
    <cellStyle name="Note 6 2 2 5 2" xfId="6524"/>
    <cellStyle name="Note 6 2 2 5 2 2" xfId="6525"/>
    <cellStyle name="Note 6 2 2 5 2 2 2" xfId="6526"/>
    <cellStyle name="Note 6 2 2 5 2 3" xfId="6527"/>
    <cellStyle name="Note 6 2 2 5 3" xfId="6528"/>
    <cellStyle name="Note 6 2 2 5 3 2" xfId="6529"/>
    <cellStyle name="Note 6 2 2 5 4" xfId="6530"/>
    <cellStyle name="Note 6 2 2 5 4 2" xfId="6531"/>
    <cellStyle name="Note 6 2 2 5 5" xfId="6532"/>
    <cellStyle name="Note 6 2 2 5 5 2" xfId="6533"/>
    <cellStyle name="Note 6 2 2 5 6" xfId="6534"/>
    <cellStyle name="Note 6 2 2 5 6 2" xfId="6535"/>
    <cellStyle name="Note 6 2 2 5 7" xfId="6536"/>
    <cellStyle name="Note 6 2 2 5 7 2" xfId="6537"/>
    <cellStyle name="Note 6 2 2 5 8" xfId="6538"/>
    <cellStyle name="Note 6 2 2 5 8 2" xfId="6539"/>
    <cellStyle name="Note 6 2 2 5 9" xfId="6540"/>
    <cellStyle name="Note 6 2 2 5 9 2" xfId="6541"/>
    <cellStyle name="Note 6 2 2 6" xfId="6542"/>
    <cellStyle name="Note 6 2 2 6 10" xfId="6543"/>
    <cellStyle name="Note 6 2 2 6 10 2" xfId="6544"/>
    <cellStyle name="Note 6 2 2 6 11" xfId="6545"/>
    <cellStyle name="Note 6 2 2 6 2" xfId="6546"/>
    <cellStyle name="Note 6 2 2 6 2 2" xfId="6547"/>
    <cellStyle name="Note 6 2 2 6 2 2 2" xfId="6548"/>
    <cellStyle name="Note 6 2 2 6 2 3" xfId="6549"/>
    <cellStyle name="Note 6 2 2 6 3" xfId="6550"/>
    <cellStyle name="Note 6 2 2 6 3 2" xfId="6551"/>
    <cellStyle name="Note 6 2 2 6 4" xfId="6552"/>
    <cellStyle name="Note 6 2 2 6 4 2" xfId="6553"/>
    <cellStyle name="Note 6 2 2 6 5" xfId="6554"/>
    <cellStyle name="Note 6 2 2 6 5 2" xfId="6555"/>
    <cellStyle name="Note 6 2 2 6 6" xfId="6556"/>
    <cellStyle name="Note 6 2 2 6 6 2" xfId="6557"/>
    <cellStyle name="Note 6 2 2 6 7" xfId="6558"/>
    <cellStyle name="Note 6 2 2 6 7 2" xfId="6559"/>
    <cellStyle name="Note 6 2 2 6 8" xfId="6560"/>
    <cellStyle name="Note 6 2 2 6 8 2" xfId="6561"/>
    <cellStyle name="Note 6 2 2 6 9" xfId="6562"/>
    <cellStyle name="Note 6 2 2 6 9 2" xfId="6563"/>
    <cellStyle name="Note 6 2 2 7" xfId="6564"/>
    <cellStyle name="Note 6 2 2 7 2" xfId="6565"/>
    <cellStyle name="Note 6 2 2 7 2 2" xfId="6566"/>
    <cellStyle name="Note 6 2 2 7 3" xfId="6567"/>
    <cellStyle name="Note 6 2 2 8" xfId="6568"/>
    <cellStyle name="Note 6 2 2 8 2" xfId="6569"/>
    <cellStyle name="Note 6 2 2 9" xfId="6570"/>
    <cellStyle name="Note 6 2 2 9 2" xfId="6571"/>
    <cellStyle name="Note 6 2 3" xfId="6572"/>
    <cellStyle name="Note 6 2 3 2" xfId="6573"/>
    <cellStyle name="Note 6 2 3 2 2" xfId="6574"/>
    <cellStyle name="Note 6 2 3 2 2 2" xfId="6575"/>
    <cellStyle name="Note 6 2 3 2 3" xfId="6576"/>
    <cellStyle name="Note 6 2 3 3" xfId="6577"/>
    <cellStyle name="Note 6 2 3 3 2" xfId="6578"/>
    <cellStyle name="Note 6 2 3 3 2 2" xfId="6579"/>
    <cellStyle name="Note 6 2 3 3 3" xfId="6580"/>
    <cellStyle name="Note 6 2 3 4" xfId="6581"/>
    <cellStyle name="Note 6 2 3 4 2" xfId="6582"/>
    <cellStyle name="Note 6 2 3 5" xfId="6583"/>
    <cellStyle name="Note 6 2 3 5 2" xfId="6584"/>
    <cellStyle name="Note 6 2 3 6" xfId="6585"/>
    <cellStyle name="Note 6 2 3 6 2" xfId="6586"/>
    <cellStyle name="Note 6 2 3 7" xfId="6587"/>
    <cellStyle name="Note 6 2 3 7 2" xfId="6588"/>
    <cellStyle name="Note 6 2 3 8" xfId="6589"/>
    <cellStyle name="Note 6 2 4" xfId="6590"/>
    <cellStyle name="Note 6 2 4 10" xfId="6591"/>
    <cellStyle name="Note 6 2 4 10 2" xfId="6592"/>
    <cellStyle name="Note 6 2 4 11" xfId="6593"/>
    <cellStyle name="Note 6 2 4 2" xfId="6594"/>
    <cellStyle name="Note 6 2 4 2 2" xfId="6595"/>
    <cellStyle name="Note 6 2 4 2 2 2" xfId="6596"/>
    <cellStyle name="Note 6 2 4 2 3" xfId="6597"/>
    <cellStyle name="Note 6 2 4 3" xfId="6598"/>
    <cellStyle name="Note 6 2 4 3 2" xfId="6599"/>
    <cellStyle name="Note 6 2 4 4" xfId="6600"/>
    <cellStyle name="Note 6 2 4 4 2" xfId="6601"/>
    <cellStyle name="Note 6 2 4 5" xfId="6602"/>
    <cellStyle name="Note 6 2 4 5 2" xfId="6603"/>
    <cellStyle name="Note 6 2 4 6" xfId="6604"/>
    <cellStyle name="Note 6 2 4 6 2" xfId="6605"/>
    <cellStyle name="Note 6 2 4 7" xfId="6606"/>
    <cellStyle name="Note 6 2 4 7 2" xfId="6607"/>
    <cellStyle name="Note 6 2 4 8" xfId="6608"/>
    <cellStyle name="Note 6 2 4 8 2" xfId="6609"/>
    <cellStyle name="Note 6 2 4 9" xfId="6610"/>
    <cellStyle name="Note 6 2 4 9 2" xfId="6611"/>
    <cellStyle name="Note 6 2 5" xfId="6612"/>
    <cellStyle name="Note 6 2 5 10" xfId="6613"/>
    <cellStyle name="Note 6 2 5 10 2" xfId="6614"/>
    <cellStyle name="Note 6 2 5 11" xfId="6615"/>
    <cellStyle name="Note 6 2 5 2" xfId="6616"/>
    <cellStyle name="Note 6 2 5 2 2" xfId="6617"/>
    <cellStyle name="Note 6 2 5 2 2 2" xfId="6618"/>
    <cellStyle name="Note 6 2 5 2 3" xfId="6619"/>
    <cellStyle name="Note 6 2 5 3" xfId="6620"/>
    <cellStyle name="Note 6 2 5 3 2" xfId="6621"/>
    <cellStyle name="Note 6 2 5 4" xfId="6622"/>
    <cellStyle name="Note 6 2 5 4 2" xfId="6623"/>
    <cellStyle name="Note 6 2 5 5" xfId="6624"/>
    <cellStyle name="Note 6 2 5 5 2" xfId="6625"/>
    <cellStyle name="Note 6 2 5 6" xfId="6626"/>
    <cellStyle name="Note 6 2 5 6 2" xfId="6627"/>
    <cellStyle name="Note 6 2 5 7" xfId="6628"/>
    <cellStyle name="Note 6 2 5 7 2" xfId="6629"/>
    <cellStyle name="Note 6 2 5 8" xfId="6630"/>
    <cellStyle name="Note 6 2 5 8 2" xfId="6631"/>
    <cellStyle name="Note 6 2 5 9" xfId="6632"/>
    <cellStyle name="Note 6 2 5 9 2" xfId="6633"/>
    <cellStyle name="Note 6 2 6" xfId="6634"/>
    <cellStyle name="Note 6 2 6 10" xfId="6635"/>
    <cellStyle name="Note 6 2 6 10 2" xfId="6636"/>
    <cellStyle name="Note 6 2 6 11" xfId="6637"/>
    <cellStyle name="Note 6 2 6 2" xfId="6638"/>
    <cellStyle name="Note 6 2 6 2 2" xfId="6639"/>
    <cellStyle name="Note 6 2 6 2 2 2" xfId="6640"/>
    <cellStyle name="Note 6 2 6 2 3" xfId="6641"/>
    <cellStyle name="Note 6 2 6 3" xfId="6642"/>
    <cellStyle name="Note 6 2 6 3 2" xfId="6643"/>
    <cellStyle name="Note 6 2 6 4" xfId="6644"/>
    <cellStyle name="Note 6 2 6 4 2" xfId="6645"/>
    <cellStyle name="Note 6 2 6 5" xfId="6646"/>
    <cellStyle name="Note 6 2 6 5 2" xfId="6647"/>
    <cellStyle name="Note 6 2 6 6" xfId="6648"/>
    <cellStyle name="Note 6 2 6 6 2" xfId="6649"/>
    <cellStyle name="Note 6 2 6 7" xfId="6650"/>
    <cellStyle name="Note 6 2 6 7 2" xfId="6651"/>
    <cellStyle name="Note 6 2 6 8" xfId="6652"/>
    <cellStyle name="Note 6 2 6 8 2" xfId="6653"/>
    <cellStyle name="Note 6 2 6 9" xfId="6654"/>
    <cellStyle name="Note 6 2 6 9 2" xfId="6655"/>
    <cellStyle name="Note 6 2 7" xfId="6656"/>
    <cellStyle name="Note 6 2 7 10" xfId="6657"/>
    <cellStyle name="Note 6 2 7 10 2" xfId="6658"/>
    <cellStyle name="Note 6 2 7 11" xfId="6659"/>
    <cellStyle name="Note 6 2 7 2" xfId="6660"/>
    <cellStyle name="Note 6 2 7 2 2" xfId="6661"/>
    <cellStyle name="Note 6 2 7 2 2 2" xfId="6662"/>
    <cellStyle name="Note 6 2 7 2 3" xfId="6663"/>
    <cellStyle name="Note 6 2 7 3" xfId="6664"/>
    <cellStyle name="Note 6 2 7 3 2" xfId="6665"/>
    <cellStyle name="Note 6 2 7 4" xfId="6666"/>
    <cellStyle name="Note 6 2 7 4 2" xfId="6667"/>
    <cellStyle name="Note 6 2 7 5" xfId="6668"/>
    <cellStyle name="Note 6 2 7 5 2" xfId="6669"/>
    <cellStyle name="Note 6 2 7 6" xfId="6670"/>
    <cellStyle name="Note 6 2 7 6 2" xfId="6671"/>
    <cellStyle name="Note 6 2 7 7" xfId="6672"/>
    <cellStyle name="Note 6 2 7 7 2" xfId="6673"/>
    <cellStyle name="Note 6 2 7 8" xfId="6674"/>
    <cellStyle name="Note 6 2 7 8 2" xfId="6675"/>
    <cellStyle name="Note 6 2 7 9" xfId="6676"/>
    <cellStyle name="Note 6 2 7 9 2" xfId="6677"/>
    <cellStyle name="Note 6 2 8" xfId="6678"/>
    <cellStyle name="Note 6 2 8 2" xfId="6679"/>
    <cellStyle name="Note 6 2 8 2 2" xfId="6680"/>
    <cellStyle name="Note 6 2 8 3" xfId="6681"/>
    <cellStyle name="Note 6 2 9" xfId="6682"/>
    <cellStyle name="Note 6 2 9 2" xfId="6683"/>
    <cellStyle name="Note 6 2_7 - Cap Add WS" xfId="638"/>
    <cellStyle name="Note 6 3" xfId="639"/>
    <cellStyle name="Note 6 3 10" xfId="6684"/>
    <cellStyle name="Note 6 3 10 2" xfId="6685"/>
    <cellStyle name="Note 6 3 11" xfId="6686"/>
    <cellStyle name="Note 6 3 11 2" xfId="6687"/>
    <cellStyle name="Note 6 3 12" xfId="6688"/>
    <cellStyle name="Note 6 3 12 2" xfId="6689"/>
    <cellStyle name="Note 6 3 13" xfId="6690"/>
    <cellStyle name="Note 6 3 13 2" xfId="6691"/>
    <cellStyle name="Note 6 3 14" xfId="6692"/>
    <cellStyle name="Note 6 3 2" xfId="640"/>
    <cellStyle name="Note 6 3 2 10" xfId="6693"/>
    <cellStyle name="Note 6 3 2 10 2" xfId="6694"/>
    <cellStyle name="Note 6 3 2 11" xfId="6695"/>
    <cellStyle name="Note 6 3 2 11 2" xfId="6696"/>
    <cellStyle name="Note 6 3 2 12" xfId="6697"/>
    <cellStyle name="Note 6 3 2 12 2" xfId="6698"/>
    <cellStyle name="Note 6 3 2 13" xfId="6699"/>
    <cellStyle name="Note 6 3 2 2" xfId="6700"/>
    <cellStyle name="Note 6 3 2 2 2" xfId="6701"/>
    <cellStyle name="Note 6 3 2 2 2 2" xfId="6702"/>
    <cellStyle name="Note 6 3 2 2 2 2 2" xfId="6703"/>
    <cellStyle name="Note 6 3 2 2 2 3" xfId="6704"/>
    <cellStyle name="Note 6 3 2 2 3" xfId="6705"/>
    <cellStyle name="Note 6 3 2 2 3 2" xfId="6706"/>
    <cellStyle name="Note 6 3 2 2 3 2 2" xfId="6707"/>
    <cellStyle name="Note 6 3 2 2 3 3" xfId="6708"/>
    <cellStyle name="Note 6 3 2 2 4" xfId="6709"/>
    <cellStyle name="Note 6 3 2 2 4 2" xfId="6710"/>
    <cellStyle name="Note 6 3 2 2 5" xfId="6711"/>
    <cellStyle name="Note 6 3 2 2 5 2" xfId="6712"/>
    <cellStyle name="Note 6 3 2 2 6" xfId="6713"/>
    <cellStyle name="Note 6 3 2 2 6 2" xfId="6714"/>
    <cellStyle name="Note 6 3 2 2 7" xfId="6715"/>
    <cellStyle name="Note 6 3 2 2 7 2" xfId="6716"/>
    <cellStyle name="Note 6 3 2 2 8" xfId="6717"/>
    <cellStyle name="Note 6 3 2 3" xfId="6718"/>
    <cellStyle name="Note 6 3 2 3 10" xfId="6719"/>
    <cellStyle name="Note 6 3 2 3 10 2" xfId="6720"/>
    <cellStyle name="Note 6 3 2 3 11" xfId="6721"/>
    <cellStyle name="Note 6 3 2 3 2" xfId="6722"/>
    <cellStyle name="Note 6 3 2 3 2 2" xfId="6723"/>
    <cellStyle name="Note 6 3 2 3 2 2 2" xfId="6724"/>
    <cellStyle name="Note 6 3 2 3 2 3" xfId="6725"/>
    <cellStyle name="Note 6 3 2 3 3" xfId="6726"/>
    <cellStyle name="Note 6 3 2 3 3 2" xfId="6727"/>
    <cellStyle name="Note 6 3 2 3 4" xfId="6728"/>
    <cellStyle name="Note 6 3 2 3 4 2" xfId="6729"/>
    <cellStyle name="Note 6 3 2 3 5" xfId="6730"/>
    <cellStyle name="Note 6 3 2 3 5 2" xfId="6731"/>
    <cellStyle name="Note 6 3 2 3 6" xfId="6732"/>
    <cellStyle name="Note 6 3 2 3 6 2" xfId="6733"/>
    <cellStyle name="Note 6 3 2 3 7" xfId="6734"/>
    <cellStyle name="Note 6 3 2 3 7 2" xfId="6735"/>
    <cellStyle name="Note 6 3 2 3 8" xfId="6736"/>
    <cellStyle name="Note 6 3 2 3 8 2" xfId="6737"/>
    <cellStyle name="Note 6 3 2 3 9" xfId="6738"/>
    <cellStyle name="Note 6 3 2 3 9 2" xfId="6739"/>
    <cellStyle name="Note 6 3 2 4" xfId="6740"/>
    <cellStyle name="Note 6 3 2 4 10" xfId="6741"/>
    <cellStyle name="Note 6 3 2 4 10 2" xfId="6742"/>
    <cellStyle name="Note 6 3 2 4 11" xfId="6743"/>
    <cellStyle name="Note 6 3 2 4 2" xfId="6744"/>
    <cellStyle name="Note 6 3 2 4 2 2" xfId="6745"/>
    <cellStyle name="Note 6 3 2 4 2 2 2" xfId="6746"/>
    <cellStyle name="Note 6 3 2 4 2 3" xfId="6747"/>
    <cellStyle name="Note 6 3 2 4 3" xfId="6748"/>
    <cellStyle name="Note 6 3 2 4 3 2" xfId="6749"/>
    <cellStyle name="Note 6 3 2 4 4" xfId="6750"/>
    <cellStyle name="Note 6 3 2 4 4 2" xfId="6751"/>
    <cellStyle name="Note 6 3 2 4 5" xfId="6752"/>
    <cellStyle name="Note 6 3 2 4 5 2" xfId="6753"/>
    <cellStyle name="Note 6 3 2 4 6" xfId="6754"/>
    <cellStyle name="Note 6 3 2 4 6 2" xfId="6755"/>
    <cellStyle name="Note 6 3 2 4 7" xfId="6756"/>
    <cellStyle name="Note 6 3 2 4 7 2" xfId="6757"/>
    <cellStyle name="Note 6 3 2 4 8" xfId="6758"/>
    <cellStyle name="Note 6 3 2 4 8 2" xfId="6759"/>
    <cellStyle name="Note 6 3 2 4 9" xfId="6760"/>
    <cellStyle name="Note 6 3 2 4 9 2" xfId="6761"/>
    <cellStyle name="Note 6 3 2 5" xfId="6762"/>
    <cellStyle name="Note 6 3 2 5 10" xfId="6763"/>
    <cellStyle name="Note 6 3 2 5 10 2" xfId="6764"/>
    <cellStyle name="Note 6 3 2 5 11" xfId="6765"/>
    <cellStyle name="Note 6 3 2 5 2" xfId="6766"/>
    <cellStyle name="Note 6 3 2 5 2 2" xfId="6767"/>
    <cellStyle name="Note 6 3 2 5 2 2 2" xfId="6768"/>
    <cellStyle name="Note 6 3 2 5 2 3" xfId="6769"/>
    <cellStyle name="Note 6 3 2 5 3" xfId="6770"/>
    <cellStyle name="Note 6 3 2 5 3 2" xfId="6771"/>
    <cellStyle name="Note 6 3 2 5 4" xfId="6772"/>
    <cellStyle name="Note 6 3 2 5 4 2" xfId="6773"/>
    <cellStyle name="Note 6 3 2 5 5" xfId="6774"/>
    <cellStyle name="Note 6 3 2 5 5 2" xfId="6775"/>
    <cellStyle name="Note 6 3 2 5 6" xfId="6776"/>
    <cellStyle name="Note 6 3 2 5 6 2" xfId="6777"/>
    <cellStyle name="Note 6 3 2 5 7" xfId="6778"/>
    <cellStyle name="Note 6 3 2 5 7 2" xfId="6779"/>
    <cellStyle name="Note 6 3 2 5 8" xfId="6780"/>
    <cellStyle name="Note 6 3 2 5 8 2" xfId="6781"/>
    <cellStyle name="Note 6 3 2 5 9" xfId="6782"/>
    <cellStyle name="Note 6 3 2 5 9 2" xfId="6783"/>
    <cellStyle name="Note 6 3 2 6" xfId="6784"/>
    <cellStyle name="Note 6 3 2 6 10" xfId="6785"/>
    <cellStyle name="Note 6 3 2 6 10 2" xfId="6786"/>
    <cellStyle name="Note 6 3 2 6 11" xfId="6787"/>
    <cellStyle name="Note 6 3 2 6 2" xfId="6788"/>
    <cellStyle name="Note 6 3 2 6 2 2" xfId="6789"/>
    <cellStyle name="Note 6 3 2 6 2 2 2" xfId="6790"/>
    <cellStyle name="Note 6 3 2 6 2 3" xfId="6791"/>
    <cellStyle name="Note 6 3 2 6 3" xfId="6792"/>
    <cellStyle name="Note 6 3 2 6 3 2" xfId="6793"/>
    <cellStyle name="Note 6 3 2 6 4" xfId="6794"/>
    <cellStyle name="Note 6 3 2 6 4 2" xfId="6795"/>
    <cellStyle name="Note 6 3 2 6 5" xfId="6796"/>
    <cellStyle name="Note 6 3 2 6 5 2" xfId="6797"/>
    <cellStyle name="Note 6 3 2 6 6" xfId="6798"/>
    <cellStyle name="Note 6 3 2 6 6 2" xfId="6799"/>
    <cellStyle name="Note 6 3 2 6 7" xfId="6800"/>
    <cellStyle name="Note 6 3 2 6 7 2" xfId="6801"/>
    <cellStyle name="Note 6 3 2 6 8" xfId="6802"/>
    <cellStyle name="Note 6 3 2 6 8 2" xfId="6803"/>
    <cellStyle name="Note 6 3 2 6 9" xfId="6804"/>
    <cellStyle name="Note 6 3 2 6 9 2" xfId="6805"/>
    <cellStyle name="Note 6 3 2 7" xfId="6806"/>
    <cellStyle name="Note 6 3 2 7 2" xfId="6807"/>
    <cellStyle name="Note 6 3 2 7 2 2" xfId="6808"/>
    <cellStyle name="Note 6 3 2 7 3" xfId="6809"/>
    <cellStyle name="Note 6 3 2 8" xfId="6810"/>
    <cellStyle name="Note 6 3 2 8 2" xfId="6811"/>
    <cellStyle name="Note 6 3 2 9" xfId="6812"/>
    <cellStyle name="Note 6 3 2 9 2" xfId="6813"/>
    <cellStyle name="Note 6 3 3" xfId="6814"/>
    <cellStyle name="Note 6 3 3 2" xfId="6815"/>
    <cellStyle name="Note 6 3 3 2 2" xfId="6816"/>
    <cellStyle name="Note 6 3 3 2 2 2" xfId="6817"/>
    <cellStyle name="Note 6 3 3 2 3" xfId="6818"/>
    <cellStyle name="Note 6 3 3 3" xfId="6819"/>
    <cellStyle name="Note 6 3 3 3 2" xfId="6820"/>
    <cellStyle name="Note 6 3 3 3 2 2" xfId="6821"/>
    <cellStyle name="Note 6 3 3 3 3" xfId="6822"/>
    <cellStyle name="Note 6 3 3 4" xfId="6823"/>
    <cellStyle name="Note 6 3 3 4 2" xfId="6824"/>
    <cellStyle name="Note 6 3 3 5" xfId="6825"/>
    <cellStyle name="Note 6 3 3 5 2" xfId="6826"/>
    <cellStyle name="Note 6 3 3 6" xfId="6827"/>
    <cellStyle name="Note 6 3 3 6 2" xfId="6828"/>
    <cellStyle name="Note 6 3 3 7" xfId="6829"/>
    <cellStyle name="Note 6 3 3 7 2" xfId="6830"/>
    <cellStyle name="Note 6 3 3 8" xfId="6831"/>
    <cellStyle name="Note 6 3 4" xfId="6832"/>
    <cellStyle name="Note 6 3 4 10" xfId="6833"/>
    <cellStyle name="Note 6 3 4 10 2" xfId="6834"/>
    <cellStyle name="Note 6 3 4 11" xfId="6835"/>
    <cellStyle name="Note 6 3 4 2" xfId="6836"/>
    <cellStyle name="Note 6 3 4 2 2" xfId="6837"/>
    <cellStyle name="Note 6 3 4 2 2 2" xfId="6838"/>
    <cellStyle name="Note 6 3 4 2 3" xfId="6839"/>
    <cellStyle name="Note 6 3 4 3" xfId="6840"/>
    <cellStyle name="Note 6 3 4 3 2" xfId="6841"/>
    <cellStyle name="Note 6 3 4 4" xfId="6842"/>
    <cellStyle name="Note 6 3 4 4 2" xfId="6843"/>
    <cellStyle name="Note 6 3 4 5" xfId="6844"/>
    <cellStyle name="Note 6 3 4 5 2" xfId="6845"/>
    <cellStyle name="Note 6 3 4 6" xfId="6846"/>
    <cellStyle name="Note 6 3 4 6 2" xfId="6847"/>
    <cellStyle name="Note 6 3 4 7" xfId="6848"/>
    <cellStyle name="Note 6 3 4 7 2" xfId="6849"/>
    <cellStyle name="Note 6 3 4 8" xfId="6850"/>
    <cellStyle name="Note 6 3 4 8 2" xfId="6851"/>
    <cellStyle name="Note 6 3 4 9" xfId="6852"/>
    <cellStyle name="Note 6 3 4 9 2" xfId="6853"/>
    <cellStyle name="Note 6 3 5" xfId="6854"/>
    <cellStyle name="Note 6 3 5 10" xfId="6855"/>
    <cellStyle name="Note 6 3 5 10 2" xfId="6856"/>
    <cellStyle name="Note 6 3 5 11" xfId="6857"/>
    <cellStyle name="Note 6 3 5 2" xfId="6858"/>
    <cellStyle name="Note 6 3 5 2 2" xfId="6859"/>
    <cellStyle name="Note 6 3 5 2 2 2" xfId="6860"/>
    <cellStyle name="Note 6 3 5 2 3" xfId="6861"/>
    <cellStyle name="Note 6 3 5 3" xfId="6862"/>
    <cellStyle name="Note 6 3 5 3 2" xfId="6863"/>
    <cellStyle name="Note 6 3 5 4" xfId="6864"/>
    <cellStyle name="Note 6 3 5 4 2" xfId="6865"/>
    <cellStyle name="Note 6 3 5 5" xfId="6866"/>
    <cellStyle name="Note 6 3 5 5 2" xfId="6867"/>
    <cellStyle name="Note 6 3 5 6" xfId="6868"/>
    <cellStyle name="Note 6 3 5 6 2" xfId="6869"/>
    <cellStyle name="Note 6 3 5 7" xfId="6870"/>
    <cellStyle name="Note 6 3 5 7 2" xfId="6871"/>
    <cellStyle name="Note 6 3 5 8" xfId="6872"/>
    <cellStyle name="Note 6 3 5 8 2" xfId="6873"/>
    <cellStyle name="Note 6 3 5 9" xfId="6874"/>
    <cellStyle name="Note 6 3 5 9 2" xfId="6875"/>
    <cellStyle name="Note 6 3 6" xfId="6876"/>
    <cellStyle name="Note 6 3 6 10" xfId="6877"/>
    <cellStyle name="Note 6 3 6 10 2" xfId="6878"/>
    <cellStyle name="Note 6 3 6 11" xfId="6879"/>
    <cellStyle name="Note 6 3 6 2" xfId="6880"/>
    <cellStyle name="Note 6 3 6 2 2" xfId="6881"/>
    <cellStyle name="Note 6 3 6 2 2 2" xfId="6882"/>
    <cellStyle name="Note 6 3 6 2 3" xfId="6883"/>
    <cellStyle name="Note 6 3 6 3" xfId="6884"/>
    <cellStyle name="Note 6 3 6 3 2" xfId="6885"/>
    <cellStyle name="Note 6 3 6 4" xfId="6886"/>
    <cellStyle name="Note 6 3 6 4 2" xfId="6887"/>
    <cellStyle name="Note 6 3 6 5" xfId="6888"/>
    <cellStyle name="Note 6 3 6 5 2" xfId="6889"/>
    <cellStyle name="Note 6 3 6 6" xfId="6890"/>
    <cellStyle name="Note 6 3 6 6 2" xfId="6891"/>
    <cellStyle name="Note 6 3 6 7" xfId="6892"/>
    <cellStyle name="Note 6 3 6 7 2" xfId="6893"/>
    <cellStyle name="Note 6 3 6 8" xfId="6894"/>
    <cellStyle name="Note 6 3 6 8 2" xfId="6895"/>
    <cellStyle name="Note 6 3 6 9" xfId="6896"/>
    <cellStyle name="Note 6 3 6 9 2" xfId="6897"/>
    <cellStyle name="Note 6 3 7" xfId="6898"/>
    <cellStyle name="Note 6 3 7 10" xfId="6899"/>
    <cellStyle name="Note 6 3 7 10 2" xfId="6900"/>
    <cellStyle name="Note 6 3 7 11" xfId="6901"/>
    <cellStyle name="Note 6 3 7 2" xfId="6902"/>
    <cellStyle name="Note 6 3 7 2 2" xfId="6903"/>
    <cellStyle name="Note 6 3 7 2 2 2" xfId="6904"/>
    <cellStyle name="Note 6 3 7 2 3" xfId="6905"/>
    <cellStyle name="Note 6 3 7 3" xfId="6906"/>
    <cellStyle name="Note 6 3 7 3 2" xfId="6907"/>
    <cellStyle name="Note 6 3 7 4" xfId="6908"/>
    <cellStyle name="Note 6 3 7 4 2" xfId="6909"/>
    <cellStyle name="Note 6 3 7 5" xfId="6910"/>
    <cellStyle name="Note 6 3 7 5 2" xfId="6911"/>
    <cellStyle name="Note 6 3 7 6" xfId="6912"/>
    <cellStyle name="Note 6 3 7 6 2" xfId="6913"/>
    <cellStyle name="Note 6 3 7 7" xfId="6914"/>
    <cellStyle name="Note 6 3 7 7 2" xfId="6915"/>
    <cellStyle name="Note 6 3 7 8" xfId="6916"/>
    <cellStyle name="Note 6 3 7 8 2" xfId="6917"/>
    <cellStyle name="Note 6 3 7 9" xfId="6918"/>
    <cellStyle name="Note 6 3 7 9 2" xfId="6919"/>
    <cellStyle name="Note 6 3 8" xfId="6920"/>
    <cellStyle name="Note 6 3 8 2" xfId="6921"/>
    <cellStyle name="Note 6 3 8 2 2" xfId="6922"/>
    <cellStyle name="Note 6 3 8 3" xfId="6923"/>
    <cellStyle name="Note 6 3 9" xfId="6924"/>
    <cellStyle name="Note 6 3 9 2" xfId="6925"/>
    <cellStyle name="Note 6 3_7 - Cap Add WS" xfId="641"/>
    <cellStyle name="Note 6 4" xfId="642"/>
    <cellStyle name="Note 6 4 10" xfId="6926"/>
    <cellStyle name="Note 6 4 10 2" xfId="6927"/>
    <cellStyle name="Note 6 4 11" xfId="6928"/>
    <cellStyle name="Note 6 4 11 2" xfId="6929"/>
    <cellStyle name="Note 6 4 12" xfId="6930"/>
    <cellStyle name="Note 6 4 12 2" xfId="6931"/>
    <cellStyle name="Note 6 4 13" xfId="6932"/>
    <cellStyle name="Note 6 4 2" xfId="6933"/>
    <cellStyle name="Note 6 4 2 2" xfId="6934"/>
    <cellStyle name="Note 6 4 2 2 2" xfId="6935"/>
    <cellStyle name="Note 6 4 2 2 2 2" xfId="6936"/>
    <cellStyle name="Note 6 4 2 2 3" xfId="6937"/>
    <cellStyle name="Note 6 4 2 3" xfId="6938"/>
    <cellStyle name="Note 6 4 2 3 2" xfId="6939"/>
    <cellStyle name="Note 6 4 2 3 2 2" xfId="6940"/>
    <cellStyle name="Note 6 4 2 3 3" xfId="6941"/>
    <cellStyle name="Note 6 4 2 4" xfId="6942"/>
    <cellStyle name="Note 6 4 2 4 2" xfId="6943"/>
    <cellStyle name="Note 6 4 2 5" xfId="6944"/>
    <cellStyle name="Note 6 4 2 5 2" xfId="6945"/>
    <cellStyle name="Note 6 4 2 6" xfId="6946"/>
    <cellStyle name="Note 6 4 2 6 2" xfId="6947"/>
    <cellStyle name="Note 6 4 2 7" xfId="6948"/>
    <cellStyle name="Note 6 4 2 7 2" xfId="6949"/>
    <cellStyle name="Note 6 4 2 8" xfId="6950"/>
    <cellStyle name="Note 6 4 3" xfId="6951"/>
    <cellStyle name="Note 6 4 3 10" xfId="6952"/>
    <cellStyle name="Note 6 4 3 10 2" xfId="6953"/>
    <cellStyle name="Note 6 4 3 11" xfId="6954"/>
    <cellStyle name="Note 6 4 3 2" xfId="6955"/>
    <cellStyle name="Note 6 4 3 2 2" xfId="6956"/>
    <cellStyle name="Note 6 4 3 2 2 2" xfId="6957"/>
    <cellStyle name="Note 6 4 3 2 3" xfId="6958"/>
    <cellStyle name="Note 6 4 3 3" xfId="6959"/>
    <cellStyle name="Note 6 4 3 3 2" xfId="6960"/>
    <cellStyle name="Note 6 4 3 4" xfId="6961"/>
    <cellStyle name="Note 6 4 3 4 2" xfId="6962"/>
    <cellStyle name="Note 6 4 3 5" xfId="6963"/>
    <cellStyle name="Note 6 4 3 5 2" xfId="6964"/>
    <cellStyle name="Note 6 4 3 6" xfId="6965"/>
    <cellStyle name="Note 6 4 3 6 2" xfId="6966"/>
    <cellStyle name="Note 6 4 3 7" xfId="6967"/>
    <cellStyle name="Note 6 4 3 7 2" xfId="6968"/>
    <cellStyle name="Note 6 4 3 8" xfId="6969"/>
    <cellStyle name="Note 6 4 3 8 2" xfId="6970"/>
    <cellStyle name="Note 6 4 3 9" xfId="6971"/>
    <cellStyle name="Note 6 4 3 9 2" xfId="6972"/>
    <cellStyle name="Note 6 4 4" xfId="6973"/>
    <cellStyle name="Note 6 4 4 10" xfId="6974"/>
    <cellStyle name="Note 6 4 4 10 2" xfId="6975"/>
    <cellStyle name="Note 6 4 4 11" xfId="6976"/>
    <cellStyle name="Note 6 4 4 2" xfId="6977"/>
    <cellStyle name="Note 6 4 4 2 2" xfId="6978"/>
    <cellStyle name="Note 6 4 4 2 2 2" xfId="6979"/>
    <cellStyle name="Note 6 4 4 2 3" xfId="6980"/>
    <cellStyle name="Note 6 4 4 3" xfId="6981"/>
    <cellStyle name="Note 6 4 4 3 2" xfId="6982"/>
    <cellStyle name="Note 6 4 4 4" xfId="6983"/>
    <cellStyle name="Note 6 4 4 4 2" xfId="6984"/>
    <cellStyle name="Note 6 4 4 5" xfId="6985"/>
    <cellStyle name="Note 6 4 4 5 2" xfId="6986"/>
    <cellStyle name="Note 6 4 4 6" xfId="6987"/>
    <cellStyle name="Note 6 4 4 6 2" xfId="6988"/>
    <cellStyle name="Note 6 4 4 7" xfId="6989"/>
    <cellStyle name="Note 6 4 4 7 2" xfId="6990"/>
    <cellStyle name="Note 6 4 4 8" xfId="6991"/>
    <cellStyle name="Note 6 4 4 8 2" xfId="6992"/>
    <cellStyle name="Note 6 4 4 9" xfId="6993"/>
    <cellStyle name="Note 6 4 4 9 2" xfId="6994"/>
    <cellStyle name="Note 6 4 5" xfId="6995"/>
    <cellStyle name="Note 6 4 5 10" xfId="6996"/>
    <cellStyle name="Note 6 4 5 10 2" xfId="6997"/>
    <cellStyle name="Note 6 4 5 11" xfId="6998"/>
    <cellStyle name="Note 6 4 5 2" xfId="6999"/>
    <cellStyle name="Note 6 4 5 2 2" xfId="7000"/>
    <cellStyle name="Note 6 4 5 2 2 2" xfId="7001"/>
    <cellStyle name="Note 6 4 5 2 3" xfId="7002"/>
    <cellStyle name="Note 6 4 5 3" xfId="7003"/>
    <cellStyle name="Note 6 4 5 3 2" xfId="7004"/>
    <cellStyle name="Note 6 4 5 4" xfId="7005"/>
    <cellStyle name="Note 6 4 5 4 2" xfId="7006"/>
    <cellStyle name="Note 6 4 5 5" xfId="7007"/>
    <cellStyle name="Note 6 4 5 5 2" xfId="7008"/>
    <cellStyle name="Note 6 4 5 6" xfId="7009"/>
    <cellStyle name="Note 6 4 5 6 2" xfId="7010"/>
    <cellStyle name="Note 6 4 5 7" xfId="7011"/>
    <cellStyle name="Note 6 4 5 7 2" xfId="7012"/>
    <cellStyle name="Note 6 4 5 8" xfId="7013"/>
    <cellStyle name="Note 6 4 5 8 2" xfId="7014"/>
    <cellStyle name="Note 6 4 5 9" xfId="7015"/>
    <cellStyle name="Note 6 4 5 9 2" xfId="7016"/>
    <cellStyle name="Note 6 4 6" xfId="7017"/>
    <cellStyle name="Note 6 4 6 10" xfId="7018"/>
    <cellStyle name="Note 6 4 6 10 2" xfId="7019"/>
    <cellStyle name="Note 6 4 6 11" xfId="7020"/>
    <cellStyle name="Note 6 4 6 2" xfId="7021"/>
    <cellStyle name="Note 6 4 6 2 2" xfId="7022"/>
    <cellStyle name="Note 6 4 6 2 2 2" xfId="7023"/>
    <cellStyle name="Note 6 4 6 2 3" xfId="7024"/>
    <cellStyle name="Note 6 4 6 3" xfId="7025"/>
    <cellStyle name="Note 6 4 6 3 2" xfId="7026"/>
    <cellStyle name="Note 6 4 6 4" xfId="7027"/>
    <cellStyle name="Note 6 4 6 4 2" xfId="7028"/>
    <cellStyle name="Note 6 4 6 5" xfId="7029"/>
    <cellStyle name="Note 6 4 6 5 2" xfId="7030"/>
    <cellStyle name="Note 6 4 6 6" xfId="7031"/>
    <cellStyle name="Note 6 4 6 6 2" xfId="7032"/>
    <cellStyle name="Note 6 4 6 7" xfId="7033"/>
    <cellStyle name="Note 6 4 6 7 2" xfId="7034"/>
    <cellStyle name="Note 6 4 6 8" xfId="7035"/>
    <cellStyle name="Note 6 4 6 8 2" xfId="7036"/>
    <cellStyle name="Note 6 4 6 9" xfId="7037"/>
    <cellStyle name="Note 6 4 6 9 2" xfId="7038"/>
    <cellStyle name="Note 6 4 7" xfId="7039"/>
    <cellStyle name="Note 6 4 7 2" xfId="7040"/>
    <cellStyle name="Note 6 4 7 2 2" xfId="7041"/>
    <cellStyle name="Note 6 4 7 3" xfId="7042"/>
    <cellStyle name="Note 6 4 8" xfId="7043"/>
    <cellStyle name="Note 6 4 8 2" xfId="7044"/>
    <cellStyle name="Note 6 4 9" xfId="7045"/>
    <cellStyle name="Note 6 4 9 2" xfId="7046"/>
    <cellStyle name="Note 6 5" xfId="7047"/>
    <cellStyle name="Note 6 5 2" xfId="7048"/>
    <cellStyle name="Note 6 5 2 2" xfId="7049"/>
    <cellStyle name="Note 6 5 2 2 2" xfId="7050"/>
    <cellStyle name="Note 6 5 2 3" xfId="7051"/>
    <cellStyle name="Note 6 5 3" xfId="7052"/>
    <cellStyle name="Note 6 5 3 2" xfId="7053"/>
    <cellStyle name="Note 6 5 3 2 2" xfId="7054"/>
    <cellStyle name="Note 6 5 3 3" xfId="7055"/>
    <cellStyle name="Note 6 5 4" xfId="7056"/>
    <cellStyle name="Note 6 5 4 2" xfId="7057"/>
    <cellStyle name="Note 6 5 5" xfId="7058"/>
    <cellStyle name="Note 6 5 5 2" xfId="7059"/>
    <cellStyle name="Note 6 5 6" xfId="7060"/>
    <cellStyle name="Note 6 5 6 2" xfId="7061"/>
    <cellStyle name="Note 6 5 7" xfId="7062"/>
    <cellStyle name="Note 6 5 7 2" xfId="7063"/>
    <cellStyle name="Note 6 5 8" xfId="7064"/>
    <cellStyle name="Note 6 6" xfId="7065"/>
    <cellStyle name="Note 6 6 10" xfId="7066"/>
    <cellStyle name="Note 6 6 10 2" xfId="7067"/>
    <cellStyle name="Note 6 6 11" xfId="7068"/>
    <cellStyle name="Note 6 6 2" xfId="7069"/>
    <cellStyle name="Note 6 6 2 2" xfId="7070"/>
    <cellStyle name="Note 6 6 2 2 2" xfId="7071"/>
    <cellStyle name="Note 6 6 2 3" xfId="7072"/>
    <cellStyle name="Note 6 6 3" xfId="7073"/>
    <cellStyle name="Note 6 6 3 2" xfId="7074"/>
    <cellStyle name="Note 6 6 4" xfId="7075"/>
    <cellStyle name="Note 6 6 4 2" xfId="7076"/>
    <cellStyle name="Note 6 6 5" xfId="7077"/>
    <cellStyle name="Note 6 6 5 2" xfId="7078"/>
    <cellStyle name="Note 6 6 6" xfId="7079"/>
    <cellStyle name="Note 6 6 6 2" xfId="7080"/>
    <cellStyle name="Note 6 6 7" xfId="7081"/>
    <cellStyle name="Note 6 6 7 2" xfId="7082"/>
    <cellStyle name="Note 6 6 8" xfId="7083"/>
    <cellStyle name="Note 6 6 8 2" xfId="7084"/>
    <cellStyle name="Note 6 6 9" xfId="7085"/>
    <cellStyle name="Note 6 6 9 2" xfId="7086"/>
    <cellStyle name="Note 6 7" xfId="7087"/>
    <cellStyle name="Note 6 7 10" xfId="7088"/>
    <cellStyle name="Note 6 7 10 2" xfId="7089"/>
    <cellStyle name="Note 6 7 11" xfId="7090"/>
    <cellStyle name="Note 6 7 2" xfId="7091"/>
    <cellStyle name="Note 6 7 2 2" xfId="7092"/>
    <cellStyle name="Note 6 7 2 2 2" xfId="7093"/>
    <cellStyle name="Note 6 7 2 3" xfId="7094"/>
    <cellStyle name="Note 6 7 3" xfId="7095"/>
    <cellStyle name="Note 6 7 3 2" xfId="7096"/>
    <cellStyle name="Note 6 7 4" xfId="7097"/>
    <cellStyle name="Note 6 7 4 2" xfId="7098"/>
    <cellStyle name="Note 6 7 5" xfId="7099"/>
    <cellStyle name="Note 6 7 5 2" xfId="7100"/>
    <cellStyle name="Note 6 7 6" xfId="7101"/>
    <cellStyle name="Note 6 7 6 2" xfId="7102"/>
    <cellStyle name="Note 6 7 7" xfId="7103"/>
    <cellStyle name="Note 6 7 7 2" xfId="7104"/>
    <cellStyle name="Note 6 7 8" xfId="7105"/>
    <cellStyle name="Note 6 7 8 2" xfId="7106"/>
    <cellStyle name="Note 6 7 9" xfId="7107"/>
    <cellStyle name="Note 6 7 9 2" xfId="7108"/>
    <cellStyle name="Note 6 8" xfId="7109"/>
    <cellStyle name="Note 6 8 10" xfId="7110"/>
    <cellStyle name="Note 6 8 10 2" xfId="7111"/>
    <cellStyle name="Note 6 8 11" xfId="7112"/>
    <cellStyle name="Note 6 8 2" xfId="7113"/>
    <cellStyle name="Note 6 8 2 2" xfId="7114"/>
    <cellStyle name="Note 6 8 2 2 2" xfId="7115"/>
    <cellStyle name="Note 6 8 2 3" xfId="7116"/>
    <cellStyle name="Note 6 8 3" xfId="7117"/>
    <cellStyle name="Note 6 8 3 2" xfId="7118"/>
    <cellStyle name="Note 6 8 4" xfId="7119"/>
    <cellStyle name="Note 6 8 4 2" xfId="7120"/>
    <cellStyle name="Note 6 8 5" xfId="7121"/>
    <cellStyle name="Note 6 8 5 2" xfId="7122"/>
    <cellStyle name="Note 6 8 6" xfId="7123"/>
    <cellStyle name="Note 6 8 6 2" xfId="7124"/>
    <cellStyle name="Note 6 8 7" xfId="7125"/>
    <cellStyle name="Note 6 8 7 2" xfId="7126"/>
    <cellStyle name="Note 6 8 8" xfId="7127"/>
    <cellStyle name="Note 6 8 8 2" xfId="7128"/>
    <cellStyle name="Note 6 8 9" xfId="7129"/>
    <cellStyle name="Note 6 8 9 2" xfId="7130"/>
    <cellStyle name="Note 6 9" xfId="7131"/>
    <cellStyle name="Note 6 9 10" xfId="7132"/>
    <cellStyle name="Note 6 9 10 2" xfId="7133"/>
    <cellStyle name="Note 6 9 11" xfId="7134"/>
    <cellStyle name="Note 6 9 2" xfId="7135"/>
    <cellStyle name="Note 6 9 2 2" xfId="7136"/>
    <cellStyle name="Note 6 9 2 2 2" xfId="7137"/>
    <cellStyle name="Note 6 9 2 3" xfId="7138"/>
    <cellStyle name="Note 6 9 3" xfId="7139"/>
    <cellStyle name="Note 6 9 3 2" xfId="7140"/>
    <cellStyle name="Note 6 9 4" xfId="7141"/>
    <cellStyle name="Note 6 9 4 2" xfId="7142"/>
    <cellStyle name="Note 6 9 5" xfId="7143"/>
    <cellStyle name="Note 6 9 5 2" xfId="7144"/>
    <cellStyle name="Note 6 9 6" xfId="7145"/>
    <cellStyle name="Note 6 9 6 2" xfId="7146"/>
    <cellStyle name="Note 6 9 7" xfId="7147"/>
    <cellStyle name="Note 6 9 7 2" xfId="7148"/>
    <cellStyle name="Note 6 9 8" xfId="7149"/>
    <cellStyle name="Note 6 9 8 2" xfId="7150"/>
    <cellStyle name="Note 6 9 9" xfId="7151"/>
    <cellStyle name="Note 6 9 9 2" xfId="7152"/>
    <cellStyle name="Note 6_7 - Cap Add WS" xfId="643"/>
    <cellStyle name="Note 7" xfId="644"/>
    <cellStyle name="Note 7 10" xfId="7153"/>
    <cellStyle name="Note 7 10 2" xfId="7154"/>
    <cellStyle name="Note 7 10 2 2" xfId="7155"/>
    <cellStyle name="Note 7 10 3" xfId="7156"/>
    <cellStyle name="Note 7 11" xfId="7157"/>
    <cellStyle name="Note 7 11 2" xfId="7158"/>
    <cellStyle name="Note 7 12" xfId="7159"/>
    <cellStyle name="Note 7 12 2" xfId="7160"/>
    <cellStyle name="Note 7 13" xfId="7161"/>
    <cellStyle name="Note 7 13 2" xfId="7162"/>
    <cellStyle name="Note 7 14" xfId="7163"/>
    <cellStyle name="Note 7 14 2" xfId="7164"/>
    <cellStyle name="Note 7 15" xfId="7165"/>
    <cellStyle name="Note 7 15 2" xfId="7166"/>
    <cellStyle name="Note 7 16" xfId="7167"/>
    <cellStyle name="Note 7 2" xfId="645"/>
    <cellStyle name="Note 7 2 10" xfId="7168"/>
    <cellStyle name="Note 7 2 10 2" xfId="7169"/>
    <cellStyle name="Note 7 2 11" xfId="7170"/>
    <cellStyle name="Note 7 2 11 2" xfId="7171"/>
    <cellStyle name="Note 7 2 12" xfId="7172"/>
    <cellStyle name="Note 7 2 12 2" xfId="7173"/>
    <cellStyle name="Note 7 2 13" xfId="7174"/>
    <cellStyle name="Note 7 2 13 2" xfId="7175"/>
    <cellStyle name="Note 7 2 14" xfId="7176"/>
    <cellStyle name="Note 7 2 2" xfId="646"/>
    <cellStyle name="Note 7 2 2 10" xfId="7177"/>
    <cellStyle name="Note 7 2 2 10 2" xfId="7178"/>
    <cellStyle name="Note 7 2 2 11" xfId="7179"/>
    <cellStyle name="Note 7 2 2 11 2" xfId="7180"/>
    <cellStyle name="Note 7 2 2 12" xfId="7181"/>
    <cellStyle name="Note 7 2 2 12 2" xfId="7182"/>
    <cellStyle name="Note 7 2 2 13" xfId="7183"/>
    <cellStyle name="Note 7 2 2 2" xfId="7184"/>
    <cellStyle name="Note 7 2 2 2 2" xfId="7185"/>
    <cellStyle name="Note 7 2 2 2 2 2" xfId="7186"/>
    <cellStyle name="Note 7 2 2 2 2 2 2" xfId="7187"/>
    <cellStyle name="Note 7 2 2 2 2 3" xfId="7188"/>
    <cellStyle name="Note 7 2 2 2 3" xfId="7189"/>
    <cellStyle name="Note 7 2 2 2 3 2" xfId="7190"/>
    <cellStyle name="Note 7 2 2 2 3 2 2" xfId="7191"/>
    <cellStyle name="Note 7 2 2 2 3 3" xfId="7192"/>
    <cellStyle name="Note 7 2 2 2 4" xfId="7193"/>
    <cellStyle name="Note 7 2 2 2 4 2" xfId="7194"/>
    <cellStyle name="Note 7 2 2 2 5" xfId="7195"/>
    <cellStyle name="Note 7 2 2 2 5 2" xfId="7196"/>
    <cellStyle name="Note 7 2 2 2 6" xfId="7197"/>
    <cellStyle name="Note 7 2 2 2 6 2" xfId="7198"/>
    <cellStyle name="Note 7 2 2 2 7" xfId="7199"/>
    <cellStyle name="Note 7 2 2 2 7 2" xfId="7200"/>
    <cellStyle name="Note 7 2 2 2 8" xfId="7201"/>
    <cellStyle name="Note 7 2 2 3" xfId="7202"/>
    <cellStyle name="Note 7 2 2 3 10" xfId="7203"/>
    <cellStyle name="Note 7 2 2 3 10 2" xfId="7204"/>
    <cellStyle name="Note 7 2 2 3 11" xfId="7205"/>
    <cellStyle name="Note 7 2 2 3 2" xfId="7206"/>
    <cellStyle name="Note 7 2 2 3 2 2" xfId="7207"/>
    <cellStyle name="Note 7 2 2 3 2 2 2" xfId="7208"/>
    <cellStyle name="Note 7 2 2 3 2 3" xfId="7209"/>
    <cellStyle name="Note 7 2 2 3 3" xfId="7210"/>
    <cellStyle name="Note 7 2 2 3 3 2" xfId="7211"/>
    <cellStyle name="Note 7 2 2 3 4" xfId="7212"/>
    <cellStyle name="Note 7 2 2 3 4 2" xfId="7213"/>
    <cellStyle name="Note 7 2 2 3 5" xfId="7214"/>
    <cellStyle name="Note 7 2 2 3 5 2" xfId="7215"/>
    <cellStyle name="Note 7 2 2 3 6" xfId="7216"/>
    <cellStyle name="Note 7 2 2 3 6 2" xfId="7217"/>
    <cellStyle name="Note 7 2 2 3 7" xfId="7218"/>
    <cellStyle name="Note 7 2 2 3 7 2" xfId="7219"/>
    <cellStyle name="Note 7 2 2 3 8" xfId="7220"/>
    <cellStyle name="Note 7 2 2 3 8 2" xfId="7221"/>
    <cellStyle name="Note 7 2 2 3 9" xfId="7222"/>
    <cellStyle name="Note 7 2 2 3 9 2" xfId="7223"/>
    <cellStyle name="Note 7 2 2 4" xfId="7224"/>
    <cellStyle name="Note 7 2 2 4 10" xfId="7225"/>
    <cellStyle name="Note 7 2 2 4 10 2" xfId="7226"/>
    <cellStyle name="Note 7 2 2 4 11" xfId="7227"/>
    <cellStyle name="Note 7 2 2 4 2" xfId="7228"/>
    <cellStyle name="Note 7 2 2 4 2 2" xfId="7229"/>
    <cellStyle name="Note 7 2 2 4 2 2 2" xfId="7230"/>
    <cellStyle name="Note 7 2 2 4 2 3" xfId="7231"/>
    <cellStyle name="Note 7 2 2 4 3" xfId="7232"/>
    <cellStyle name="Note 7 2 2 4 3 2" xfId="7233"/>
    <cellStyle name="Note 7 2 2 4 4" xfId="7234"/>
    <cellStyle name="Note 7 2 2 4 4 2" xfId="7235"/>
    <cellStyle name="Note 7 2 2 4 5" xfId="7236"/>
    <cellStyle name="Note 7 2 2 4 5 2" xfId="7237"/>
    <cellStyle name="Note 7 2 2 4 6" xfId="7238"/>
    <cellStyle name="Note 7 2 2 4 6 2" xfId="7239"/>
    <cellStyle name="Note 7 2 2 4 7" xfId="7240"/>
    <cellStyle name="Note 7 2 2 4 7 2" xfId="7241"/>
    <cellStyle name="Note 7 2 2 4 8" xfId="7242"/>
    <cellStyle name="Note 7 2 2 4 8 2" xfId="7243"/>
    <cellStyle name="Note 7 2 2 4 9" xfId="7244"/>
    <cellStyle name="Note 7 2 2 4 9 2" xfId="7245"/>
    <cellStyle name="Note 7 2 2 5" xfId="7246"/>
    <cellStyle name="Note 7 2 2 5 10" xfId="7247"/>
    <cellStyle name="Note 7 2 2 5 10 2" xfId="7248"/>
    <cellStyle name="Note 7 2 2 5 11" xfId="7249"/>
    <cellStyle name="Note 7 2 2 5 2" xfId="7250"/>
    <cellStyle name="Note 7 2 2 5 2 2" xfId="7251"/>
    <cellStyle name="Note 7 2 2 5 2 2 2" xfId="7252"/>
    <cellStyle name="Note 7 2 2 5 2 3" xfId="7253"/>
    <cellStyle name="Note 7 2 2 5 3" xfId="7254"/>
    <cellStyle name="Note 7 2 2 5 3 2" xfId="7255"/>
    <cellStyle name="Note 7 2 2 5 4" xfId="7256"/>
    <cellStyle name="Note 7 2 2 5 4 2" xfId="7257"/>
    <cellStyle name="Note 7 2 2 5 5" xfId="7258"/>
    <cellStyle name="Note 7 2 2 5 5 2" xfId="7259"/>
    <cellStyle name="Note 7 2 2 5 6" xfId="7260"/>
    <cellStyle name="Note 7 2 2 5 6 2" xfId="7261"/>
    <cellStyle name="Note 7 2 2 5 7" xfId="7262"/>
    <cellStyle name="Note 7 2 2 5 7 2" xfId="7263"/>
    <cellStyle name="Note 7 2 2 5 8" xfId="7264"/>
    <cellStyle name="Note 7 2 2 5 8 2" xfId="7265"/>
    <cellStyle name="Note 7 2 2 5 9" xfId="7266"/>
    <cellStyle name="Note 7 2 2 5 9 2" xfId="7267"/>
    <cellStyle name="Note 7 2 2 6" xfId="7268"/>
    <cellStyle name="Note 7 2 2 6 10" xfId="7269"/>
    <cellStyle name="Note 7 2 2 6 10 2" xfId="7270"/>
    <cellStyle name="Note 7 2 2 6 11" xfId="7271"/>
    <cellStyle name="Note 7 2 2 6 2" xfId="7272"/>
    <cellStyle name="Note 7 2 2 6 2 2" xfId="7273"/>
    <cellStyle name="Note 7 2 2 6 2 2 2" xfId="7274"/>
    <cellStyle name="Note 7 2 2 6 2 3" xfId="7275"/>
    <cellStyle name="Note 7 2 2 6 3" xfId="7276"/>
    <cellStyle name="Note 7 2 2 6 3 2" xfId="7277"/>
    <cellStyle name="Note 7 2 2 6 4" xfId="7278"/>
    <cellStyle name="Note 7 2 2 6 4 2" xfId="7279"/>
    <cellStyle name="Note 7 2 2 6 5" xfId="7280"/>
    <cellStyle name="Note 7 2 2 6 5 2" xfId="7281"/>
    <cellStyle name="Note 7 2 2 6 6" xfId="7282"/>
    <cellStyle name="Note 7 2 2 6 6 2" xfId="7283"/>
    <cellStyle name="Note 7 2 2 6 7" xfId="7284"/>
    <cellStyle name="Note 7 2 2 6 7 2" xfId="7285"/>
    <cellStyle name="Note 7 2 2 6 8" xfId="7286"/>
    <cellStyle name="Note 7 2 2 6 8 2" xfId="7287"/>
    <cellStyle name="Note 7 2 2 6 9" xfId="7288"/>
    <cellStyle name="Note 7 2 2 6 9 2" xfId="7289"/>
    <cellStyle name="Note 7 2 2 7" xfId="7290"/>
    <cellStyle name="Note 7 2 2 7 2" xfId="7291"/>
    <cellStyle name="Note 7 2 2 7 2 2" xfId="7292"/>
    <cellStyle name="Note 7 2 2 7 3" xfId="7293"/>
    <cellStyle name="Note 7 2 2 8" xfId="7294"/>
    <cellStyle name="Note 7 2 2 8 2" xfId="7295"/>
    <cellStyle name="Note 7 2 2 9" xfId="7296"/>
    <cellStyle name="Note 7 2 2 9 2" xfId="7297"/>
    <cellStyle name="Note 7 2 3" xfId="7298"/>
    <cellStyle name="Note 7 2 3 2" xfId="7299"/>
    <cellStyle name="Note 7 2 3 2 2" xfId="7300"/>
    <cellStyle name="Note 7 2 3 2 2 2" xfId="7301"/>
    <cellStyle name="Note 7 2 3 2 3" xfId="7302"/>
    <cellStyle name="Note 7 2 3 3" xfId="7303"/>
    <cellStyle name="Note 7 2 3 3 2" xfId="7304"/>
    <cellStyle name="Note 7 2 3 3 2 2" xfId="7305"/>
    <cellStyle name="Note 7 2 3 3 3" xfId="7306"/>
    <cellStyle name="Note 7 2 3 4" xfId="7307"/>
    <cellStyle name="Note 7 2 3 4 2" xfId="7308"/>
    <cellStyle name="Note 7 2 3 5" xfId="7309"/>
    <cellStyle name="Note 7 2 3 5 2" xfId="7310"/>
    <cellStyle name="Note 7 2 3 6" xfId="7311"/>
    <cellStyle name="Note 7 2 3 6 2" xfId="7312"/>
    <cellStyle name="Note 7 2 3 7" xfId="7313"/>
    <cellStyle name="Note 7 2 3 7 2" xfId="7314"/>
    <cellStyle name="Note 7 2 3 8" xfId="7315"/>
    <cellStyle name="Note 7 2 4" xfId="7316"/>
    <cellStyle name="Note 7 2 4 10" xfId="7317"/>
    <cellStyle name="Note 7 2 4 10 2" xfId="7318"/>
    <cellStyle name="Note 7 2 4 11" xfId="7319"/>
    <cellStyle name="Note 7 2 4 2" xfId="7320"/>
    <cellStyle name="Note 7 2 4 2 2" xfId="7321"/>
    <cellStyle name="Note 7 2 4 2 2 2" xfId="7322"/>
    <cellStyle name="Note 7 2 4 2 3" xfId="7323"/>
    <cellStyle name="Note 7 2 4 3" xfId="7324"/>
    <cellStyle name="Note 7 2 4 3 2" xfId="7325"/>
    <cellStyle name="Note 7 2 4 4" xfId="7326"/>
    <cellStyle name="Note 7 2 4 4 2" xfId="7327"/>
    <cellStyle name="Note 7 2 4 5" xfId="7328"/>
    <cellStyle name="Note 7 2 4 5 2" xfId="7329"/>
    <cellStyle name="Note 7 2 4 6" xfId="7330"/>
    <cellStyle name="Note 7 2 4 6 2" xfId="7331"/>
    <cellStyle name="Note 7 2 4 7" xfId="7332"/>
    <cellStyle name="Note 7 2 4 7 2" xfId="7333"/>
    <cellStyle name="Note 7 2 4 8" xfId="7334"/>
    <cellStyle name="Note 7 2 4 8 2" xfId="7335"/>
    <cellStyle name="Note 7 2 4 9" xfId="7336"/>
    <cellStyle name="Note 7 2 4 9 2" xfId="7337"/>
    <cellStyle name="Note 7 2 5" xfId="7338"/>
    <cellStyle name="Note 7 2 5 10" xfId="7339"/>
    <cellStyle name="Note 7 2 5 10 2" xfId="7340"/>
    <cellStyle name="Note 7 2 5 11" xfId="7341"/>
    <cellStyle name="Note 7 2 5 2" xfId="7342"/>
    <cellStyle name="Note 7 2 5 2 2" xfId="7343"/>
    <cellStyle name="Note 7 2 5 2 2 2" xfId="7344"/>
    <cellStyle name="Note 7 2 5 2 3" xfId="7345"/>
    <cellStyle name="Note 7 2 5 3" xfId="7346"/>
    <cellStyle name="Note 7 2 5 3 2" xfId="7347"/>
    <cellStyle name="Note 7 2 5 4" xfId="7348"/>
    <cellStyle name="Note 7 2 5 4 2" xfId="7349"/>
    <cellStyle name="Note 7 2 5 5" xfId="7350"/>
    <cellStyle name="Note 7 2 5 5 2" xfId="7351"/>
    <cellStyle name="Note 7 2 5 6" xfId="7352"/>
    <cellStyle name="Note 7 2 5 6 2" xfId="7353"/>
    <cellStyle name="Note 7 2 5 7" xfId="7354"/>
    <cellStyle name="Note 7 2 5 7 2" xfId="7355"/>
    <cellStyle name="Note 7 2 5 8" xfId="7356"/>
    <cellStyle name="Note 7 2 5 8 2" xfId="7357"/>
    <cellStyle name="Note 7 2 5 9" xfId="7358"/>
    <cellStyle name="Note 7 2 5 9 2" xfId="7359"/>
    <cellStyle name="Note 7 2 6" xfId="7360"/>
    <cellStyle name="Note 7 2 6 10" xfId="7361"/>
    <cellStyle name="Note 7 2 6 10 2" xfId="7362"/>
    <cellStyle name="Note 7 2 6 11" xfId="7363"/>
    <cellStyle name="Note 7 2 6 2" xfId="7364"/>
    <cellStyle name="Note 7 2 6 2 2" xfId="7365"/>
    <cellStyle name="Note 7 2 6 2 2 2" xfId="7366"/>
    <cellStyle name="Note 7 2 6 2 3" xfId="7367"/>
    <cellStyle name="Note 7 2 6 3" xfId="7368"/>
    <cellStyle name="Note 7 2 6 3 2" xfId="7369"/>
    <cellStyle name="Note 7 2 6 4" xfId="7370"/>
    <cellStyle name="Note 7 2 6 4 2" xfId="7371"/>
    <cellStyle name="Note 7 2 6 5" xfId="7372"/>
    <cellStyle name="Note 7 2 6 5 2" xfId="7373"/>
    <cellStyle name="Note 7 2 6 6" xfId="7374"/>
    <cellStyle name="Note 7 2 6 6 2" xfId="7375"/>
    <cellStyle name="Note 7 2 6 7" xfId="7376"/>
    <cellStyle name="Note 7 2 6 7 2" xfId="7377"/>
    <cellStyle name="Note 7 2 6 8" xfId="7378"/>
    <cellStyle name="Note 7 2 6 8 2" xfId="7379"/>
    <cellStyle name="Note 7 2 6 9" xfId="7380"/>
    <cellStyle name="Note 7 2 6 9 2" xfId="7381"/>
    <cellStyle name="Note 7 2 7" xfId="7382"/>
    <cellStyle name="Note 7 2 7 10" xfId="7383"/>
    <cellStyle name="Note 7 2 7 10 2" xfId="7384"/>
    <cellStyle name="Note 7 2 7 11" xfId="7385"/>
    <cellStyle name="Note 7 2 7 2" xfId="7386"/>
    <cellStyle name="Note 7 2 7 2 2" xfId="7387"/>
    <cellStyle name="Note 7 2 7 2 2 2" xfId="7388"/>
    <cellStyle name="Note 7 2 7 2 3" xfId="7389"/>
    <cellStyle name="Note 7 2 7 3" xfId="7390"/>
    <cellStyle name="Note 7 2 7 3 2" xfId="7391"/>
    <cellStyle name="Note 7 2 7 4" xfId="7392"/>
    <cellStyle name="Note 7 2 7 4 2" xfId="7393"/>
    <cellStyle name="Note 7 2 7 5" xfId="7394"/>
    <cellStyle name="Note 7 2 7 5 2" xfId="7395"/>
    <cellStyle name="Note 7 2 7 6" xfId="7396"/>
    <cellStyle name="Note 7 2 7 6 2" xfId="7397"/>
    <cellStyle name="Note 7 2 7 7" xfId="7398"/>
    <cellStyle name="Note 7 2 7 7 2" xfId="7399"/>
    <cellStyle name="Note 7 2 7 8" xfId="7400"/>
    <cellStyle name="Note 7 2 7 8 2" xfId="7401"/>
    <cellStyle name="Note 7 2 7 9" xfId="7402"/>
    <cellStyle name="Note 7 2 7 9 2" xfId="7403"/>
    <cellStyle name="Note 7 2 8" xfId="7404"/>
    <cellStyle name="Note 7 2 8 2" xfId="7405"/>
    <cellStyle name="Note 7 2 8 2 2" xfId="7406"/>
    <cellStyle name="Note 7 2 8 3" xfId="7407"/>
    <cellStyle name="Note 7 2 9" xfId="7408"/>
    <cellStyle name="Note 7 2 9 2" xfId="7409"/>
    <cellStyle name="Note 7 2_7 - Cap Add WS" xfId="647"/>
    <cellStyle name="Note 7 3" xfId="648"/>
    <cellStyle name="Note 7 3 10" xfId="7410"/>
    <cellStyle name="Note 7 3 10 2" xfId="7411"/>
    <cellStyle name="Note 7 3 11" xfId="7412"/>
    <cellStyle name="Note 7 3 11 2" xfId="7413"/>
    <cellStyle name="Note 7 3 12" xfId="7414"/>
    <cellStyle name="Note 7 3 12 2" xfId="7415"/>
    <cellStyle name="Note 7 3 13" xfId="7416"/>
    <cellStyle name="Note 7 3 13 2" xfId="7417"/>
    <cellStyle name="Note 7 3 14" xfId="7418"/>
    <cellStyle name="Note 7 3 2" xfId="649"/>
    <cellStyle name="Note 7 3 2 10" xfId="7419"/>
    <cellStyle name="Note 7 3 2 10 2" xfId="7420"/>
    <cellStyle name="Note 7 3 2 11" xfId="7421"/>
    <cellStyle name="Note 7 3 2 11 2" xfId="7422"/>
    <cellStyle name="Note 7 3 2 12" xfId="7423"/>
    <cellStyle name="Note 7 3 2 12 2" xfId="7424"/>
    <cellStyle name="Note 7 3 2 13" xfId="7425"/>
    <cellStyle name="Note 7 3 2 2" xfId="7426"/>
    <cellStyle name="Note 7 3 2 2 2" xfId="7427"/>
    <cellStyle name="Note 7 3 2 2 2 2" xfId="7428"/>
    <cellStyle name="Note 7 3 2 2 2 2 2" xfId="7429"/>
    <cellStyle name="Note 7 3 2 2 2 3" xfId="7430"/>
    <cellStyle name="Note 7 3 2 2 3" xfId="7431"/>
    <cellStyle name="Note 7 3 2 2 3 2" xfId="7432"/>
    <cellStyle name="Note 7 3 2 2 3 2 2" xfId="7433"/>
    <cellStyle name="Note 7 3 2 2 3 3" xfId="7434"/>
    <cellStyle name="Note 7 3 2 2 4" xfId="7435"/>
    <cellStyle name="Note 7 3 2 2 4 2" xfId="7436"/>
    <cellStyle name="Note 7 3 2 2 5" xfId="7437"/>
    <cellStyle name="Note 7 3 2 2 5 2" xfId="7438"/>
    <cellStyle name="Note 7 3 2 2 6" xfId="7439"/>
    <cellStyle name="Note 7 3 2 2 6 2" xfId="7440"/>
    <cellStyle name="Note 7 3 2 2 7" xfId="7441"/>
    <cellStyle name="Note 7 3 2 2 7 2" xfId="7442"/>
    <cellStyle name="Note 7 3 2 2 8" xfId="7443"/>
    <cellStyle name="Note 7 3 2 3" xfId="7444"/>
    <cellStyle name="Note 7 3 2 3 10" xfId="7445"/>
    <cellStyle name="Note 7 3 2 3 10 2" xfId="7446"/>
    <cellStyle name="Note 7 3 2 3 11" xfId="7447"/>
    <cellStyle name="Note 7 3 2 3 2" xfId="7448"/>
    <cellStyle name="Note 7 3 2 3 2 2" xfId="7449"/>
    <cellStyle name="Note 7 3 2 3 2 2 2" xfId="7450"/>
    <cellStyle name="Note 7 3 2 3 2 3" xfId="7451"/>
    <cellStyle name="Note 7 3 2 3 3" xfId="7452"/>
    <cellStyle name="Note 7 3 2 3 3 2" xfId="7453"/>
    <cellStyle name="Note 7 3 2 3 4" xfId="7454"/>
    <cellStyle name="Note 7 3 2 3 4 2" xfId="7455"/>
    <cellStyle name="Note 7 3 2 3 5" xfId="7456"/>
    <cellStyle name="Note 7 3 2 3 5 2" xfId="7457"/>
    <cellStyle name="Note 7 3 2 3 6" xfId="7458"/>
    <cellStyle name="Note 7 3 2 3 6 2" xfId="7459"/>
    <cellStyle name="Note 7 3 2 3 7" xfId="7460"/>
    <cellStyle name="Note 7 3 2 3 7 2" xfId="7461"/>
    <cellStyle name="Note 7 3 2 3 8" xfId="7462"/>
    <cellStyle name="Note 7 3 2 3 8 2" xfId="7463"/>
    <cellStyle name="Note 7 3 2 3 9" xfId="7464"/>
    <cellStyle name="Note 7 3 2 3 9 2" xfId="7465"/>
    <cellStyle name="Note 7 3 2 4" xfId="7466"/>
    <cellStyle name="Note 7 3 2 4 10" xfId="7467"/>
    <cellStyle name="Note 7 3 2 4 10 2" xfId="7468"/>
    <cellStyle name="Note 7 3 2 4 11" xfId="7469"/>
    <cellStyle name="Note 7 3 2 4 2" xfId="7470"/>
    <cellStyle name="Note 7 3 2 4 2 2" xfId="7471"/>
    <cellStyle name="Note 7 3 2 4 2 2 2" xfId="7472"/>
    <cellStyle name="Note 7 3 2 4 2 3" xfId="7473"/>
    <cellStyle name="Note 7 3 2 4 3" xfId="7474"/>
    <cellStyle name="Note 7 3 2 4 3 2" xfId="7475"/>
    <cellStyle name="Note 7 3 2 4 4" xfId="7476"/>
    <cellStyle name="Note 7 3 2 4 4 2" xfId="7477"/>
    <cellStyle name="Note 7 3 2 4 5" xfId="7478"/>
    <cellStyle name="Note 7 3 2 4 5 2" xfId="7479"/>
    <cellStyle name="Note 7 3 2 4 6" xfId="7480"/>
    <cellStyle name="Note 7 3 2 4 6 2" xfId="7481"/>
    <cellStyle name="Note 7 3 2 4 7" xfId="7482"/>
    <cellStyle name="Note 7 3 2 4 7 2" xfId="7483"/>
    <cellStyle name="Note 7 3 2 4 8" xfId="7484"/>
    <cellStyle name="Note 7 3 2 4 8 2" xfId="7485"/>
    <cellStyle name="Note 7 3 2 4 9" xfId="7486"/>
    <cellStyle name="Note 7 3 2 4 9 2" xfId="7487"/>
    <cellStyle name="Note 7 3 2 5" xfId="7488"/>
    <cellStyle name="Note 7 3 2 5 10" xfId="7489"/>
    <cellStyle name="Note 7 3 2 5 10 2" xfId="7490"/>
    <cellStyle name="Note 7 3 2 5 11" xfId="7491"/>
    <cellStyle name="Note 7 3 2 5 2" xfId="7492"/>
    <cellStyle name="Note 7 3 2 5 2 2" xfId="7493"/>
    <cellStyle name="Note 7 3 2 5 2 2 2" xfId="7494"/>
    <cellStyle name="Note 7 3 2 5 2 3" xfId="7495"/>
    <cellStyle name="Note 7 3 2 5 3" xfId="7496"/>
    <cellStyle name="Note 7 3 2 5 3 2" xfId="7497"/>
    <cellStyle name="Note 7 3 2 5 4" xfId="7498"/>
    <cellStyle name="Note 7 3 2 5 4 2" xfId="7499"/>
    <cellStyle name="Note 7 3 2 5 5" xfId="7500"/>
    <cellStyle name="Note 7 3 2 5 5 2" xfId="7501"/>
    <cellStyle name="Note 7 3 2 5 6" xfId="7502"/>
    <cellStyle name="Note 7 3 2 5 6 2" xfId="7503"/>
    <cellStyle name="Note 7 3 2 5 7" xfId="7504"/>
    <cellStyle name="Note 7 3 2 5 7 2" xfId="7505"/>
    <cellStyle name="Note 7 3 2 5 8" xfId="7506"/>
    <cellStyle name="Note 7 3 2 5 8 2" xfId="7507"/>
    <cellStyle name="Note 7 3 2 5 9" xfId="7508"/>
    <cellStyle name="Note 7 3 2 5 9 2" xfId="7509"/>
    <cellStyle name="Note 7 3 2 6" xfId="7510"/>
    <cellStyle name="Note 7 3 2 6 10" xfId="7511"/>
    <cellStyle name="Note 7 3 2 6 10 2" xfId="7512"/>
    <cellStyle name="Note 7 3 2 6 11" xfId="7513"/>
    <cellStyle name="Note 7 3 2 6 2" xfId="7514"/>
    <cellStyle name="Note 7 3 2 6 2 2" xfId="7515"/>
    <cellStyle name="Note 7 3 2 6 2 2 2" xfId="7516"/>
    <cellStyle name="Note 7 3 2 6 2 3" xfId="7517"/>
    <cellStyle name="Note 7 3 2 6 3" xfId="7518"/>
    <cellStyle name="Note 7 3 2 6 3 2" xfId="7519"/>
    <cellStyle name="Note 7 3 2 6 4" xfId="7520"/>
    <cellStyle name="Note 7 3 2 6 4 2" xfId="7521"/>
    <cellStyle name="Note 7 3 2 6 5" xfId="7522"/>
    <cellStyle name="Note 7 3 2 6 5 2" xfId="7523"/>
    <cellStyle name="Note 7 3 2 6 6" xfId="7524"/>
    <cellStyle name="Note 7 3 2 6 6 2" xfId="7525"/>
    <cellStyle name="Note 7 3 2 6 7" xfId="7526"/>
    <cellStyle name="Note 7 3 2 6 7 2" xfId="7527"/>
    <cellStyle name="Note 7 3 2 6 8" xfId="7528"/>
    <cellStyle name="Note 7 3 2 6 8 2" xfId="7529"/>
    <cellStyle name="Note 7 3 2 6 9" xfId="7530"/>
    <cellStyle name="Note 7 3 2 6 9 2" xfId="7531"/>
    <cellStyle name="Note 7 3 2 7" xfId="7532"/>
    <cellStyle name="Note 7 3 2 7 2" xfId="7533"/>
    <cellStyle name="Note 7 3 2 7 2 2" xfId="7534"/>
    <cellStyle name="Note 7 3 2 7 3" xfId="7535"/>
    <cellStyle name="Note 7 3 2 8" xfId="7536"/>
    <cellStyle name="Note 7 3 2 8 2" xfId="7537"/>
    <cellStyle name="Note 7 3 2 9" xfId="7538"/>
    <cellStyle name="Note 7 3 2 9 2" xfId="7539"/>
    <cellStyle name="Note 7 3 3" xfId="7540"/>
    <cellStyle name="Note 7 3 3 2" xfId="7541"/>
    <cellStyle name="Note 7 3 3 2 2" xfId="7542"/>
    <cellStyle name="Note 7 3 3 2 2 2" xfId="7543"/>
    <cellStyle name="Note 7 3 3 2 3" xfId="7544"/>
    <cellStyle name="Note 7 3 3 3" xfId="7545"/>
    <cellStyle name="Note 7 3 3 3 2" xfId="7546"/>
    <cellStyle name="Note 7 3 3 3 2 2" xfId="7547"/>
    <cellStyle name="Note 7 3 3 3 3" xfId="7548"/>
    <cellStyle name="Note 7 3 3 4" xfId="7549"/>
    <cellStyle name="Note 7 3 3 4 2" xfId="7550"/>
    <cellStyle name="Note 7 3 3 5" xfId="7551"/>
    <cellStyle name="Note 7 3 3 5 2" xfId="7552"/>
    <cellStyle name="Note 7 3 3 6" xfId="7553"/>
    <cellStyle name="Note 7 3 3 6 2" xfId="7554"/>
    <cellStyle name="Note 7 3 3 7" xfId="7555"/>
    <cellStyle name="Note 7 3 3 7 2" xfId="7556"/>
    <cellStyle name="Note 7 3 3 8" xfId="7557"/>
    <cellStyle name="Note 7 3 4" xfId="7558"/>
    <cellStyle name="Note 7 3 4 10" xfId="7559"/>
    <cellStyle name="Note 7 3 4 10 2" xfId="7560"/>
    <cellStyle name="Note 7 3 4 11" xfId="7561"/>
    <cellStyle name="Note 7 3 4 2" xfId="7562"/>
    <cellStyle name="Note 7 3 4 2 2" xfId="7563"/>
    <cellStyle name="Note 7 3 4 2 2 2" xfId="7564"/>
    <cellStyle name="Note 7 3 4 2 3" xfId="7565"/>
    <cellStyle name="Note 7 3 4 3" xfId="7566"/>
    <cellStyle name="Note 7 3 4 3 2" xfId="7567"/>
    <cellStyle name="Note 7 3 4 4" xfId="7568"/>
    <cellStyle name="Note 7 3 4 4 2" xfId="7569"/>
    <cellStyle name="Note 7 3 4 5" xfId="7570"/>
    <cellStyle name="Note 7 3 4 5 2" xfId="7571"/>
    <cellStyle name="Note 7 3 4 6" xfId="7572"/>
    <cellStyle name="Note 7 3 4 6 2" xfId="7573"/>
    <cellStyle name="Note 7 3 4 7" xfId="7574"/>
    <cellStyle name="Note 7 3 4 7 2" xfId="7575"/>
    <cellStyle name="Note 7 3 4 8" xfId="7576"/>
    <cellStyle name="Note 7 3 4 8 2" xfId="7577"/>
    <cellStyle name="Note 7 3 4 9" xfId="7578"/>
    <cellStyle name="Note 7 3 4 9 2" xfId="7579"/>
    <cellStyle name="Note 7 3 5" xfId="7580"/>
    <cellStyle name="Note 7 3 5 10" xfId="7581"/>
    <cellStyle name="Note 7 3 5 10 2" xfId="7582"/>
    <cellStyle name="Note 7 3 5 11" xfId="7583"/>
    <cellStyle name="Note 7 3 5 2" xfId="7584"/>
    <cellStyle name="Note 7 3 5 2 2" xfId="7585"/>
    <cellStyle name="Note 7 3 5 2 2 2" xfId="7586"/>
    <cellStyle name="Note 7 3 5 2 3" xfId="7587"/>
    <cellStyle name="Note 7 3 5 3" xfId="7588"/>
    <cellStyle name="Note 7 3 5 3 2" xfId="7589"/>
    <cellStyle name="Note 7 3 5 4" xfId="7590"/>
    <cellStyle name="Note 7 3 5 4 2" xfId="7591"/>
    <cellStyle name="Note 7 3 5 5" xfId="7592"/>
    <cellStyle name="Note 7 3 5 5 2" xfId="7593"/>
    <cellStyle name="Note 7 3 5 6" xfId="7594"/>
    <cellStyle name="Note 7 3 5 6 2" xfId="7595"/>
    <cellStyle name="Note 7 3 5 7" xfId="7596"/>
    <cellStyle name="Note 7 3 5 7 2" xfId="7597"/>
    <cellStyle name="Note 7 3 5 8" xfId="7598"/>
    <cellStyle name="Note 7 3 5 8 2" xfId="7599"/>
    <cellStyle name="Note 7 3 5 9" xfId="7600"/>
    <cellStyle name="Note 7 3 5 9 2" xfId="7601"/>
    <cellStyle name="Note 7 3 6" xfId="7602"/>
    <cellStyle name="Note 7 3 6 10" xfId="7603"/>
    <cellStyle name="Note 7 3 6 10 2" xfId="7604"/>
    <cellStyle name="Note 7 3 6 11" xfId="7605"/>
    <cellStyle name="Note 7 3 6 2" xfId="7606"/>
    <cellStyle name="Note 7 3 6 2 2" xfId="7607"/>
    <cellStyle name="Note 7 3 6 2 2 2" xfId="7608"/>
    <cellStyle name="Note 7 3 6 2 3" xfId="7609"/>
    <cellStyle name="Note 7 3 6 3" xfId="7610"/>
    <cellStyle name="Note 7 3 6 3 2" xfId="7611"/>
    <cellStyle name="Note 7 3 6 4" xfId="7612"/>
    <cellStyle name="Note 7 3 6 4 2" xfId="7613"/>
    <cellStyle name="Note 7 3 6 5" xfId="7614"/>
    <cellStyle name="Note 7 3 6 5 2" xfId="7615"/>
    <cellStyle name="Note 7 3 6 6" xfId="7616"/>
    <cellStyle name="Note 7 3 6 6 2" xfId="7617"/>
    <cellStyle name="Note 7 3 6 7" xfId="7618"/>
    <cellStyle name="Note 7 3 6 7 2" xfId="7619"/>
    <cellStyle name="Note 7 3 6 8" xfId="7620"/>
    <cellStyle name="Note 7 3 6 8 2" xfId="7621"/>
    <cellStyle name="Note 7 3 6 9" xfId="7622"/>
    <cellStyle name="Note 7 3 6 9 2" xfId="7623"/>
    <cellStyle name="Note 7 3 7" xfId="7624"/>
    <cellStyle name="Note 7 3 7 10" xfId="7625"/>
    <cellStyle name="Note 7 3 7 10 2" xfId="7626"/>
    <cellStyle name="Note 7 3 7 11" xfId="7627"/>
    <cellStyle name="Note 7 3 7 2" xfId="7628"/>
    <cellStyle name="Note 7 3 7 2 2" xfId="7629"/>
    <cellStyle name="Note 7 3 7 2 2 2" xfId="7630"/>
    <cellStyle name="Note 7 3 7 2 3" xfId="7631"/>
    <cellStyle name="Note 7 3 7 3" xfId="7632"/>
    <cellStyle name="Note 7 3 7 3 2" xfId="7633"/>
    <cellStyle name="Note 7 3 7 4" xfId="7634"/>
    <cellStyle name="Note 7 3 7 4 2" xfId="7635"/>
    <cellStyle name="Note 7 3 7 5" xfId="7636"/>
    <cellStyle name="Note 7 3 7 5 2" xfId="7637"/>
    <cellStyle name="Note 7 3 7 6" xfId="7638"/>
    <cellStyle name="Note 7 3 7 6 2" xfId="7639"/>
    <cellStyle name="Note 7 3 7 7" xfId="7640"/>
    <cellStyle name="Note 7 3 7 7 2" xfId="7641"/>
    <cellStyle name="Note 7 3 7 8" xfId="7642"/>
    <cellStyle name="Note 7 3 7 8 2" xfId="7643"/>
    <cellStyle name="Note 7 3 7 9" xfId="7644"/>
    <cellStyle name="Note 7 3 7 9 2" xfId="7645"/>
    <cellStyle name="Note 7 3 8" xfId="7646"/>
    <cellStyle name="Note 7 3 8 2" xfId="7647"/>
    <cellStyle name="Note 7 3 8 2 2" xfId="7648"/>
    <cellStyle name="Note 7 3 8 3" xfId="7649"/>
    <cellStyle name="Note 7 3 9" xfId="7650"/>
    <cellStyle name="Note 7 3 9 2" xfId="7651"/>
    <cellStyle name="Note 7 3_7 - Cap Add WS" xfId="650"/>
    <cellStyle name="Note 7 4" xfId="651"/>
    <cellStyle name="Note 7 4 10" xfId="7652"/>
    <cellStyle name="Note 7 4 10 2" xfId="7653"/>
    <cellStyle name="Note 7 4 11" xfId="7654"/>
    <cellStyle name="Note 7 4 11 2" xfId="7655"/>
    <cellStyle name="Note 7 4 12" xfId="7656"/>
    <cellStyle name="Note 7 4 12 2" xfId="7657"/>
    <cellStyle name="Note 7 4 13" xfId="7658"/>
    <cellStyle name="Note 7 4 2" xfId="7659"/>
    <cellStyle name="Note 7 4 2 2" xfId="7660"/>
    <cellStyle name="Note 7 4 2 2 2" xfId="7661"/>
    <cellStyle name="Note 7 4 2 2 2 2" xfId="7662"/>
    <cellStyle name="Note 7 4 2 2 3" xfId="7663"/>
    <cellStyle name="Note 7 4 2 3" xfId="7664"/>
    <cellStyle name="Note 7 4 2 3 2" xfId="7665"/>
    <cellStyle name="Note 7 4 2 3 2 2" xfId="7666"/>
    <cellStyle name="Note 7 4 2 3 3" xfId="7667"/>
    <cellStyle name="Note 7 4 2 4" xfId="7668"/>
    <cellStyle name="Note 7 4 2 4 2" xfId="7669"/>
    <cellStyle name="Note 7 4 2 5" xfId="7670"/>
    <cellStyle name="Note 7 4 2 5 2" xfId="7671"/>
    <cellStyle name="Note 7 4 2 6" xfId="7672"/>
    <cellStyle name="Note 7 4 2 6 2" xfId="7673"/>
    <cellStyle name="Note 7 4 2 7" xfId="7674"/>
    <cellStyle name="Note 7 4 2 7 2" xfId="7675"/>
    <cellStyle name="Note 7 4 2 8" xfId="7676"/>
    <cellStyle name="Note 7 4 3" xfId="7677"/>
    <cellStyle name="Note 7 4 3 10" xfId="7678"/>
    <cellStyle name="Note 7 4 3 10 2" xfId="7679"/>
    <cellStyle name="Note 7 4 3 11" xfId="7680"/>
    <cellStyle name="Note 7 4 3 2" xfId="7681"/>
    <cellStyle name="Note 7 4 3 2 2" xfId="7682"/>
    <cellStyle name="Note 7 4 3 2 2 2" xfId="7683"/>
    <cellStyle name="Note 7 4 3 2 3" xfId="7684"/>
    <cellStyle name="Note 7 4 3 3" xfId="7685"/>
    <cellStyle name="Note 7 4 3 3 2" xfId="7686"/>
    <cellStyle name="Note 7 4 3 4" xfId="7687"/>
    <cellStyle name="Note 7 4 3 4 2" xfId="7688"/>
    <cellStyle name="Note 7 4 3 5" xfId="7689"/>
    <cellStyle name="Note 7 4 3 5 2" xfId="7690"/>
    <cellStyle name="Note 7 4 3 6" xfId="7691"/>
    <cellStyle name="Note 7 4 3 6 2" xfId="7692"/>
    <cellStyle name="Note 7 4 3 7" xfId="7693"/>
    <cellStyle name="Note 7 4 3 7 2" xfId="7694"/>
    <cellStyle name="Note 7 4 3 8" xfId="7695"/>
    <cellStyle name="Note 7 4 3 8 2" xfId="7696"/>
    <cellStyle name="Note 7 4 3 9" xfId="7697"/>
    <cellStyle name="Note 7 4 3 9 2" xfId="7698"/>
    <cellStyle name="Note 7 4 4" xfId="7699"/>
    <cellStyle name="Note 7 4 4 10" xfId="7700"/>
    <cellStyle name="Note 7 4 4 10 2" xfId="7701"/>
    <cellStyle name="Note 7 4 4 11" xfId="7702"/>
    <cellStyle name="Note 7 4 4 2" xfId="7703"/>
    <cellStyle name="Note 7 4 4 2 2" xfId="7704"/>
    <cellStyle name="Note 7 4 4 2 2 2" xfId="7705"/>
    <cellStyle name="Note 7 4 4 2 3" xfId="7706"/>
    <cellStyle name="Note 7 4 4 3" xfId="7707"/>
    <cellStyle name="Note 7 4 4 3 2" xfId="7708"/>
    <cellStyle name="Note 7 4 4 4" xfId="7709"/>
    <cellStyle name="Note 7 4 4 4 2" xfId="7710"/>
    <cellStyle name="Note 7 4 4 5" xfId="7711"/>
    <cellStyle name="Note 7 4 4 5 2" xfId="7712"/>
    <cellStyle name="Note 7 4 4 6" xfId="7713"/>
    <cellStyle name="Note 7 4 4 6 2" xfId="7714"/>
    <cellStyle name="Note 7 4 4 7" xfId="7715"/>
    <cellStyle name="Note 7 4 4 7 2" xfId="7716"/>
    <cellStyle name="Note 7 4 4 8" xfId="7717"/>
    <cellStyle name="Note 7 4 4 8 2" xfId="7718"/>
    <cellStyle name="Note 7 4 4 9" xfId="7719"/>
    <cellStyle name="Note 7 4 4 9 2" xfId="7720"/>
    <cellStyle name="Note 7 4 5" xfId="7721"/>
    <cellStyle name="Note 7 4 5 10" xfId="7722"/>
    <cellStyle name="Note 7 4 5 10 2" xfId="7723"/>
    <cellStyle name="Note 7 4 5 11" xfId="7724"/>
    <cellStyle name="Note 7 4 5 2" xfId="7725"/>
    <cellStyle name="Note 7 4 5 2 2" xfId="7726"/>
    <cellStyle name="Note 7 4 5 2 2 2" xfId="7727"/>
    <cellStyle name="Note 7 4 5 2 3" xfId="7728"/>
    <cellStyle name="Note 7 4 5 3" xfId="7729"/>
    <cellStyle name="Note 7 4 5 3 2" xfId="7730"/>
    <cellStyle name="Note 7 4 5 4" xfId="7731"/>
    <cellStyle name="Note 7 4 5 4 2" xfId="7732"/>
    <cellStyle name="Note 7 4 5 5" xfId="7733"/>
    <cellStyle name="Note 7 4 5 5 2" xfId="7734"/>
    <cellStyle name="Note 7 4 5 6" xfId="7735"/>
    <cellStyle name="Note 7 4 5 6 2" xfId="7736"/>
    <cellStyle name="Note 7 4 5 7" xfId="7737"/>
    <cellStyle name="Note 7 4 5 7 2" xfId="7738"/>
    <cellStyle name="Note 7 4 5 8" xfId="7739"/>
    <cellStyle name="Note 7 4 5 8 2" xfId="7740"/>
    <cellStyle name="Note 7 4 5 9" xfId="7741"/>
    <cellStyle name="Note 7 4 5 9 2" xfId="7742"/>
    <cellStyle name="Note 7 4 6" xfId="7743"/>
    <cellStyle name="Note 7 4 6 10" xfId="7744"/>
    <cellStyle name="Note 7 4 6 10 2" xfId="7745"/>
    <cellStyle name="Note 7 4 6 11" xfId="7746"/>
    <cellStyle name="Note 7 4 6 2" xfId="7747"/>
    <cellStyle name="Note 7 4 6 2 2" xfId="7748"/>
    <cellStyle name="Note 7 4 6 2 2 2" xfId="7749"/>
    <cellStyle name="Note 7 4 6 2 3" xfId="7750"/>
    <cellStyle name="Note 7 4 6 3" xfId="7751"/>
    <cellStyle name="Note 7 4 6 3 2" xfId="7752"/>
    <cellStyle name="Note 7 4 6 4" xfId="7753"/>
    <cellStyle name="Note 7 4 6 4 2" xfId="7754"/>
    <cellStyle name="Note 7 4 6 5" xfId="7755"/>
    <cellStyle name="Note 7 4 6 5 2" xfId="7756"/>
    <cellStyle name="Note 7 4 6 6" xfId="7757"/>
    <cellStyle name="Note 7 4 6 6 2" xfId="7758"/>
    <cellStyle name="Note 7 4 6 7" xfId="7759"/>
    <cellStyle name="Note 7 4 6 7 2" xfId="7760"/>
    <cellStyle name="Note 7 4 6 8" xfId="7761"/>
    <cellStyle name="Note 7 4 6 8 2" xfId="7762"/>
    <cellStyle name="Note 7 4 6 9" xfId="7763"/>
    <cellStyle name="Note 7 4 6 9 2" xfId="7764"/>
    <cellStyle name="Note 7 4 7" xfId="7765"/>
    <cellStyle name="Note 7 4 7 2" xfId="7766"/>
    <cellStyle name="Note 7 4 7 2 2" xfId="7767"/>
    <cellStyle name="Note 7 4 7 3" xfId="7768"/>
    <cellStyle name="Note 7 4 8" xfId="7769"/>
    <cellStyle name="Note 7 4 8 2" xfId="7770"/>
    <cellStyle name="Note 7 4 9" xfId="7771"/>
    <cellStyle name="Note 7 4 9 2" xfId="7772"/>
    <cellStyle name="Note 7 5" xfId="7773"/>
    <cellStyle name="Note 7 5 2" xfId="7774"/>
    <cellStyle name="Note 7 5 2 2" xfId="7775"/>
    <cellStyle name="Note 7 5 2 2 2" xfId="7776"/>
    <cellStyle name="Note 7 5 2 3" xfId="7777"/>
    <cellStyle name="Note 7 5 3" xfId="7778"/>
    <cellStyle name="Note 7 5 3 2" xfId="7779"/>
    <cellStyle name="Note 7 5 3 2 2" xfId="7780"/>
    <cellStyle name="Note 7 5 3 3" xfId="7781"/>
    <cellStyle name="Note 7 5 4" xfId="7782"/>
    <cellStyle name="Note 7 5 4 2" xfId="7783"/>
    <cellStyle name="Note 7 5 5" xfId="7784"/>
    <cellStyle name="Note 7 5 5 2" xfId="7785"/>
    <cellStyle name="Note 7 5 6" xfId="7786"/>
    <cellStyle name="Note 7 5 6 2" xfId="7787"/>
    <cellStyle name="Note 7 5 7" xfId="7788"/>
    <cellStyle name="Note 7 5 7 2" xfId="7789"/>
    <cellStyle name="Note 7 5 8" xfId="7790"/>
    <cellStyle name="Note 7 6" xfId="7791"/>
    <cellStyle name="Note 7 6 10" xfId="7792"/>
    <cellStyle name="Note 7 6 10 2" xfId="7793"/>
    <cellStyle name="Note 7 6 11" xfId="7794"/>
    <cellStyle name="Note 7 6 2" xfId="7795"/>
    <cellStyle name="Note 7 6 2 2" xfId="7796"/>
    <cellStyle name="Note 7 6 2 2 2" xfId="7797"/>
    <cellStyle name="Note 7 6 2 3" xfId="7798"/>
    <cellStyle name="Note 7 6 3" xfId="7799"/>
    <cellStyle name="Note 7 6 3 2" xfId="7800"/>
    <cellStyle name="Note 7 6 4" xfId="7801"/>
    <cellStyle name="Note 7 6 4 2" xfId="7802"/>
    <cellStyle name="Note 7 6 5" xfId="7803"/>
    <cellStyle name="Note 7 6 5 2" xfId="7804"/>
    <cellStyle name="Note 7 6 6" xfId="7805"/>
    <cellStyle name="Note 7 6 6 2" xfId="7806"/>
    <cellStyle name="Note 7 6 7" xfId="7807"/>
    <cellStyle name="Note 7 6 7 2" xfId="7808"/>
    <cellStyle name="Note 7 6 8" xfId="7809"/>
    <cellStyle name="Note 7 6 8 2" xfId="7810"/>
    <cellStyle name="Note 7 6 9" xfId="7811"/>
    <cellStyle name="Note 7 6 9 2" xfId="7812"/>
    <cellStyle name="Note 7 7" xfId="7813"/>
    <cellStyle name="Note 7 7 10" xfId="7814"/>
    <cellStyle name="Note 7 7 10 2" xfId="7815"/>
    <cellStyle name="Note 7 7 11" xfId="7816"/>
    <cellStyle name="Note 7 7 2" xfId="7817"/>
    <cellStyle name="Note 7 7 2 2" xfId="7818"/>
    <cellStyle name="Note 7 7 2 2 2" xfId="7819"/>
    <cellStyle name="Note 7 7 2 3" xfId="7820"/>
    <cellStyle name="Note 7 7 3" xfId="7821"/>
    <cellStyle name="Note 7 7 3 2" xfId="7822"/>
    <cellStyle name="Note 7 7 4" xfId="7823"/>
    <cellStyle name="Note 7 7 4 2" xfId="7824"/>
    <cellStyle name="Note 7 7 5" xfId="7825"/>
    <cellStyle name="Note 7 7 5 2" xfId="7826"/>
    <cellStyle name="Note 7 7 6" xfId="7827"/>
    <cellStyle name="Note 7 7 6 2" xfId="7828"/>
    <cellStyle name="Note 7 7 7" xfId="7829"/>
    <cellStyle name="Note 7 7 7 2" xfId="7830"/>
    <cellStyle name="Note 7 7 8" xfId="7831"/>
    <cellStyle name="Note 7 7 8 2" xfId="7832"/>
    <cellStyle name="Note 7 7 9" xfId="7833"/>
    <cellStyle name="Note 7 7 9 2" xfId="7834"/>
    <cellStyle name="Note 7 8" xfId="7835"/>
    <cellStyle name="Note 7 8 10" xfId="7836"/>
    <cellStyle name="Note 7 8 10 2" xfId="7837"/>
    <cellStyle name="Note 7 8 11" xfId="7838"/>
    <cellStyle name="Note 7 8 2" xfId="7839"/>
    <cellStyle name="Note 7 8 2 2" xfId="7840"/>
    <cellStyle name="Note 7 8 2 2 2" xfId="7841"/>
    <cellStyle name="Note 7 8 2 3" xfId="7842"/>
    <cellStyle name="Note 7 8 3" xfId="7843"/>
    <cellStyle name="Note 7 8 3 2" xfId="7844"/>
    <cellStyle name="Note 7 8 4" xfId="7845"/>
    <cellStyle name="Note 7 8 4 2" xfId="7846"/>
    <cellStyle name="Note 7 8 5" xfId="7847"/>
    <cellStyle name="Note 7 8 5 2" xfId="7848"/>
    <cellStyle name="Note 7 8 6" xfId="7849"/>
    <cellStyle name="Note 7 8 6 2" xfId="7850"/>
    <cellStyle name="Note 7 8 7" xfId="7851"/>
    <cellStyle name="Note 7 8 7 2" xfId="7852"/>
    <cellStyle name="Note 7 8 8" xfId="7853"/>
    <cellStyle name="Note 7 8 8 2" xfId="7854"/>
    <cellStyle name="Note 7 8 9" xfId="7855"/>
    <cellStyle name="Note 7 8 9 2" xfId="7856"/>
    <cellStyle name="Note 7 9" xfId="7857"/>
    <cellStyle name="Note 7 9 10" xfId="7858"/>
    <cellStyle name="Note 7 9 10 2" xfId="7859"/>
    <cellStyle name="Note 7 9 11" xfId="7860"/>
    <cellStyle name="Note 7 9 2" xfId="7861"/>
    <cellStyle name="Note 7 9 2 2" xfId="7862"/>
    <cellStyle name="Note 7 9 2 2 2" xfId="7863"/>
    <cellStyle name="Note 7 9 2 3" xfId="7864"/>
    <cellStyle name="Note 7 9 3" xfId="7865"/>
    <cellStyle name="Note 7 9 3 2" xfId="7866"/>
    <cellStyle name="Note 7 9 4" xfId="7867"/>
    <cellStyle name="Note 7 9 4 2" xfId="7868"/>
    <cellStyle name="Note 7 9 5" xfId="7869"/>
    <cellStyle name="Note 7 9 5 2" xfId="7870"/>
    <cellStyle name="Note 7 9 6" xfId="7871"/>
    <cellStyle name="Note 7 9 6 2" xfId="7872"/>
    <cellStyle name="Note 7 9 7" xfId="7873"/>
    <cellStyle name="Note 7 9 7 2" xfId="7874"/>
    <cellStyle name="Note 7 9 8" xfId="7875"/>
    <cellStyle name="Note 7 9 8 2" xfId="7876"/>
    <cellStyle name="Note 7 9 9" xfId="7877"/>
    <cellStyle name="Note 7 9 9 2" xfId="7878"/>
    <cellStyle name="Note 7_7 - Cap Add WS" xfId="652"/>
    <cellStyle name="Note 8" xfId="653"/>
    <cellStyle name="Note 8 10" xfId="7879"/>
    <cellStyle name="Note 8 10 2" xfId="7880"/>
    <cellStyle name="Note 8 10 2 2" xfId="7881"/>
    <cellStyle name="Note 8 10 3" xfId="7882"/>
    <cellStyle name="Note 8 11" xfId="7883"/>
    <cellStyle name="Note 8 11 2" xfId="7884"/>
    <cellStyle name="Note 8 12" xfId="7885"/>
    <cellStyle name="Note 8 12 2" xfId="7886"/>
    <cellStyle name="Note 8 13" xfId="7887"/>
    <cellStyle name="Note 8 13 2" xfId="7888"/>
    <cellStyle name="Note 8 14" xfId="7889"/>
    <cellStyle name="Note 8 14 2" xfId="7890"/>
    <cellStyle name="Note 8 15" xfId="7891"/>
    <cellStyle name="Note 8 15 2" xfId="7892"/>
    <cellStyle name="Note 8 16" xfId="7893"/>
    <cellStyle name="Note 8 2" xfId="654"/>
    <cellStyle name="Note 8 2 10" xfId="7894"/>
    <cellStyle name="Note 8 2 10 2" xfId="7895"/>
    <cellStyle name="Note 8 2 11" xfId="7896"/>
    <cellStyle name="Note 8 2 11 2" xfId="7897"/>
    <cellStyle name="Note 8 2 12" xfId="7898"/>
    <cellStyle name="Note 8 2 12 2" xfId="7899"/>
    <cellStyle name="Note 8 2 13" xfId="7900"/>
    <cellStyle name="Note 8 2 13 2" xfId="7901"/>
    <cellStyle name="Note 8 2 14" xfId="7902"/>
    <cellStyle name="Note 8 2 2" xfId="655"/>
    <cellStyle name="Note 8 2 2 10" xfId="7903"/>
    <cellStyle name="Note 8 2 2 10 2" xfId="7904"/>
    <cellStyle name="Note 8 2 2 11" xfId="7905"/>
    <cellStyle name="Note 8 2 2 11 2" xfId="7906"/>
    <cellStyle name="Note 8 2 2 12" xfId="7907"/>
    <cellStyle name="Note 8 2 2 12 2" xfId="7908"/>
    <cellStyle name="Note 8 2 2 13" xfId="7909"/>
    <cellStyle name="Note 8 2 2 2" xfId="7910"/>
    <cellStyle name="Note 8 2 2 2 2" xfId="7911"/>
    <cellStyle name="Note 8 2 2 2 2 2" xfId="7912"/>
    <cellStyle name="Note 8 2 2 2 2 2 2" xfId="7913"/>
    <cellStyle name="Note 8 2 2 2 2 3" xfId="7914"/>
    <cellStyle name="Note 8 2 2 2 3" xfId="7915"/>
    <cellStyle name="Note 8 2 2 2 3 2" xfId="7916"/>
    <cellStyle name="Note 8 2 2 2 3 2 2" xfId="7917"/>
    <cellStyle name="Note 8 2 2 2 3 3" xfId="7918"/>
    <cellStyle name="Note 8 2 2 2 4" xfId="7919"/>
    <cellStyle name="Note 8 2 2 2 4 2" xfId="7920"/>
    <cellStyle name="Note 8 2 2 2 5" xfId="7921"/>
    <cellStyle name="Note 8 2 2 2 5 2" xfId="7922"/>
    <cellStyle name="Note 8 2 2 2 6" xfId="7923"/>
    <cellStyle name="Note 8 2 2 2 6 2" xfId="7924"/>
    <cellStyle name="Note 8 2 2 2 7" xfId="7925"/>
    <cellStyle name="Note 8 2 2 2 7 2" xfId="7926"/>
    <cellStyle name="Note 8 2 2 2 8" xfId="7927"/>
    <cellStyle name="Note 8 2 2 3" xfId="7928"/>
    <cellStyle name="Note 8 2 2 3 10" xfId="7929"/>
    <cellStyle name="Note 8 2 2 3 10 2" xfId="7930"/>
    <cellStyle name="Note 8 2 2 3 11" xfId="7931"/>
    <cellStyle name="Note 8 2 2 3 2" xfId="7932"/>
    <cellStyle name="Note 8 2 2 3 2 2" xfId="7933"/>
    <cellStyle name="Note 8 2 2 3 2 2 2" xfId="7934"/>
    <cellStyle name="Note 8 2 2 3 2 3" xfId="7935"/>
    <cellStyle name="Note 8 2 2 3 3" xfId="7936"/>
    <cellStyle name="Note 8 2 2 3 3 2" xfId="7937"/>
    <cellStyle name="Note 8 2 2 3 4" xfId="7938"/>
    <cellStyle name="Note 8 2 2 3 4 2" xfId="7939"/>
    <cellStyle name="Note 8 2 2 3 5" xfId="7940"/>
    <cellStyle name="Note 8 2 2 3 5 2" xfId="7941"/>
    <cellStyle name="Note 8 2 2 3 6" xfId="7942"/>
    <cellStyle name="Note 8 2 2 3 6 2" xfId="7943"/>
    <cellStyle name="Note 8 2 2 3 7" xfId="7944"/>
    <cellStyle name="Note 8 2 2 3 7 2" xfId="7945"/>
    <cellStyle name="Note 8 2 2 3 8" xfId="7946"/>
    <cellStyle name="Note 8 2 2 3 8 2" xfId="7947"/>
    <cellStyle name="Note 8 2 2 3 9" xfId="7948"/>
    <cellStyle name="Note 8 2 2 3 9 2" xfId="7949"/>
    <cellStyle name="Note 8 2 2 4" xfId="7950"/>
    <cellStyle name="Note 8 2 2 4 10" xfId="7951"/>
    <cellStyle name="Note 8 2 2 4 10 2" xfId="7952"/>
    <cellStyle name="Note 8 2 2 4 11" xfId="7953"/>
    <cellStyle name="Note 8 2 2 4 2" xfId="7954"/>
    <cellStyle name="Note 8 2 2 4 2 2" xfId="7955"/>
    <cellStyle name="Note 8 2 2 4 2 2 2" xfId="7956"/>
    <cellStyle name="Note 8 2 2 4 2 3" xfId="7957"/>
    <cellStyle name="Note 8 2 2 4 3" xfId="7958"/>
    <cellStyle name="Note 8 2 2 4 3 2" xfId="7959"/>
    <cellStyle name="Note 8 2 2 4 4" xfId="7960"/>
    <cellStyle name="Note 8 2 2 4 4 2" xfId="7961"/>
    <cellStyle name="Note 8 2 2 4 5" xfId="7962"/>
    <cellStyle name="Note 8 2 2 4 5 2" xfId="7963"/>
    <cellStyle name="Note 8 2 2 4 6" xfId="7964"/>
    <cellStyle name="Note 8 2 2 4 6 2" xfId="7965"/>
    <cellStyle name="Note 8 2 2 4 7" xfId="7966"/>
    <cellStyle name="Note 8 2 2 4 7 2" xfId="7967"/>
    <cellStyle name="Note 8 2 2 4 8" xfId="7968"/>
    <cellStyle name="Note 8 2 2 4 8 2" xfId="7969"/>
    <cellStyle name="Note 8 2 2 4 9" xfId="7970"/>
    <cellStyle name="Note 8 2 2 4 9 2" xfId="7971"/>
    <cellStyle name="Note 8 2 2 5" xfId="7972"/>
    <cellStyle name="Note 8 2 2 5 10" xfId="7973"/>
    <cellStyle name="Note 8 2 2 5 10 2" xfId="7974"/>
    <cellStyle name="Note 8 2 2 5 11" xfId="7975"/>
    <cellStyle name="Note 8 2 2 5 2" xfId="7976"/>
    <cellStyle name="Note 8 2 2 5 2 2" xfId="7977"/>
    <cellStyle name="Note 8 2 2 5 2 2 2" xfId="7978"/>
    <cellStyle name="Note 8 2 2 5 2 3" xfId="7979"/>
    <cellStyle name="Note 8 2 2 5 3" xfId="7980"/>
    <cellStyle name="Note 8 2 2 5 3 2" xfId="7981"/>
    <cellStyle name="Note 8 2 2 5 4" xfId="7982"/>
    <cellStyle name="Note 8 2 2 5 4 2" xfId="7983"/>
    <cellStyle name="Note 8 2 2 5 5" xfId="7984"/>
    <cellStyle name="Note 8 2 2 5 5 2" xfId="7985"/>
    <cellStyle name="Note 8 2 2 5 6" xfId="7986"/>
    <cellStyle name="Note 8 2 2 5 6 2" xfId="7987"/>
    <cellStyle name="Note 8 2 2 5 7" xfId="7988"/>
    <cellStyle name="Note 8 2 2 5 7 2" xfId="7989"/>
    <cellStyle name="Note 8 2 2 5 8" xfId="7990"/>
    <cellStyle name="Note 8 2 2 5 8 2" xfId="7991"/>
    <cellStyle name="Note 8 2 2 5 9" xfId="7992"/>
    <cellStyle name="Note 8 2 2 5 9 2" xfId="7993"/>
    <cellStyle name="Note 8 2 2 6" xfId="7994"/>
    <cellStyle name="Note 8 2 2 6 10" xfId="7995"/>
    <cellStyle name="Note 8 2 2 6 10 2" xfId="7996"/>
    <cellStyle name="Note 8 2 2 6 11" xfId="7997"/>
    <cellStyle name="Note 8 2 2 6 2" xfId="7998"/>
    <cellStyle name="Note 8 2 2 6 2 2" xfId="7999"/>
    <cellStyle name="Note 8 2 2 6 2 2 2" xfId="8000"/>
    <cellStyle name="Note 8 2 2 6 2 3" xfId="8001"/>
    <cellStyle name="Note 8 2 2 6 3" xfId="8002"/>
    <cellStyle name="Note 8 2 2 6 3 2" xfId="8003"/>
    <cellStyle name="Note 8 2 2 6 4" xfId="8004"/>
    <cellStyle name="Note 8 2 2 6 4 2" xfId="8005"/>
    <cellStyle name="Note 8 2 2 6 5" xfId="8006"/>
    <cellStyle name="Note 8 2 2 6 5 2" xfId="8007"/>
    <cellStyle name="Note 8 2 2 6 6" xfId="8008"/>
    <cellStyle name="Note 8 2 2 6 6 2" xfId="8009"/>
    <cellStyle name="Note 8 2 2 6 7" xfId="8010"/>
    <cellStyle name="Note 8 2 2 6 7 2" xfId="8011"/>
    <cellStyle name="Note 8 2 2 6 8" xfId="8012"/>
    <cellStyle name="Note 8 2 2 6 8 2" xfId="8013"/>
    <cellStyle name="Note 8 2 2 6 9" xfId="8014"/>
    <cellStyle name="Note 8 2 2 6 9 2" xfId="8015"/>
    <cellStyle name="Note 8 2 2 7" xfId="8016"/>
    <cellStyle name="Note 8 2 2 7 2" xfId="8017"/>
    <cellStyle name="Note 8 2 2 7 2 2" xfId="8018"/>
    <cellStyle name="Note 8 2 2 7 3" xfId="8019"/>
    <cellStyle name="Note 8 2 2 8" xfId="8020"/>
    <cellStyle name="Note 8 2 2 8 2" xfId="8021"/>
    <cellStyle name="Note 8 2 2 9" xfId="8022"/>
    <cellStyle name="Note 8 2 2 9 2" xfId="8023"/>
    <cellStyle name="Note 8 2 3" xfId="8024"/>
    <cellStyle name="Note 8 2 3 2" xfId="8025"/>
    <cellStyle name="Note 8 2 3 2 2" xfId="8026"/>
    <cellStyle name="Note 8 2 3 2 2 2" xfId="8027"/>
    <cellStyle name="Note 8 2 3 2 3" xfId="8028"/>
    <cellStyle name="Note 8 2 3 3" xfId="8029"/>
    <cellStyle name="Note 8 2 3 3 2" xfId="8030"/>
    <cellStyle name="Note 8 2 3 3 2 2" xfId="8031"/>
    <cellStyle name="Note 8 2 3 3 3" xfId="8032"/>
    <cellStyle name="Note 8 2 3 4" xfId="8033"/>
    <cellStyle name="Note 8 2 3 4 2" xfId="8034"/>
    <cellStyle name="Note 8 2 3 5" xfId="8035"/>
    <cellStyle name="Note 8 2 3 5 2" xfId="8036"/>
    <cellStyle name="Note 8 2 3 6" xfId="8037"/>
    <cellStyle name="Note 8 2 3 6 2" xfId="8038"/>
    <cellStyle name="Note 8 2 3 7" xfId="8039"/>
    <cellStyle name="Note 8 2 3 7 2" xfId="8040"/>
    <cellStyle name="Note 8 2 3 8" xfId="8041"/>
    <cellStyle name="Note 8 2 4" xfId="8042"/>
    <cellStyle name="Note 8 2 4 10" xfId="8043"/>
    <cellStyle name="Note 8 2 4 10 2" xfId="8044"/>
    <cellStyle name="Note 8 2 4 11" xfId="8045"/>
    <cellStyle name="Note 8 2 4 2" xfId="8046"/>
    <cellStyle name="Note 8 2 4 2 2" xfId="8047"/>
    <cellStyle name="Note 8 2 4 2 2 2" xfId="8048"/>
    <cellStyle name="Note 8 2 4 2 3" xfId="8049"/>
    <cellStyle name="Note 8 2 4 3" xfId="8050"/>
    <cellStyle name="Note 8 2 4 3 2" xfId="8051"/>
    <cellStyle name="Note 8 2 4 4" xfId="8052"/>
    <cellStyle name="Note 8 2 4 4 2" xfId="8053"/>
    <cellStyle name="Note 8 2 4 5" xfId="8054"/>
    <cellStyle name="Note 8 2 4 5 2" xfId="8055"/>
    <cellStyle name="Note 8 2 4 6" xfId="8056"/>
    <cellStyle name="Note 8 2 4 6 2" xfId="8057"/>
    <cellStyle name="Note 8 2 4 7" xfId="8058"/>
    <cellStyle name="Note 8 2 4 7 2" xfId="8059"/>
    <cellStyle name="Note 8 2 4 8" xfId="8060"/>
    <cellStyle name="Note 8 2 4 8 2" xfId="8061"/>
    <cellStyle name="Note 8 2 4 9" xfId="8062"/>
    <cellStyle name="Note 8 2 4 9 2" xfId="8063"/>
    <cellStyle name="Note 8 2 5" xfId="8064"/>
    <cellStyle name="Note 8 2 5 10" xfId="8065"/>
    <cellStyle name="Note 8 2 5 10 2" xfId="8066"/>
    <cellStyle name="Note 8 2 5 11" xfId="8067"/>
    <cellStyle name="Note 8 2 5 2" xfId="8068"/>
    <cellStyle name="Note 8 2 5 2 2" xfId="8069"/>
    <cellStyle name="Note 8 2 5 2 2 2" xfId="8070"/>
    <cellStyle name="Note 8 2 5 2 3" xfId="8071"/>
    <cellStyle name="Note 8 2 5 3" xfId="8072"/>
    <cellStyle name="Note 8 2 5 3 2" xfId="8073"/>
    <cellStyle name="Note 8 2 5 4" xfId="8074"/>
    <cellStyle name="Note 8 2 5 4 2" xfId="8075"/>
    <cellStyle name="Note 8 2 5 5" xfId="8076"/>
    <cellStyle name="Note 8 2 5 5 2" xfId="8077"/>
    <cellStyle name="Note 8 2 5 6" xfId="8078"/>
    <cellStyle name="Note 8 2 5 6 2" xfId="8079"/>
    <cellStyle name="Note 8 2 5 7" xfId="8080"/>
    <cellStyle name="Note 8 2 5 7 2" xfId="8081"/>
    <cellStyle name="Note 8 2 5 8" xfId="8082"/>
    <cellStyle name="Note 8 2 5 8 2" xfId="8083"/>
    <cellStyle name="Note 8 2 5 9" xfId="8084"/>
    <cellStyle name="Note 8 2 5 9 2" xfId="8085"/>
    <cellStyle name="Note 8 2 6" xfId="8086"/>
    <cellStyle name="Note 8 2 6 10" xfId="8087"/>
    <cellStyle name="Note 8 2 6 10 2" xfId="8088"/>
    <cellStyle name="Note 8 2 6 11" xfId="8089"/>
    <cellStyle name="Note 8 2 6 2" xfId="8090"/>
    <cellStyle name="Note 8 2 6 2 2" xfId="8091"/>
    <cellStyle name="Note 8 2 6 2 2 2" xfId="8092"/>
    <cellStyle name="Note 8 2 6 2 3" xfId="8093"/>
    <cellStyle name="Note 8 2 6 3" xfId="8094"/>
    <cellStyle name="Note 8 2 6 3 2" xfId="8095"/>
    <cellStyle name="Note 8 2 6 4" xfId="8096"/>
    <cellStyle name="Note 8 2 6 4 2" xfId="8097"/>
    <cellStyle name="Note 8 2 6 5" xfId="8098"/>
    <cellStyle name="Note 8 2 6 5 2" xfId="8099"/>
    <cellStyle name="Note 8 2 6 6" xfId="8100"/>
    <cellStyle name="Note 8 2 6 6 2" xfId="8101"/>
    <cellStyle name="Note 8 2 6 7" xfId="8102"/>
    <cellStyle name="Note 8 2 6 7 2" xfId="8103"/>
    <cellStyle name="Note 8 2 6 8" xfId="8104"/>
    <cellStyle name="Note 8 2 6 8 2" xfId="8105"/>
    <cellStyle name="Note 8 2 6 9" xfId="8106"/>
    <cellStyle name="Note 8 2 6 9 2" xfId="8107"/>
    <cellStyle name="Note 8 2 7" xfId="8108"/>
    <cellStyle name="Note 8 2 7 10" xfId="8109"/>
    <cellStyle name="Note 8 2 7 10 2" xfId="8110"/>
    <cellStyle name="Note 8 2 7 11" xfId="8111"/>
    <cellStyle name="Note 8 2 7 2" xfId="8112"/>
    <cellStyle name="Note 8 2 7 2 2" xfId="8113"/>
    <cellStyle name="Note 8 2 7 2 2 2" xfId="8114"/>
    <cellStyle name="Note 8 2 7 2 3" xfId="8115"/>
    <cellStyle name="Note 8 2 7 3" xfId="8116"/>
    <cellStyle name="Note 8 2 7 3 2" xfId="8117"/>
    <cellStyle name="Note 8 2 7 4" xfId="8118"/>
    <cellStyle name="Note 8 2 7 4 2" xfId="8119"/>
    <cellStyle name="Note 8 2 7 5" xfId="8120"/>
    <cellStyle name="Note 8 2 7 5 2" xfId="8121"/>
    <cellStyle name="Note 8 2 7 6" xfId="8122"/>
    <cellStyle name="Note 8 2 7 6 2" xfId="8123"/>
    <cellStyle name="Note 8 2 7 7" xfId="8124"/>
    <cellStyle name="Note 8 2 7 7 2" xfId="8125"/>
    <cellStyle name="Note 8 2 7 8" xfId="8126"/>
    <cellStyle name="Note 8 2 7 8 2" xfId="8127"/>
    <cellStyle name="Note 8 2 7 9" xfId="8128"/>
    <cellStyle name="Note 8 2 7 9 2" xfId="8129"/>
    <cellStyle name="Note 8 2 8" xfId="8130"/>
    <cellStyle name="Note 8 2 8 2" xfId="8131"/>
    <cellStyle name="Note 8 2 8 2 2" xfId="8132"/>
    <cellStyle name="Note 8 2 8 3" xfId="8133"/>
    <cellStyle name="Note 8 2 9" xfId="8134"/>
    <cellStyle name="Note 8 2 9 2" xfId="8135"/>
    <cellStyle name="Note 8 2_7 - Cap Add WS" xfId="656"/>
    <cellStyle name="Note 8 3" xfId="657"/>
    <cellStyle name="Note 8 3 10" xfId="8136"/>
    <cellStyle name="Note 8 3 10 2" xfId="8137"/>
    <cellStyle name="Note 8 3 11" xfId="8138"/>
    <cellStyle name="Note 8 3 11 2" xfId="8139"/>
    <cellStyle name="Note 8 3 12" xfId="8140"/>
    <cellStyle name="Note 8 3 12 2" xfId="8141"/>
    <cellStyle name="Note 8 3 13" xfId="8142"/>
    <cellStyle name="Note 8 3 13 2" xfId="8143"/>
    <cellStyle name="Note 8 3 14" xfId="8144"/>
    <cellStyle name="Note 8 3 2" xfId="658"/>
    <cellStyle name="Note 8 3 2 10" xfId="8145"/>
    <cellStyle name="Note 8 3 2 10 2" xfId="8146"/>
    <cellStyle name="Note 8 3 2 11" xfId="8147"/>
    <cellStyle name="Note 8 3 2 11 2" xfId="8148"/>
    <cellStyle name="Note 8 3 2 12" xfId="8149"/>
    <cellStyle name="Note 8 3 2 12 2" xfId="8150"/>
    <cellStyle name="Note 8 3 2 13" xfId="8151"/>
    <cellStyle name="Note 8 3 2 2" xfId="8152"/>
    <cellStyle name="Note 8 3 2 2 2" xfId="8153"/>
    <cellStyle name="Note 8 3 2 2 2 2" xfId="8154"/>
    <cellStyle name="Note 8 3 2 2 2 2 2" xfId="8155"/>
    <cellStyle name="Note 8 3 2 2 2 3" xfId="8156"/>
    <cellStyle name="Note 8 3 2 2 3" xfId="8157"/>
    <cellStyle name="Note 8 3 2 2 3 2" xfId="8158"/>
    <cellStyle name="Note 8 3 2 2 3 2 2" xfId="8159"/>
    <cellStyle name="Note 8 3 2 2 3 3" xfId="8160"/>
    <cellStyle name="Note 8 3 2 2 4" xfId="8161"/>
    <cellStyle name="Note 8 3 2 2 4 2" xfId="8162"/>
    <cellStyle name="Note 8 3 2 2 5" xfId="8163"/>
    <cellStyle name="Note 8 3 2 2 5 2" xfId="8164"/>
    <cellStyle name="Note 8 3 2 2 6" xfId="8165"/>
    <cellStyle name="Note 8 3 2 2 6 2" xfId="8166"/>
    <cellStyle name="Note 8 3 2 2 7" xfId="8167"/>
    <cellStyle name="Note 8 3 2 2 7 2" xfId="8168"/>
    <cellStyle name="Note 8 3 2 2 8" xfId="8169"/>
    <cellStyle name="Note 8 3 2 3" xfId="8170"/>
    <cellStyle name="Note 8 3 2 3 10" xfId="8171"/>
    <cellStyle name="Note 8 3 2 3 10 2" xfId="8172"/>
    <cellStyle name="Note 8 3 2 3 11" xfId="8173"/>
    <cellStyle name="Note 8 3 2 3 2" xfId="8174"/>
    <cellStyle name="Note 8 3 2 3 2 2" xfId="8175"/>
    <cellStyle name="Note 8 3 2 3 2 2 2" xfId="8176"/>
    <cellStyle name="Note 8 3 2 3 2 3" xfId="8177"/>
    <cellStyle name="Note 8 3 2 3 3" xfId="8178"/>
    <cellStyle name="Note 8 3 2 3 3 2" xfId="8179"/>
    <cellStyle name="Note 8 3 2 3 4" xfId="8180"/>
    <cellStyle name="Note 8 3 2 3 4 2" xfId="8181"/>
    <cellStyle name="Note 8 3 2 3 5" xfId="8182"/>
    <cellStyle name="Note 8 3 2 3 5 2" xfId="8183"/>
    <cellStyle name="Note 8 3 2 3 6" xfId="8184"/>
    <cellStyle name="Note 8 3 2 3 6 2" xfId="8185"/>
    <cellStyle name="Note 8 3 2 3 7" xfId="8186"/>
    <cellStyle name="Note 8 3 2 3 7 2" xfId="8187"/>
    <cellStyle name="Note 8 3 2 3 8" xfId="8188"/>
    <cellStyle name="Note 8 3 2 3 8 2" xfId="8189"/>
    <cellStyle name="Note 8 3 2 3 9" xfId="8190"/>
    <cellStyle name="Note 8 3 2 3 9 2" xfId="8191"/>
    <cellStyle name="Note 8 3 2 4" xfId="8192"/>
    <cellStyle name="Note 8 3 2 4 10" xfId="8193"/>
    <cellStyle name="Note 8 3 2 4 10 2" xfId="8194"/>
    <cellStyle name="Note 8 3 2 4 11" xfId="8195"/>
    <cellStyle name="Note 8 3 2 4 2" xfId="8196"/>
    <cellStyle name="Note 8 3 2 4 2 2" xfId="8197"/>
    <cellStyle name="Note 8 3 2 4 2 2 2" xfId="8198"/>
    <cellStyle name="Note 8 3 2 4 2 3" xfId="8199"/>
    <cellStyle name="Note 8 3 2 4 3" xfId="8200"/>
    <cellStyle name="Note 8 3 2 4 3 2" xfId="8201"/>
    <cellStyle name="Note 8 3 2 4 4" xfId="8202"/>
    <cellStyle name="Note 8 3 2 4 4 2" xfId="8203"/>
    <cellStyle name="Note 8 3 2 4 5" xfId="8204"/>
    <cellStyle name="Note 8 3 2 4 5 2" xfId="8205"/>
    <cellStyle name="Note 8 3 2 4 6" xfId="8206"/>
    <cellStyle name="Note 8 3 2 4 6 2" xfId="8207"/>
    <cellStyle name="Note 8 3 2 4 7" xfId="8208"/>
    <cellStyle name="Note 8 3 2 4 7 2" xfId="8209"/>
    <cellStyle name="Note 8 3 2 4 8" xfId="8210"/>
    <cellStyle name="Note 8 3 2 4 8 2" xfId="8211"/>
    <cellStyle name="Note 8 3 2 4 9" xfId="8212"/>
    <cellStyle name="Note 8 3 2 4 9 2" xfId="8213"/>
    <cellStyle name="Note 8 3 2 5" xfId="8214"/>
    <cellStyle name="Note 8 3 2 5 10" xfId="8215"/>
    <cellStyle name="Note 8 3 2 5 10 2" xfId="8216"/>
    <cellStyle name="Note 8 3 2 5 11" xfId="8217"/>
    <cellStyle name="Note 8 3 2 5 2" xfId="8218"/>
    <cellStyle name="Note 8 3 2 5 2 2" xfId="8219"/>
    <cellStyle name="Note 8 3 2 5 2 2 2" xfId="8220"/>
    <cellStyle name="Note 8 3 2 5 2 3" xfId="8221"/>
    <cellStyle name="Note 8 3 2 5 3" xfId="8222"/>
    <cellStyle name="Note 8 3 2 5 3 2" xfId="8223"/>
    <cellStyle name="Note 8 3 2 5 4" xfId="8224"/>
    <cellStyle name="Note 8 3 2 5 4 2" xfId="8225"/>
    <cellStyle name="Note 8 3 2 5 5" xfId="8226"/>
    <cellStyle name="Note 8 3 2 5 5 2" xfId="8227"/>
    <cellStyle name="Note 8 3 2 5 6" xfId="8228"/>
    <cellStyle name="Note 8 3 2 5 6 2" xfId="8229"/>
    <cellStyle name="Note 8 3 2 5 7" xfId="8230"/>
    <cellStyle name="Note 8 3 2 5 7 2" xfId="8231"/>
    <cellStyle name="Note 8 3 2 5 8" xfId="8232"/>
    <cellStyle name="Note 8 3 2 5 8 2" xfId="8233"/>
    <cellStyle name="Note 8 3 2 5 9" xfId="8234"/>
    <cellStyle name="Note 8 3 2 5 9 2" xfId="8235"/>
    <cellStyle name="Note 8 3 2 6" xfId="8236"/>
    <cellStyle name="Note 8 3 2 6 10" xfId="8237"/>
    <cellStyle name="Note 8 3 2 6 10 2" xfId="8238"/>
    <cellStyle name="Note 8 3 2 6 11" xfId="8239"/>
    <cellStyle name="Note 8 3 2 6 2" xfId="8240"/>
    <cellStyle name="Note 8 3 2 6 2 2" xfId="8241"/>
    <cellStyle name="Note 8 3 2 6 2 2 2" xfId="8242"/>
    <cellStyle name="Note 8 3 2 6 2 3" xfId="8243"/>
    <cellStyle name="Note 8 3 2 6 3" xfId="8244"/>
    <cellStyle name="Note 8 3 2 6 3 2" xfId="8245"/>
    <cellStyle name="Note 8 3 2 6 4" xfId="8246"/>
    <cellStyle name="Note 8 3 2 6 4 2" xfId="8247"/>
    <cellStyle name="Note 8 3 2 6 5" xfId="8248"/>
    <cellStyle name="Note 8 3 2 6 5 2" xfId="8249"/>
    <cellStyle name="Note 8 3 2 6 6" xfId="8250"/>
    <cellStyle name="Note 8 3 2 6 6 2" xfId="8251"/>
    <cellStyle name="Note 8 3 2 6 7" xfId="8252"/>
    <cellStyle name="Note 8 3 2 6 7 2" xfId="8253"/>
    <cellStyle name="Note 8 3 2 6 8" xfId="8254"/>
    <cellStyle name="Note 8 3 2 6 8 2" xfId="8255"/>
    <cellStyle name="Note 8 3 2 6 9" xfId="8256"/>
    <cellStyle name="Note 8 3 2 6 9 2" xfId="8257"/>
    <cellStyle name="Note 8 3 2 7" xfId="8258"/>
    <cellStyle name="Note 8 3 2 7 2" xfId="8259"/>
    <cellStyle name="Note 8 3 2 7 2 2" xfId="8260"/>
    <cellStyle name="Note 8 3 2 7 3" xfId="8261"/>
    <cellStyle name="Note 8 3 2 8" xfId="8262"/>
    <cellStyle name="Note 8 3 2 8 2" xfId="8263"/>
    <cellStyle name="Note 8 3 2 9" xfId="8264"/>
    <cellStyle name="Note 8 3 2 9 2" xfId="8265"/>
    <cellStyle name="Note 8 3 3" xfId="8266"/>
    <cellStyle name="Note 8 3 3 2" xfId="8267"/>
    <cellStyle name="Note 8 3 3 2 2" xfId="8268"/>
    <cellStyle name="Note 8 3 3 2 2 2" xfId="8269"/>
    <cellStyle name="Note 8 3 3 2 3" xfId="8270"/>
    <cellStyle name="Note 8 3 3 3" xfId="8271"/>
    <cellStyle name="Note 8 3 3 3 2" xfId="8272"/>
    <cellStyle name="Note 8 3 3 3 2 2" xfId="8273"/>
    <cellStyle name="Note 8 3 3 3 3" xfId="8274"/>
    <cellStyle name="Note 8 3 3 4" xfId="8275"/>
    <cellStyle name="Note 8 3 3 4 2" xfId="8276"/>
    <cellStyle name="Note 8 3 3 5" xfId="8277"/>
    <cellStyle name="Note 8 3 3 5 2" xfId="8278"/>
    <cellStyle name="Note 8 3 3 6" xfId="8279"/>
    <cellStyle name="Note 8 3 3 6 2" xfId="8280"/>
    <cellStyle name="Note 8 3 3 7" xfId="8281"/>
    <cellStyle name="Note 8 3 3 7 2" xfId="8282"/>
    <cellStyle name="Note 8 3 3 8" xfId="8283"/>
    <cellStyle name="Note 8 3 4" xfId="8284"/>
    <cellStyle name="Note 8 3 4 10" xfId="8285"/>
    <cellStyle name="Note 8 3 4 10 2" xfId="8286"/>
    <cellStyle name="Note 8 3 4 11" xfId="8287"/>
    <cellStyle name="Note 8 3 4 2" xfId="8288"/>
    <cellStyle name="Note 8 3 4 2 2" xfId="8289"/>
    <cellStyle name="Note 8 3 4 2 2 2" xfId="8290"/>
    <cellStyle name="Note 8 3 4 2 3" xfId="8291"/>
    <cellStyle name="Note 8 3 4 3" xfId="8292"/>
    <cellStyle name="Note 8 3 4 3 2" xfId="8293"/>
    <cellStyle name="Note 8 3 4 4" xfId="8294"/>
    <cellStyle name="Note 8 3 4 4 2" xfId="8295"/>
    <cellStyle name="Note 8 3 4 5" xfId="8296"/>
    <cellStyle name="Note 8 3 4 5 2" xfId="8297"/>
    <cellStyle name="Note 8 3 4 6" xfId="8298"/>
    <cellStyle name="Note 8 3 4 6 2" xfId="8299"/>
    <cellStyle name="Note 8 3 4 7" xfId="8300"/>
    <cellStyle name="Note 8 3 4 7 2" xfId="8301"/>
    <cellStyle name="Note 8 3 4 8" xfId="8302"/>
    <cellStyle name="Note 8 3 4 8 2" xfId="8303"/>
    <cellStyle name="Note 8 3 4 9" xfId="8304"/>
    <cellStyle name="Note 8 3 4 9 2" xfId="8305"/>
    <cellStyle name="Note 8 3 5" xfId="8306"/>
    <cellStyle name="Note 8 3 5 10" xfId="8307"/>
    <cellStyle name="Note 8 3 5 10 2" xfId="8308"/>
    <cellStyle name="Note 8 3 5 11" xfId="8309"/>
    <cellStyle name="Note 8 3 5 2" xfId="8310"/>
    <cellStyle name="Note 8 3 5 2 2" xfId="8311"/>
    <cellStyle name="Note 8 3 5 2 2 2" xfId="8312"/>
    <cellStyle name="Note 8 3 5 2 3" xfId="8313"/>
    <cellStyle name="Note 8 3 5 3" xfId="8314"/>
    <cellStyle name="Note 8 3 5 3 2" xfId="8315"/>
    <cellStyle name="Note 8 3 5 4" xfId="8316"/>
    <cellStyle name="Note 8 3 5 4 2" xfId="8317"/>
    <cellStyle name="Note 8 3 5 5" xfId="8318"/>
    <cellStyle name="Note 8 3 5 5 2" xfId="8319"/>
    <cellStyle name="Note 8 3 5 6" xfId="8320"/>
    <cellStyle name="Note 8 3 5 6 2" xfId="8321"/>
    <cellStyle name="Note 8 3 5 7" xfId="8322"/>
    <cellStyle name="Note 8 3 5 7 2" xfId="8323"/>
    <cellStyle name="Note 8 3 5 8" xfId="8324"/>
    <cellStyle name="Note 8 3 5 8 2" xfId="8325"/>
    <cellStyle name="Note 8 3 5 9" xfId="8326"/>
    <cellStyle name="Note 8 3 5 9 2" xfId="8327"/>
    <cellStyle name="Note 8 3 6" xfId="8328"/>
    <cellStyle name="Note 8 3 6 10" xfId="8329"/>
    <cellStyle name="Note 8 3 6 10 2" xfId="8330"/>
    <cellStyle name="Note 8 3 6 11" xfId="8331"/>
    <cellStyle name="Note 8 3 6 2" xfId="8332"/>
    <cellStyle name="Note 8 3 6 2 2" xfId="8333"/>
    <cellStyle name="Note 8 3 6 2 2 2" xfId="8334"/>
    <cellStyle name="Note 8 3 6 2 3" xfId="8335"/>
    <cellStyle name="Note 8 3 6 3" xfId="8336"/>
    <cellStyle name="Note 8 3 6 3 2" xfId="8337"/>
    <cellStyle name="Note 8 3 6 4" xfId="8338"/>
    <cellStyle name="Note 8 3 6 4 2" xfId="8339"/>
    <cellStyle name="Note 8 3 6 5" xfId="8340"/>
    <cellStyle name="Note 8 3 6 5 2" xfId="8341"/>
    <cellStyle name="Note 8 3 6 6" xfId="8342"/>
    <cellStyle name="Note 8 3 6 6 2" xfId="8343"/>
    <cellStyle name="Note 8 3 6 7" xfId="8344"/>
    <cellStyle name="Note 8 3 6 7 2" xfId="8345"/>
    <cellStyle name="Note 8 3 6 8" xfId="8346"/>
    <cellStyle name="Note 8 3 6 8 2" xfId="8347"/>
    <cellStyle name="Note 8 3 6 9" xfId="8348"/>
    <cellStyle name="Note 8 3 6 9 2" xfId="8349"/>
    <cellStyle name="Note 8 3 7" xfId="8350"/>
    <cellStyle name="Note 8 3 7 10" xfId="8351"/>
    <cellStyle name="Note 8 3 7 10 2" xfId="8352"/>
    <cellStyle name="Note 8 3 7 11" xfId="8353"/>
    <cellStyle name="Note 8 3 7 2" xfId="8354"/>
    <cellStyle name="Note 8 3 7 2 2" xfId="8355"/>
    <cellStyle name="Note 8 3 7 2 2 2" xfId="8356"/>
    <cellStyle name="Note 8 3 7 2 3" xfId="8357"/>
    <cellStyle name="Note 8 3 7 3" xfId="8358"/>
    <cellStyle name="Note 8 3 7 3 2" xfId="8359"/>
    <cellStyle name="Note 8 3 7 4" xfId="8360"/>
    <cellStyle name="Note 8 3 7 4 2" xfId="8361"/>
    <cellStyle name="Note 8 3 7 5" xfId="8362"/>
    <cellStyle name="Note 8 3 7 5 2" xfId="8363"/>
    <cellStyle name="Note 8 3 7 6" xfId="8364"/>
    <cellStyle name="Note 8 3 7 6 2" xfId="8365"/>
    <cellStyle name="Note 8 3 7 7" xfId="8366"/>
    <cellStyle name="Note 8 3 7 7 2" xfId="8367"/>
    <cellStyle name="Note 8 3 7 8" xfId="8368"/>
    <cellStyle name="Note 8 3 7 8 2" xfId="8369"/>
    <cellStyle name="Note 8 3 7 9" xfId="8370"/>
    <cellStyle name="Note 8 3 7 9 2" xfId="8371"/>
    <cellStyle name="Note 8 3 8" xfId="8372"/>
    <cellStyle name="Note 8 3 8 2" xfId="8373"/>
    <cellStyle name="Note 8 3 8 2 2" xfId="8374"/>
    <cellStyle name="Note 8 3 8 3" xfId="8375"/>
    <cellStyle name="Note 8 3 9" xfId="8376"/>
    <cellStyle name="Note 8 3 9 2" xfId="8377"/>
    <cellStyle name="Note 8 3_7 - Cap Add WS" xfId="659"/>
    <cellStyle name="Note 8 4" xfId="660"/>
    <cellStyle name="Note 8 4 10" xfId="8378"/>
    <cellStyle name="Note 8 4 10 2" xfId="8379"/>
    <cellStyle name="Note 8 4 11" xfId="8380"/>
    <cellStyle name="Note 8 4 11 2" xfId="8381"/>
    <cellStyle name="Note 8 4 12" xfId="8382"/>
    <cellStyle name="Note 8 4 12 2" xfId="8383"/>
    <cellStyle name="Note 8 4 13" xfId="8384"/>
    <cellStyle name="Note 8 4 2" xfId="8385"/>
    <cellStyle name="Note 8 4 2 2" xfId="8386"/>
    <cellStyle name="Note 8 4 2 2 2" xfId="8387"/>
    <cellStyle name="Note 8 4 2 2 2 2" xfId="8388"/>
    <cellStyle name="Note 8 4 2 2 3" xfId="8389"/>
    <cellStyle name="Note 8 4 2 3" xfId="8390"/>
    <cellStyle name="Note 8 4 2 3 2" xfId="8391"/>
    <cellStyle name="Note 8 4 2 3 2 2" xfId="8392"/>
    <cellStyle name="Note 8 4 2 3 3" xfId="8393"/>
    <cellStyle name="Note 8 4 2 4" xfId="8394"/>
    <cellStyle name="Note 8 4 2 4 2" xfId="8395"/>
    <cellStyle name="Note 8 4 2 5" xfId="8396"/>
    <cellStyle name="Note 8 4 2 5 2" xfId="8397"/>
    <cellStyle name="Note 8 4 2 6" xfId="8398"/>
    <cellStyle name="Note 8 4 2 6 2" xfId="8399"/>
    <cellStyle name="Note 8 4 2 7" xfId="8400"/>
    <cellStyle name="Note 8 4 2 7 2" xfId="8401"/>
    <cellStyle name="Note 8 4 2 8" xfId="8402"/>
    <cellStyle name="Note 8 4 3" xfId="8403"/>
    <cellStyle name="Note 8 4 3 10" xfId="8404"/>
    <cellStyle name="Note 8 4 3 10 2" xfId="8405"/>
    <cellStyle name="Note 8 4 3 11" xfId="8406"/>
    <cellStyle name="Note 8 4 3 2" xfId="8407"/>
    <cellStyle name="Note 8 4 3 2 2" xfId="8408"/>
    <cellStyle name="Note 8 4 3 2 2 2" xfId="8409"/>
    <cellStyle name="Note 8 4 3 2 3" xfId="8410"/>
    <cellStyle name="Note 8 4 3 3" xfId="8411"/>
    <cellStyle name="Note 8 4 3 3 2" xfId="8412"/>
    <cellStyle name="Note 8 4 3 4" xfId="8413"/>
    <cellStyle name="Note 8 4 3 4 2" xfId="8414"/>
    <cellStyle name="Note 8 4 3 5" xfId="8415"/>
    <cellStyle name="Note 8 4 3 5 2" xfId="8416"/>
    <cellStyle name="Note 8 4 3 6" xfId="8417"/>
    <cellStyle name="Note 8 4 3 6 2" xfId="8418"/>
    <cellStyle name="Note 8 4 3 7" xfId="8419"/>
    <cellStyle name="Note 8 4 3 7 2" xfId="8420"/>
    <cellStyle name="Note 8 4 3 8" xfId="8421"/>
    <cellStyle name="Note 8 4 3 8 2" xfId="8422"/>
    <cellStyle name="Note 8 4 3 9" xfId="8423"/>
    <cellStyle name="Note 8 4 3 9 2" xfId="8424"/>
    <cellStyle name="Note 8 4 4" xfId="8425"/>
    <cellStyle name="Note 8 4 4 10" xfId="8426"/>
    <cellStyle name="Note 8 4 4 10 2" xfId="8427"/>
    <cellStyle name="Note 8 4 4 11" xfId="8428"/>
    <cellStyle name="Note 8 4 4 2" xfId="8429"/>
    <cellStyle name="Note 8 4 4 2 2" xfId="8430"/>
    <cellStyle name="Note 8 4 4 2 2 2" xfId="8431"/>
    <cellStyle name="Note 8 4 4 2 3" xfId="8432"/>
    <cellStyle name="Note 8 4 4 3" xfId="8433"/>
    <cellStyle name="Note 8 4 4 3 2" xfId="8434"/>
    <cellStyle name="Note 8 4 4 4" xfId="8435"/>
    <cellStyle name="Note 8 4 4 4 2" xfId="8436"/>
    <cellStyle name="Note 8 4 4 5" xfId="8437"/>
    <cellStyle name="Note 8 4 4 5 2" xfId="8438"/>
    <cellStyle name="Note 8 4 4 6" xfId="8439"/>
    <cellStyle name="Note 8 4 4 6 2" xfId="8440"/>
    <cellStyle name="Note 8 4 4 7" xfId="8441"/>
    <cellStyle name="Note 8 4 4 7 2" xfId="8442"/>
    <cellStyle name="Note 8 4 4 8" xfId="8443"/>
    <cellStyle name="Note 8 4 4 8 2" xfId="8444"/>
    <cellStyle name="Note 8 4 4 9" xfId="8445"/>
    <cellStyle name="Note 8 4 4 9 2" xfId="8446"/>
    <cellStyle name="Note 8 4 5" xfId="8447"/>
    <cellStyle name="Note 8 4 5 10" xfId="8448"/>
    <cellStyle name="Note 8 4 5 10 2" xfId="8449"/>
    <cellStyle name="Note 8 4 5 11" xfId="8450"/>
    <cellStyle name="Note 8 4 5 2" xfId="8451"/>
    <cellStyle name="Note 8 4 5 2 2" xfId="8452"/>
    <cellStyle name="Note 8 4 5 2 2 2" xfId="8453"/>
    <cellStyle name="Note 8 4 5 2 3" xfId="8454"/>
    <cellStyle name="Note 8 4 5 3" xfId="8455"/>
    <cellStyle name="Note 8 4 5 3 2" xfId="8456"/>
    <cellStyle name="Note 8 4 5 4" xfId="8457"/>
    <cellStyle name="Note 8 4 5 4 2" xfId="8458"/>
    <cellStyle name="Note 8 4 5 5" xfId="8459"/>
    <cellStyle name="Note 8 4 5 5 2" xfId="8460"/>
    <cellStyle name="Note 8 4 5 6" xfId="8461"/>
    <cellStyle name="Note 8 4 5 6 2" xfId="8462"/>
    <cellStyle name="Note 8 4 5 7" xfId="8463"/>
    <cellStyle name="Note 8 4 5 7 2" xfId="8464"/>
    <cellStyle name="Note 8 4 5 8" xfId="8465"/>
    <cellStyle name="Note 8 4 5 8 2" xfId="8466"/>
    <cellStyle name="Note 8 4 5 9" xfId="8467"/>
    <cellStyle name="Note 8 4 5 9 2" xfId="8468"/>
    <cellStyle name="Note 8 4 6" xfId="8469"/>
    <cellStyle name="Note 8 4 6 10" xfId="8470"/>
    <cellStyle name="Note 8 4 6 10 2" xfId="8471"/>
    <cellStyle name="Note 8 4 6 11" xfId="8472"/>
    <cellStyle name="Note 8 4 6 2" xfId="8473"/>
    <cellStyle name="Note 8 4 6 2 2" xfId="8474"/>
    <cellStyle name="Note 8 4 6 2 2 2" xfId="8475"/>
    <cellStyle name="Note 8 4 6 2 3" xfId="8476"/>
    <cellStyle name="Note 8 4 6 3" xfId="8477"/>
    <cellStyle name="Note 8 4 6 3 2" xfId="8478"/>
    <cellStyle name="Note 8 4 6 4" xfId="8479"/>
    <cellStyle name="Note 8 4 6 4 2" xfId="8480"/>
    <cellStyle name="Note 8 4 6 5" xfId="8481"/>
    <cellStyle name="Note 8 4 6 5 2" xfId="8482"/>
    <cellStyle name="Note 8 4 6 6" xfId="8483"/>
    <cellStyle name="Note 8 4 6 6 2" xfId="8484"/>
    <cellStyle name="Note 8 4 6 7" xfId="8485"/>
    <cellStyle name="Note 8 4 6 7 2" xfId="8486"/>
    <cellStyle name="Note 8 4 6 8" xfId="8487"/>
    <cellStyle name="Note 8 4 6 8 2" xfId="8488"/>
    <cellStyle name="Note 8 4 6 9" xfId="8489"/>
    <cellStyle name="Note 8 4 6 9 2" xfId="8490"/>
    <cellStyle name="Note 8 4 7" xfId="8491"/>
    <cellStyle name="Note 8 4 7 2" xfId="8492"/>
    <cellStyle name="Note 8 4 7 2 2" xfId="8493"/>
    <cellStyle name="Note 8 4 7 3" xfId="8494"/>
    <cellStyle name="Note 8 4 8" xfId="8495"/>
    <cellStyle name="Note 8 4 8 2" xfId="8496"/>
    <cellStyle name="Note 8 4 9" xfId="8497"/>
    <cellStyle name="Note 8 4 9 2" xfId="8498"/>
    <cellStyle name="Note 8 5" xfId="8499"/>
    <cellStyle name="Note 8 5 2" xfId="8500"/>
    <cellStyle name="Note 8 5 2 2" xfId="8501"/>
    <cellStyle name="Note 8 5 2 2 2" xfId="8502"/>
    <cellStyle name="Note 8 5 2 3" xfId="8503"/>
    <cellStyle name="Note 8 5 3" xfId="8504"/>
    <cellStyle name="Note 8 5 3 2" xfId="8505"/>
    <cellStyle name="Note 8 5 3 2 2" xfId="8506"/>
    <cellStyle name="Note 8 5 3 3" xfId="8507"/>
    <cellStyle name="Note 8 5 4" xfId="8508"/>
    <cellStyle name="Note 8 5 4 2" xfId="8509"/>
    <cellStyle name="Note 8 5 5" xfId="8510"/>
    <cellStyle name="Note 8 5 5 2" xfId="8511"/>
    <cellStyle name="Note 8 5 6" xfId="8512"/>
    <cellStyle name="Note 8 5 6 2" xfId="8513"/>
    <cellStyle name="Note 8 5 7" xfId="8514"/>
    <cellStyle name="Note 8 5 7 2" xfId="8515"/>
    <cellStyle name="Note 8 5 8" xfId="8516"/>
    <cellStyle name="Note 8 6" xfId="8517"/>
    <cellStyle name="Note 8 6 10" xfId="8518"/>
    <cellStyle name="Note 8 6 10 2" xfId="8519"/>
    <cellStyle name="Note 8 6 11" xfId="8520"/>
    <cellStyle name="Note 8 6 2" xfId="8521"/>
    <cellStyle name="Note 8 6 2 2" xfId="8522"/>
    <cellStyle name="Note 8 6 2 2 2" xfId="8523"/>
    <cellStyle name="Note 8 6 2 3" xfId="8524"/>
    <cellStyle name="Note 8 6 3" xfId="8525"/>
    <cellStyle name="Note 8 6 3 2" xfId="8526"/>
    <cellStyle name="Note 8 6 4" xfId="8527"/>
    <cellStyle name="Note 8 6 4 2" xfId="8528"/>
    <cellStyle name="Note 8 6 5" xfId="8529"/>
    <cellStyle name="Note 8 6 5 2" xfId="8530"/>
    <cellStyle name="Note 8 6 6" xfId="8531"/>
    <cellStyle name="Note 8 6 6 2" xfId="8532"/>
    <cellStyle name="Note 8 6 7" xfId="8533"/>
    <cellStyle name="Note 8 6 7 2" xfId="8534"/>
    <cellStyle name="Note 8 6 8" xfId="8535"/>
    <cellStyle name="Note 8 6 8 2" xfId="8536"/>
    <cellStyle name="Note 8 6 9" xfId="8537"/>
    <cellStyle name="Note 8 6 9 2" xfId="8538"/>
    <cellStyle name="Note 8 7" xfId="8539"/>
    <cellStyle name="Note 8 7 10" xfId="8540"/>
    <cellStyle name="Note 8 7 10 2" xfId="8541"/>
    <cellStyle name="Note 8 7 11" xfId="8542"/>
    <cellStyle name="Note 8 7 2" xfId="8543"/>
    <cellStyle name="Note 8 7 2 2" xfId="8544"/>
    <cellStyle name="Note 8 7 2 2 2" xfId="8545"/>
    <cellStyle name="Note 8 7 2 3" xfId="8546"/>
    <cellStyle name="Note 8 7 3" xfId="8547"/>
    <cellStyle name="Note 8 7 3 2" xfId="8548"/>
    <cellStyle name="Note 8 7 4" xfId="8549"/>
    <cellStyle name="Note 8 7 4 2" xfId="8550"/>
    <cellStyle name="Note 8 7 5" xfId="8551"/>
    <cellStyle name="Note 8 7 5 2" xfId="8552"/>
    <cellStyle name="Note 8 7 6" xfId="8553"/>
    <cellStyle name="Note 8 7 6 2" xfId="8554"/>
    <cellStyle name="Note 8 7 7" xfId="8555"/>
    <cellStyle name="Note 8 7 7 2" xfId="8556"/>
    <cellStyle name="Note 8 7 8" xfId="8557"/>
    <cellStyle name="Note 8 7 8 2" xfId="8558"/>
    <cellStyle name="Note 8 7 9" xfId="8559"/>
    <cellStyle name="Note 8 7 9 2" xfId="8560"/>
    <cellStyle name="Note 8 8" xfId="8561"/>
    <cellStyle name="Note 8 8 10" xfId="8562"/>
    <cellStyle name="Note 8 8 10 2" xfId="8563"/>
    <cellStyle name="Note 8 8 11" xfId="8564"/>
    <cellStyle name="Note 8 8 2" xfId="8565"/>
    <cellStyle name="Note 8 8 2 2" xfId="8566"/>
    <cellStyle name="Note 8 8 2 2 2" xfId="8567"/>
    <cellStyle name="Note 8 8 2 3" xfId="8568"/>
    <cellStyle name="Note 8 8 3" xfId="8569"/>
    <cellStyle name="Note 8 8 3 2" xfId="8570"/>
    <cellStyle name="Note 8 8 4" xfId="8571"/>
    <cellStyle name="Note 8 8 4 2" xfId="8572"/>
    <cellStyle name="Note 8 8 5" xfId="8573"/>
    <cellStyle name="Note 8 8 5 2" xfId="8574"/>
    <cellStyle name="Note 8 8 6" xfId="8575"/>
    <cellStyle name="Note 8 8 6 2" xfId="8576"/>
    <cellStyle name="Note 8 8 7" xfId="8577"/>
    <cellStyle name="Note 8 8 7 2" xfId="8578"/>
    <cellStyle name="Note 8 8 8" xfId="8579"/>
    <cellStyle name="Note 8 8 8 2" xfId="8580"/>
    <cellStyle name="Note 8 8 9" xfId="8581"/>
    <cellStyle name="Note 8 8 9 2" xfId="8582"/>
    <cellStyle name="Note 8 9" xfId="8583"/>
    <cellStyle name="Note 8 9 10" xfId="8584"/>
    <cellStyle name="Note 8 9 10 2" xfId="8585"/>
    <cellStyle name="Note 8 9 11" xfId="8586"/>
    <cellStyle name="Note 8 9 2" xfId="8587"/>
    <cellStyle name="Note 8 9 2 2" xfId="8588"/>
    <cellStyle name="Note 8 9 2 2 2" xfId="8589"/>
    <cellStyle name="Note 8 9 2 3" xfId="8590"/>
    <cellStyle name="Note 8 9 3" xfId="8591"/>
    <cellStyle name="Note 8 9 3 2" xfId="8592"/>
    <cellStyle name="Note 8 9 4" xfId="8593"/>
    <cellStyle name="Note 8 9 4 2" xfId="8594"/>
    <cellStyle name="Note 8 9 5" xfId="8595"/>
    <cellStyle name="Note 8 9 5 2" xfId="8596"/>
    <cellStyle name="Note 8 9 6" xfId="8597"/>
    <cellStyle name="Note 8 9 6 2" xfId="8598"/>
    <cellStyle name="Note 8 9 7" xfId="8599"/>
    <cellStyle name="Note 8 9 7 2" xfId="8600"/>
    <cellStyle name="Note 8 9 8" xfId="8601"/>
    <cellStyle name="Note 8 9 8 2" xfId="8602"/>
    <cellStyle name="Note 8 9 9" xfId="8603"/>
    <cellStyle name="Note 8 9 9 2" xfId="8604"/>
    <cellStyle name="Note 8_7 - Cap Add WS" xfId="661"/>
    <cellStyle name="Note 9" xfId="662"/>
    <cellStyle name="Note 9 10" xfId="8605"/>
    <cellStyle name="Note 9 10 2" xfId="8606"/>
    <cellStyle name="Note 9 10 2 2" xfId="8607"/>
    <cellStyle name="Note 9 10 3" xfId="8608"/>
    <cellStyle name="Note 9 11" xfId="8609"/>
    <cellStyle name="Note 9 11 2" xfId="8610"/>
    <cellStyle name="Note 9 12" xfId="8611"/>
    <cellStyle name="Note 9 12 2" xfId="8612"/>
    <cellStyle name="Note 9 13" xfId="8613"/>
    <cellStyle name="Note 9 13 2" xfId="8614"/>
    <cellStyle name="Note 9 14" xfId="8615"/>
    <cellStyle name="Note 9 14 2" xfId="8616"/>
    <cellStyle name="Note 9 15" xfId="8617"/>
    <cellStyle name="Note 9 15 2" xfId="8618"/>
    <cellStyle name="Note 9 16" xfId="8619"/>
    <cellStyle name="Note 9 2" xfId="663"/>
    <cellStyle name="Note 9 2 10" xfId="8620"/>
    <cellStyle name="Note 9 2 10 2" xfId="8621"/>
    <cellStyle name="Note 9 2 11" xfId="8622"/>
    <cellStyle name="Note 9 2 11 2" xfId="8623"/>
    <cellStyle name="Note 9 2 12" xfId="8624"/>
    <cellStyle name="Note 9 2 12 2" xfId="8625"/>
    <cellStyle name="Note 9 2 13" xfId="8626"/>
    <cellStyle name="Note 9 2 13 2" xfId="8627"/>
    <cellStyle name="Note 9 2 14" xfId="8628"/>
    <cellStyle name="Note 9 2 2" xfId="664"/>
    <cellStyle name="Note 9 2 2 10" xfId="8629"/>
    <cellStyle name="Note 9 2 2 10 2" xfId="8630"/>
    <cellStyle name="Note 9 2 2 11" xfId="8631"/>
    <cellStyle name="Note 9 2 2 11 2" xfId="8632"/>
    <cellStyle name="Note 9 2 2 12" xfId="8633"/>
    <cellStyle name="Note 9 2 2 12 2" xfId="8634"/>
    <cellStyle name="Note 9 2 2 13" xfId="8635"/>
    <cellStyle name="Note 9 2 2 2" xfId="8636"/>
    <cellStyle name="Note 9 2 2 2 2" xfId="8637"/>
    <cellStyle name="Note 9 2 2 2 2 2" xfId="8638"/>
    <cellStyle name="Note 9 2 2 2 2 2 2" xfId="8639"/>
    <cellStyle name="Note 9 2 2 2 2 3" xfId="8640"/>
    <cellStyle name="Note 9 2 2 2 3" xfId="8641"/>
    <cellStyle name="Note 9 2 2 2 3 2" xfId="8642"/>
    <cellStyle name="Note 9 2 2 2 3 2 2" xfId="8643"/>
    <cellStyle name="Note 9 2 2 2 3 3" xfId="8644"/>
    <cellStyle name="Note 9 2 2 2 4" xfId="8645"/>
    <cellStyle name="Note 9 2 2 2 4 2" xfId="8646"/>
    <cellStyle name="Note 9 2 2 2 5" xfId="8647"/>
    <cellStyle name="Note 9 2 2 2 5 2" xfId="8648"/>
    <cellStyle name="Note 9 2 2 2 6" xfId="8649"/>
    <cellStyle name="Note 9 2 2 2 6 2" xfId="8650"/>
    <cellStyle name="Note 9 2 2 2 7" xfId="8651"/>
    <cellStyle name="Note 9 2 2 2 7 2" xfId="8652"/>
    <cellStyle name="Note 9 2 2 2 8" xfId="8653"/>
    <cellStyle name="Note 9 2 2 3" xfId="8654"/>
    <cellStyle name="Note 9 2 2 3 10" xfId="8655"/>
    <cellStyle name="Note 9 2 2 3 10 2" xfId="8656"/>
    <cellStyle name="Note 9 2 2 3 11" xfId="8657"/>
    <cellStyle name="Note 9 2 2 3 2" xfId="8658"/>
    <cellStyle name="Note 9 2 2 3 2 2" xfId="8659"/>
    <cellStyle name="Note 9 2 2 3 2 2 2" xfId="8660"/>
    <cellStyle name="Note 9 2 2 3 2 3" xfId="8661"/>
    <cellStyle name="Note 9 2 2 3 3" xfId="8662"/>
    <cellStyle name="Note 9 2 2 3 3 2" xfId="8663"/>
    <cellStyle name="Note 9 2 2 3 4" xfId="8664"/>
    <cellStyle name="Note 9 2 2 3 4 2" xfId="8665"/>
    <cellStyle name="Note 9 2 2 3 5" xfId="8666"/>
    <cellStyle name="Note 9 2 2 3 5 2" xfId="8667"/>
    <cellStyle name="Note 9 2 2 3 6" xfId="8668"/>
    <cellStyle name="Note 9 2 2 3 6 2" xfId="8669"/>
    <cellStyle name="Note 9 2 2 3 7" xfId="8670"/>
    <cellStyle name="Note 9 2 2 3 7 2" xfId="8671"/>
    <cellStyle name="Note 9 2 2 3 8" xfId="8672"/>
    <cellStyle name="Note 9 2 2 3 8 2" xfId="8673"/>
    <cellStyle name="Note 9 2 2 3 9" xfId="8674"/>
    <cellStyle name="Note 9 2 2 3 9 2" xfId="8675"/>
    <cellStyle name="Note 9 2 2 4" xfId="8676"/>
    <cellStyle name="Note 9 2 2 4 10" xfId="8677"/>
    <cellStyle name="Note 9 2 2 4 10 2" xfId="8678"/>
    <cellStyle name="Note 9 2 2 4 11" xfId="8679"/>
    <cellStyle name="Note 9 2 2 4 2" xfId="8680"/>
    <cellStyle name="Note 9 2 2 4 2 2" xfId="8681"/>
    <cellStyle name="Note 9 2 2 4 2 2 2" xfId="8682"/>
    <cellStyle name="Note 9 2 2 4 2 3" xfId="8683"/>
    <cellStyle name="Note 9 2 2 4 3" xfId="8684"/>
    <cellStyle name="Note 9 2 2 4 3 2" xfId="8685"/>
    <cellStyle name="Note 9 2 2 4 4" xfId="8686"/>
    <cellStyle name="Note 9 2 2 4 4 2" xfId="8687"/>
    <cellStyle name="Note 9 2 2 4 5" xfId="8688"/>
    <cellStyle name="Note 9 2 2 4 5 2" xfId="8689"/>
    <cellStyle name="Note 9 2 2 4 6" xfId="8690"/>
    <cellStyle name="Note 9 2 2 4 6 2" xfId="8691"/>
    <cellStyle name="Note 9 2 2 4 7" xfId="8692"/>
    <cellStyle name="Note 9 2 2 4 7 2" xfId="8693"/>
    <cellStyle name="Note 9 2 2 4 8" xfId="8694"/>
    <cellStyle name="Note 9 2 2 4 8 2" xfId="8695"/>
    <cellStyle name="Note 9 2 2 4 9" xfId="8696"/>
    <cellStyle name="Note 9 2 2 4 9 2" xfId="8697"/>
    <cellStyle name="Note 9 2 2 5" xfId="8698"/>
    <cellStyle name="Note 9 2 2 5 10" xfId="8699"/>
    <cellStyle name="Note 9 2 2 5 10 2" xfId="8700"/>
    <cellStyle name="Note 9 2 2 5 11" xfId="8701"/>
    <cellStyle name="Note 9 2 2 5 2" xfId="8702"/>
    <cellStyle name="Note 9 2 2 5 2 2" xfId="8703"/>
    <cellStyle name="Note 9 2 2 5 2 2 2" xfId="8704"/>
    <cellStyle name="Note 9 2 2 5 2 3" xfId="8705"/>
    <cellStyle name="Note 9 2 2 5 3" xfId="8706"/>
    <cellStyle name="Note 9 2 2 5 3 2" xfId="8707"/>
    <cellStyle name="Note 9 2 2 5 4" xfId="8708"/>
    <cellStyle name="Note 9 2 2 5 4 2" xfId="8709"/>
    <cellStyle name="Note 9 2 2 5 5" xfId="8710"/>
    <cellStyle name="Note 9 2 2 5 5 2" xfId="8711"/>
    <cellStyle name="Note 9 2 2 5 6" xfId="8712"/>
    <cellStyle name="Note 9 2 2 5 6 2" xfId="8713"/>
    <cellStyle name="Note 9 2 2 5 7" xfId="8714"/>
    <cellStyle name="Note 9 2 2 5 7 2" xfId="8715"/>
    <cellStyle name="Note 9 2 2 5 8" xfId="8716"/>
    <cellStyle name="Note 9 2 2 5 8 2" xfId="8717"/>
    <cellStyle name="Note 9 2 2 5 9" xfId="8718"/>
    <cellStyle name="Note 9 2 2 5 9 2" xfId="8719"/>
    <cellStyle name="Note 9 2 2 6" xfId="8720"/>
    <cellStyle name="Note 9 2 2 6 10" xfId="8721"/>
    <cellStyle name="Note 9 2 2 6 10 2" xfId="8722"/>
    <cellStyle name="Note 9 2 2 6 11" xfId="8723"/>
    <cellStyle name="Note 9 2 2 6 2" xfId="8724"/>
    <cellStyle name="Note 9 2 2 6 2 2" xfId="8725"/>
    <cellStyle name="Note 9 2 2 6 2 2 2" xfId="8726"/>
    <cellStyle name="Note 9 2 2 6 2 3" xfId="8727"/>
    <cellStyle name="Note 9 2 2 6 3" xfId="8728"/>
    <cellStyle name="Note 9 2 2 6 3 2" xfId="8729"/>
    <cellStyle name="Note 9 2 2 6 4" xfId="8730"/>
    <cellStyle name="Note 9 2 2 6 4 2" xfId="8731"/>
    <cellStyle name="Note 9 2 2 6 5" xfId="8732"/>
    <cellStyle name="Note 9 2 2 6 5 2" xfId="8733"/>
    <cellStyle name="Note 9 2 2 6 6" xfId="8734"/>
    <cellStyle name="Note 9 2 2 6 6 2" xfId="8735"/>
    <cellStyle name="Note 9 2 2 6 7" xfId="8736"/>
    <cellStyle name="Note 9 2 2 6 7 2" xfId="8737"/>
    <cellStyle name="Note 9 2 2 6 8" xfId="8738"/>
    <cellStyle name="Note 9 2 2 6 8 2" xfId="8739"/>
    <cellStyle name="Note 9 2 2 6 9" xfId="8740"/>
    <cellStyle name="Note 9 2 2 6 9 2" xfId="8741"/>
    <cellStyle name="Note 9 2 2 7" xfId="8742"/>
    <cellStyle name="Note 9 2 2 7 2" xfId="8743"/>
    <cellStyle name="Note 9 2 2 7 2 2" xfId="8744"/>
    <cellStyle name="Note 9 2 2 7 3" xfId="8745"/>
    <cellStyle name="Note 9 2 2 8" xfId="8746"/>
    <cellStyle name="Note 9 2 2 8 2" xfId="8747"/>
    <cellStyle name="Note 9 2 2 9" xfId="8748"/>
    <cellStyle name="Note 9 2 2 9 2" xfId="8749"/>
    <cellStyle name="Note 9 2 3" xfId="8750"/>
    <cellStyle name="Note 9 2 3 2" xfId="8751"/>
    <cellStyle name="Note 9 2 3 2 2" xfId="8752"/>
    <cellStyle name="Note 9 2 3 2 2 2" xfId="8753"/>
    <cellStyle name="Note 9 2 3 2 3" xfId="8754"/>
    <cellStyle name="Note 9 2 3 3" xfId="8755"/>
    <cellStyle name="Note 9 2 3 3 2" xfId="8756"/>
    <cellStyle name="Note 9 2 3 3 2 2" xfId="8757"/>
    <cellStyle name="Note 9 2 3 3 3" xfId="8758"/>
    <cellStyle name="Note 9 2 3 4" xfId="8759"/>
    <cellStyle name="Note 9 2 3 4 2" xfId="8760"/>
    <cellStyle name="Note 9 2 3 5" xfId="8761"/>
    <cellStyle name="Note 9 2 3 5 2" xfId="8762"/>
    <cellStyle name="Note 9 2 3 6" xfId="8763"/>
    <cellStyle name="Note 9 2 3 6 2" xfId="8764"/>
    <cellStyle name="Note 9 2 3 7" xfId="8765"/>
    <cellStyle name="Note 9 2 3 7 2" xfId="8766"/>
    <cellStyle name="Note 9 2 3 8" xfId="8767"/>
    <cellStyle name="Note 9 2 4" xfId="8768"/>
    <cellStyle name="Note 9 2 4 10" xfId="8769"/>
    <cellStyle name="Note 9 2 4 10 2" xfId="8770"/>
    <cellStyle name="Note 9 2 4 11" xfId="8771"/>
    <cellStyle name="Note 9 2 4 2" xfId="8772"/>
    <cellStyle name="Note 9 2 4 2 2" xfId="8773"/>
    <cellStyle name="Note 9 2 4 2 2 2" xfId="8774"/>
    <cellStyle name="Note 9 2 4 2 3" xfId="8775"/>
    <cellStyle name="Note 9 2 4 3" xfId="8776"/>
    <cellStyle name="Note 9 2 4 3 2" xfId="8777"/>
    <cellStyle name="Note 9 2 4 4" xfId="8778"/>
    <cellStyle name="Note 9 2 4 4 2" xfId="8779"/>
    <cellStyle name="Note 9 2 4 5" xfId="8780"/>
    <cellStyle name="Note 9 2 4 5 2" xfId="8781"/>
    <cellStyle name="Note 9 2 4 6" xfId="8782"/>
    <cellStyle name="Note 9 2 4 6 2" xfId="8783"/>
    <cellStyle name="Note 9 2 4 7" xfId="8784"/>
    <cellStyle name="Note 9 2 4 7 2" xfId="8785"/>
    <cellStyle name="Note 9 2 4 8" xfId="8786"/>
    <cellStyle name="Note 9 2 4 8 2" xfId="8787"/>
    <cellStyle name="Note 9 2 4 9" xfId="8788"/>
    <cellStyle name="Note 9 2 4 9 2" xfId="8789"/>
    <cellStyle name="Note 9 2 5" xfId="8790"/>
    <cellStyle name="Note 9 2 5 10" xfId="8791"/>
    <cellStyle name="Note 9 2 5 10 2" xfId="8792"/>
    <cellStyle name="Note 9 2 5 11" xfId="8793"/>
    <cellStyle name="Note 9 2 5 2" xfId="8794"/>
    <cellStyle name="Note 9 2 5 2 2" xfId="8795"/>
    <cellStyle name="Note 9 2 5 2 2 2" xfId="8796"/>
    <cellStyle name="Note 9 2 5 2 3" xfId="8797"/>
    <cellStyle name="Note 9 2 5 3" xfId="8798"/>
    <cellStyle name="Note 9 2 5 3 2" xfId="8799"/>
    <cellStyle name="Note 9 2 5 4" xfId="8800"/>
    <cellStyle name="Note 9 2 5 4 2" xfId="8801"/>
    <cellStyle name="Note 9 2 5 5" xfId="8802"/>
    <cellStyle name="Note 9 2 5 5 2" xfId="8803"/>
    <cellStyle name="Note 9 2 5 6" xfId="8804"/>
    <cellStyle name="Note 9 2 5 6 2" xfId="8805"/>
    <cellStyle name="Note 9 2 5 7" xfId="8806"/>
    <cellStyle name="Note 9 2 5 7 2" xfId="8807"/>
    <cellStyle name="Note 9 2 5 8" xfId="8808"/>
    <cellStyle name="Note 9 2 5 8 2" xfId="8809"/>
    <cellStyle name="Note 9 2 5 9" xfId="8810"/>
    <cellStyle name="Note 9 2 5 9 2" xfId="8811"/>
    <cellStyle name="Note 9 2 6" xfId="8812"/>
    <cellStyle name="Note 9 2 6 10" xfId="8813"/>
    <cellStyle name="Note 9 2 6 10 2" xfId="8814"/>
    <cellStyle name="Note 9 2 6 11" xfId="8815"/>
    <cellStyle name="Note 9 2 6 2" xfId="8816"/>
    <cellStyle name="Note 9 2 6 2 2" xfId="8817"/>
    <cellStyle name="Note 9 2 6 2 2 2" xfId="8818"/>
    <cellStyle name="Note 9 2 6 2 3" xfId="8819"/>
    <cellStyle name="Note 9 2 6 3" xfId="8820"/>
    <cellStyle name="Note 9 2 6 3 2" xfId="8821"/>
    <cellStyle name="Note 9 2 6 4" xfId="8822"/>
    <cellStyle name="Note 9 2 6 4 2" xfId="8823"/>
    <cellStyle name="Note 9 2 6 5" xfId="8824"/>
    <cellStyle name="Note 9 2 6 5 2" xfId="8825"/>
    <cellStyle name="Note 9 2 6 6" xfId="8826"/>
    <cellStyle name="Note 9 2 6 6 2" xfId="8827"/>
    <cellStyle name="Note 9 2 6 7" xfId="8828"/>
    <cellStyle name="Note 9 2 6 7 2" xfId="8829"/>
    <cellStyle name="Note 9 2 6 8" xfId="8830"/>
    <cellStyle name="Note 9 2 6 8 2" xfId="8831"/>
    <cellStyle name="Note 9 2 6 9" xfId="8832"/>
    <cellStyle name="Note 9 2 6 9 2" xfId="8833"/>
    <cellStyle name="Note 9 2 7" xfId="8834"/>
    <cellStyle name="Note 9 2 7 10" xfId="8835"/>
    <cellStyle name="Note 9 2 7 10 2" xfId="8836"/>
    <cellStyle name="Note 9 2 7 11" xfId="8837"/>
    <cellStyle name="Note 9 2 7 2" xfId="8838"/>
    <cellStyle name="Note 9 2 7 2 2" xfId="8839"/>
    <cellStyle name="Note 9 2 7 2 2 2" xfId="8840"/>
    <cellStyle name="Note 9 2 7 2 3" xfId="8841"/>
    <cellStyle name="Note 9 2 7 3" xfId="8842"/>
    <cellStyle name="Note 9 2 7 3 2" xfId="8843"/>
    <cellStyle name="Note 9 2 7 4" xfId="8844"/>
    <cellStyle name="Note 9 2 7 4 2" xfId="8845"/>
    <cellStyle name="Note 9 2 7 5" xfId="8846"/>
    <cellStyle name="Note 9 2 7 5 2" xfId="8847"/>
    <cellStyle name="Note 9 2 7 6" xfId="8848"/>
    <cellStyle name="Note 9 2 7 6 2" xfId="8849"/>
    <cellStyle name="Note 9 2 7 7" xfId="8850"/>
    <cellStyle name="Note 9 2 7 7 2" xfId="8851"/>
    <cellStyle name="Note 9 2 7 8" xfId="8852"/>
    <cellStyle name="Note 9 2 7 8 2" xfId="8853"/>
    <cellStyle name="Note 9 2 7 9" xfId="8854"/>
    <cellStyle name="Note 9 2 7 9 2" xfId="8855"/>
    <cellStyle name="Note 9 2 8" xfId="8856"/>
    <cellStyle name="Note 9 2 8 2" xfId="8857"/>
    <cellStyle name="Note 9 2 8 2 2" xfId="8858"/>
    <cellStyle name="Note 9 2 8 3" xfId="8859"/>
    <cellStyle name="Note 9 2 9" xfId="8860"/>
    <cellStyle name="Note 9 2 9 2" xfId="8861"/>
    <cellStyle name="Note 9 2_7 - Cap Add WS" xfId="665"/>
    <cellStyle name="Note 9 3" xfId="666"/>
    <cellStyle name="Note 9 3 10" xfId="8862"/>
    <cellStyle name="Note 9 3 10 2" xfId="8863"/>
    <cellStyle name="Note 9 3 11" xfId="8864"/>
    <cellStyle name="Note 9 3 11 2" xfId="8865"/>
    <cellStyle name="Note 9 3 12" xfId="8866"/>
    <cellStyle name="Note 9 3 12 2" xfId="8867"/>
    <cellStyle name="Note 9 3 13" xfId="8868"/>
    <cellStyle name="Note 9 3 13 2" xfId="8869"/>
    <cellStyle name="Note 9 3 14" xfId="8870"/>
    <cellStyle name="Note 9 3 2" xfId="667"/>
    <cellStyle name="Note 9 3 2 10" xfId="8871"/>
    <cellStyle name="Note 9 3 2 10 2" xfId="8872"/>
    <cellStyle name="Note 9 3 2 11" xfId="8873"/>
    <cellStyle name="Note 9 3 2 11 2" xfId="8874"/>
    <cellStyle name="Note 9 3 2 12" xfId="8875"/>
    <cellStyle name="Note 9 3 2 12 2" xfId="8876"/>
    <cellStyle name="Note 9 3 2 13" xfId="8877"/>
    <cellStyle name="Note 9 3 2 2" xfId="8878"/>
    <cellStyle name="Note 9 3 2 2 2" xfId="8879"/>
    <cellStyle name="Note 9 3 2 2 2 2" xfId="8880"/>
    <cellStyle name="Note 9 3 2 2 2 2 2" xfId="8881"/>
    <cellStyle name="Note 9 3 2 2 2 3" xfId="8882"/>
    <cellStyle name="Note 9 3 2 2 3" xfId="8883"/>
    <cellStyle name="Note 9 3 2 2 3 2" xfId="8884"/>
    <cellStyle name="Note 9 3 2 2 3 2 2" xfId="8885"/>
    <cellStyle name="Note 9 3 2 2 3 3" xfId="8886"/>
    <cellStyle name="Note 9 3 2 2 4" xfId="8887"/>
    <cellStyle name="Note 9 3 2 2 4 2" xfId="8888"/>
    <cellStyle name="Note 9 3 2 2 5" xfId="8889"/>
    <cellStyle name="Note 9 3 2 2 5 2" xfId="8890"/>
    <cellStyle name="Note 9 3 2 2 6" xfId="8891"/>
    <cellStyle name="Note 9 3 2 2 6 2" xfId="8892"/>
    <cellStyle name="Note 9 3 2 2 7" xfId="8893"/>
    <cellStyle name="Note 9 3 2 2 7 2" xfId="8894"/>
    <cellStyle name="Note 9 3 2 2 8" xfId="8895"/>
    <cellStyle name="Note 9 3 2 3" xfId="8896"/>
    <cellStyle name="Note 9 3 2 3 10" xfId="8897"/>
    <cellStyle name="Note 9 3 2 3 10 2" xfId="8898"/>
    <cellStyle name="Note 9 3 2 3 11" xfId="8899"/>
    <cellStyle name="Note 9 3 2 3 2" xfId="8900"/>
    <cellStyle name="Note 9 3 2 3 2 2" xfId="8901"/>
    <cellStyle name="Note 9 3 2 3 2 2 2" xfId="8902"/>
    <cellStyle name="Note 9 3 2 3 2 3" xfId="8903"/>
    <cellStyle name="Note 9 3 2 3 3" xfId="8904"/>
    <cellStyle name="Note 9 3 2 3 3 2" xfId="8905"/>
    <cellStyle name="Note 9 3 2 3 4" xfId="8906"/>
    <cellStyle name="Note 9 3 2 3 4 2" xfId="8907"/>
    <cellStyle name="Note 9 3 2 3 5" xfId="8908"/>
    <cellStyle name="Note 9 3 2 3 5 2" xfId="8909"/>
    <cellStyle name="Note 9 3 2 3 6" xfId="8910"/>
    <cellStyle name="Note 9 3 2 3 6 2" xfId="8911"/>
    <cellStyle name="Note 9 3 2 3 7" xfId="8912"/>
    <cellStyle name="Note 9 3 2 3 7 2" xfId="8913"/>
    <cellStyle name="Note 9 3 2 3 8" xfId="8914"/>
    <cellStyle name="Note 9 3 2 3 8 2" xfId="8915"/>
    <cellStyle name="Note 9 3 2 3 9" xfId="8916"/>
    <cellStyle name="Note 9 3 2 3 9 2" xfId="8917"/>
    <cellStyle name="Note 9 3 2 4" xfId="8918"/>
    <cellStyle name="Note 9 3 2 4 10" xfId="8919"/>
    <cellStyle name="Note 9 3 2 4 10 2" xfId="8920"/>
    <cellStyle name="Note 9 3 2 4 11" xfId="8921"/>
    <cellStyle name="Note 9 3 2 4 2" xfId="8922"/>
    <cellStyle name="Note 9 3 2 4 2 2" xfId="8923"/>
    <cellStyle name="Note 9 3 2 4 2 2 2" xfId="8924"/>
    <cellStyle name="Note 9 3 2 4 2 3" xfId="8925"/>
    <cellStyle name="Note 9 3 2 4 3" xfId="8926"/>
    <cellStyle name="Note 9 3 2 4 3 2" xfId="8927"/>
    <cellStyle name="Note 9 3 2 4 4" xfId="8928"/>
    <cellStyle name="Note 9 3 2 4 4 2" xfId="8929"/>
    <cellStyle name="Note 9 3 2 4 5" xfId="8930"/>
    <cellStyle name="Note 9 3 2 4 5 2" xfId="8931"/>
    <cellStyle name="Note 9 3 2 4 6" xfId="8932"/>
    <cellStyle name="Note 9 3 2 4 6 2" xfId="8933"/>
    <cellStyle name="Note 9 3 2 4 7" xfId="8934"/>
    <cellStyle name="Note 9 3 2 4 7 2" xfId="8935"/>
    <cellStyle name="Note 9 3 2 4 8" xfId="8936"/>
    <cellStyle name="Note 9 3 2 4 8 2" xfId="8937"/>
    <cellStyle name="Note 9 3 2 4 9" xfId="8938"/>
    <cellStyle name="Note 9 3 2 4 9 2" xfId="8939"/>
    <cellStyle name="Note 9 3 2 5" xfId="8940"/>
    <cellStyle name="Note 9 3 2 5 10" xfId="8941"/>
    <cellStyle name="Note 9 3 2 5 10 2" xfId="8942"/>
    <cellStyle name="Note 9 3 2 5 11" xfId="8943"/>
    <cellStyle name="Note 9 3 2 5 2" xfId="8944"/>
    <cellStyle name="Note 9 3 2 5 2 2" xfId="8945"/>
    <cellStyle name="Note 9 3 2 5 2 2 2" xfId="8946"/>
    <cellStyle name="Note 9 3 2 5 2 3" xfId="8947"/>
    <cellStyle name="Note 9 3 2 5 3" xfId="8948"/>
    <cellStyle name="Note 9 3 2 5 3 2" xfId="8949"/>
    <cellStyle name="Note 9 3 2 5 4" xfId="8950"/>
    <cellStyle name="Note 9 3 2 5 4 2" xfId="8951"/>
    <cellStyle name="Note 9 3 2 5 5" xfId="8952"/>
    <cellStyle name="Note 9 3 2 5 5 2" xfId="8953"/>
    <cellStyle name="Note 9 3 2 5 6" xfId="8954"/>
    <cellStyle name="Note 9 3 2 5 6 2" xfId="8955"/>
    <cellStyle name="Note 9 3 2 5 7" xfId="8956"/>
    <cellStyle name="Note 9 3 2 5 7 2" xfId="8957"/>
    <cellStyle name="Note 9 3 2 5 8" xfId="8958"/>
    <cellStyle name="Note 9 3 2 5 8 2" xfId="8959"/>
    <cellStyle name="Note 9 3 2 5 9" xfId="8960"/>
    <cellStyle name="Note 9 3 2 5 9 2" xfId="8961"/>
    <cellStyle name="Note 9 3 2 6" xfId="8962"/>
    <cellStyle name="Note 9 3 2 6 10" xfId="8963"/>
    <cellStyle name="Note 9 3 2 6 10 2" xfId="8964"/>
    <cellStyle name="Note 9 3 2 6 11" xfId="8965"/>
    <cellStyle name="Note 9 3 2 6 2" xfId="8966"/>
    <cellStyle name="Note 9 3 2 6 2 2" xfId="8967"/>
    <cellStyle name="Note 9 3 2 6 2 2 2" xfId="8968"/>
    <cellStyle name="Note 9 3 2 6 2 3" xfId="8969"/>
    <cellStyle name="Note 9 3 2 6 3" xfId="8970"/>
    <cellStyle name="Note 9 3 2 6 3 2" xfId="8971"/>
    <cellStyle name="Note 9 3 2 6 4" xfId="8972"/>
    <cellStyle name="Note 9 3 2 6 4 2" xfId="8973"/>
    <cellStyle name="Note 9 3 2 6 5" xfId="8974"/>
    <cellStyle name="Note 9 3 2 6 5 2" xfId="8975"/>
    <cellStyle name="Note 9 3 2 6 6" xfId="8976"/>
    <cellStyle name="Note 9 3 2 6 6 2" xfId="8977"/>
    <cellStyle name="Note 9 3 2 6 7" xfId="8978"/>
    <cellStyle name="Note 9 3 2 6 7 2" xfId="8979"/>
    <cellStyle name="Note 9 3 2 6 8" xfId="8980"/>
    <cellStyle name="Note 9 3 2 6 8 2" xfId="8981"/>
    <cellStyle name="Note 9 3 2 6 9" xfId="8982"/>
    <cellStyle name="Note 9 3 2 6 9 2" xfId="8983"/>
    <cellStyle name="Note 9 3 2 7" xfId="8984"/>
    <cellStyle name="Note 9 3 2 7 2" xfId="8985"/>
    <cellStyle name="Note 9 3 2 7 2 2" xfId="8986"/>
    <cellStyle name="Note 9 3 2 7 3" xfId="8987"/>
    <cellStyle name="Note 9 3 2 8" xfId="8988"/>
    <cellStyle name="Note 9 3 2 8 2" xfId="8989"/>
    <cellStyle name="Note 9 3 2 9" xfId="8990"/>
    <cellStyle name="Note 9 3 2 9 2" xfId="8991"/>
    <cellStyle name="Note 9 3 3" xfId="8992"/>
    <cellStyle name="Note 9 3 3 2" xfId="8993"/>
    <cellStyle name="Note 9 3 3 2 2" xfId="8994"/>
    <cellStyle name="Note 9 3 3 2 2 2" xfId="8995"/>
    <cellStyle name="Note 9 3 3 2 3" xfId="8996"/>
    <cellStyle name="Note 9 3 3 3" xfId="8997"/>
    <cellStyle name="Note 9 3 3 3 2" xfId="8998"/>
    <cellStyle name="Note 9 3 3 3 2 2" xfId="8999"/>
    <cellStyle name="Note 9 3 3 3 3" xfId="9000"/>
    <cellStyle name="Note 9 3 3 4" xfId="9001"/>
    <cellStyle name="Note 9 3 3 4 2" xfId="9002"/>
    <cellStyle name="Note 9 3 3 5" xfId="9003"/>
    <cellStyle name="Note 9 3 3 5 2" xfId="9004"/>
    <cellStyle name="Note 9 3 3 6" xfId="9005"/>
    <cellStyle name="Note 9 3 3 6 2" xfId="9006"/>
    <cellStyle name="Note 9 3 3 7" xfId="9007"/>
    <cellStyle name="Note 9 3 3 7 2" xfId="9008"/>
    <cellStyle name="Note 9 3 3 8" xfId="9009"/>
    <cellStyle name="Note 9 3 4" xfId="9010"/>
    <cellStyle name="Note 9 3 4 10" xfId="9011"/>
    <cellStyle name="Note 9 3 4 10 2" xfId="9012"/>
    <cellStyle name="Note 9 3 4 11" xfId="9013"/>
    <cellStyle name="Note 9 3 4 2" xfId="9014"/>
    <cellStyle name="Note 9 3 4 2 2" xfId="9015"/>
    <cellStyle name="Note 9 3 4 2 2 2" xfId="9016"/>
    <cellStyle name="Note 9 3 4 2 3" xfId="9017"/>
    <cellStyle name="Note 9 3 4 3" xfId="9018"/>
    <cellStyle name="Note 9 3 4 3 2" xfId="9019"/>
    <cellStyle name="Note 9 3 4 4" xfId="9020"/>
    <cellStyle name="Note 9 3 4 4 2" xfId="9021"/>
    <cellStyle name="Note 9 3 4 5" xfId="9022"/>
    <cellStyle name="Note 9 3 4 5 2" xfId="9023"/>
    <cellStyle name="Note 9 3 4 6" xfId="9024"/>
    <cellStyle name="Note 9 3 4 6 2" xfId="9025"/>
    <cellStyle name="Note 9 3 4 7" xfId="9026"/>
    <cellStyle name="Note 9 3 4 7 2" xfId="9027"/>
    <cellStyle name="Note 9 3 4 8" xfId="9028"/>
    <cellStyle name="Note 9 3 4 8 2" xfId="9029"/>
    <cellStyle name="Note 9 3 4 9" xfId="9030"/>
    <cellStyle name="Note 9 3 4 9 2" xfId="9031"/>
    <cellStyle name="Note 9 3 5" xfId="9032"/>
    <cellStyle name="Note 9 3 5 10" xfId="9033"/>
    <cellStyle name="Note 9 3 5 10 2" xfId="9034"/>
    <cellStyle name="Note 9 3 5 11" xfId="9035"/>
    <cellStyle name="Note 9 3 5 2" xfId="9036"/>
    <cellStyle name="Note 9 3 5 2 2" xfId="9037"/>
    <cellStyle name="Note 9 3 5 2 2 2" xfId="9038"/>
    <cellStyle name="Note 9 3 5 2 3" xfId="9039"/>
    <cellStyle name="Note 9 3 5 3" xfId="9040"/>
    <cellStyle name="Note 9 3 5 3 2" xfId="9041"/>
    <cellStyle name="Note 9 3 5 4" xfId="9042"/>
    <cellStyle name="Note 9 3 5 4 2" xfId="9043"/>
    <cellStyle name="Note 9 3 5 5" xfId="9044"/>
    <cellStyle name="Note 9 3 5 5 2" xfId="9045"/>
    <cellStyle name="Note 9 3 5 6" xfId="9046"/>
    <cellStyle name="Note 9 3 5 6 2" xfId="9047"/>
    <cellStyle name="Note 9 3 5 7" xfId="9048"/>
    <cellStyle name="Note 9 3 5 7 2" xfId="9049"/>
    <cellStyle name="Note 9 3 5 8" xfId="9050"/>
    <cellStyle name="Note 9 3 5 8 2" xfId="9051"/>
    <cellStyle name="Note 9 3 5 9" xfId="9052"/>
    <cellStyle name="Note 9 3 5 9 2" xfId="9053"/>
    <cellStyle name="Note 9 3 6" xfId="9054"/>
    <cellStyle name="Note 9 3 6 10" xfId="9055"/>
    <cellStyle name="Note 9 3 6 10 2" xfId="9056"/>
    <cellStyle name="Note 9 3 6 11" xfId="9057"/>
    <cellStyle name="Note 9 3 6 2" xfId="9058"/>
    <cellStyle name="Note 9 3 6 2 2" xfId="9059"/>
    <cellStyle name="Note 9 3 6 2 2 2" xfId="9060"/>
    <cellStyle name="Note 9 3 6 2 3" xfId="9061"/>
    <cellStyle name="Note 9 3 6 3" xfId="9062"/>
    <cellStyle name="Note 9 3 6 3 2" xfId="9063"/>
    <cellStyle name="Note 9 3 6 4" xfId="9064"/>
    <cellStyle name="Note 9 3 6 4 2" xfId="9065"/>
    <cellStyle name="Note 9 3 6 5" xfId="9066"/>
    <cellStyle name="Note 9 3 6 5 2" xfId="9067"/>
    <cellStyle name="Note 9 3 6 6" xfId="9068"/>
    <cellStyle name="Note 9 3 6 6 2" xfId="9069"/>
    <cellStyle name="Note 9 3 6 7" xfId="9070"/>
    <cellStyle name="Note 9 3 6 7 2" xfId="9071"/>
    <cellStyle name="Note 9 3 6 8" xfId="9072"/>
    <cellStyle name="Note 9 3 6 8 2" xfId="9073"/>
    <cellStyle name="Note 9 3 6 9" xfId="9074"/>
    <cellStyle name="Note 9 3 6 9 2" xfId="9075"/>
    <cellStyle name="Note 9 3 7" xfId="9076"/>
    <cellStyle name="Note 9 3 7 10" xfId="9077"/>
    <cellStyle name="Note 9 3 7 10 2" xfId="9078"/>
    <cellStyle name="Note 9 3 7 11" xfId="9079"/>
    <cellStyle name="Note 9 3 7 2" xfId="9080"/>
    <cellStyle name="Note 9 3 7 2 2" xfId="9081"/>
    <cellStyle name="Note 9 3 7 2 2 2" xfId="9082"/>
    <cellStyle name="Note 9 3 7 2 3" xfId="9083"/>
    <cellStyle name="Note 9 3 7 3" xfId="9084"/>
    <cellStyle name="Note 9 3 7 3 2" xfId="9085"/>
    <cellStyle name="Note 9 3 7 4" xfId="9086"/>
    <cellStyle name="Note 9 3 7 4 2" xfId="9087"/>
    <cellStyle name="Note 9 3 7 5" xfId="9088"/>
    <cellStyle name="Note 9 3 7 5 2" xfId="9089"/>
    <cellStyle name="Note 9 3 7 6" xfId="9090"/>
    <cellStyle name="Note 9 3 7 6 2" xfId="9091"/>
    <cellStyle name="Note 9 3 7 7" xfId="9092"/>
    <cellStyle name="Note 9 3 7 7 2" xfId="9093"/>
    <cellStyle name="Note 9 3 7 8" xfId="9094"/>
    <cellStyle name="Note 9 3 7 8 2" xfId="9095"/>
    <cellStyle name="Note 9 3 7 9" xfId="9096"/>
    <cellStyle name="Note 9 3 7 9 2" xfId="9097"/>
    <cellStyle name="Note 9 3 8" xfId="9098"/>
    <cellStyle name="Note 9 3 8 2" xfId="9099"/>
    <cellStyle name="Note 9 3 8 2 2" xfId="9100"/>
    <cellStyle name="Note 9 3 8 3" xfId="9101"/>
    <cellStyle name="Note 9 3 9" xfId="9102"/>
    <cellStyle name="Note 9 3 9 2" xfId="9103"/>
    <cellStyle name="Note 9 3_7 - Cap Add WS" xfId="668"/>
    <cellStyle name="Note 9 4" xfId="669"/>
    <cellStyle name="Note 9 4 10" xfId="9104"/>
    <cellStyle name="Note 9 4 10 2" xfId="9105"/>
    <cellStyle name="Note 9 4 11" xfId="9106"/>
    <cellStyle name="Note 9 4 11 2" xfId="9107"/>
    <cellStyle name="Note 9 4 12" xfId="9108"/>
    <cellStyle name="Note 9 4 12 2" xfId="9109"/>
    <cellStyle name="Note 9 4 13" xfId="9110"/>
    <cellStyle name="Note 9 4 2" xfId="9111"/>
    <cellStyle name="Note 9 4 2 2" xfId="9112"/>
    <cellStyle name="Note 9 4 2 2 2" xfId="9113"/>
    <cellStyle name="Note 9 4 2 2 2 2" xfId="9114"/>
    <cellStyle name="Note 9 4 2 2 3" xfId="9115"/>
    <cellStyle name="Note 9 4 2 3" xfId="9116"/>
    <cellStyle name="Note 9 4 2 3 2" xfId="9117"/>
    <cellStyle name="Note 9 4 2 3 2 2" xfId="9118"/>
    <cellStyle name="Note 9 4 2 3 3" xfId="9119"/>
    <cellStyle name="Note 9 4 2 4" xfId="9120"/>
    <cellStyle name="Note 9 4 2 4 2" xfId="9121"/>
    <cellStyle name="Note 9 4 2 5" xfId="9122"/>
    <cellStyle name="Note 9 4 2 5 2" xfId="9123"/>
    <cellStyle name="Note 9 4 2 6" xfId="9124"/>
    <cellStyle name="Note 9 4 2 6 2" xfId="9125"/>
    <cellStyle name="Note 9 4 2 7" xfId="9126"/>
    <cellStyle name="Note 9 4 2 7 2" xfId="9127"/>
    <cellStyle name="Note 9 4 2 8" xfId="9128"/>
    <cellStyle name="Note 9 4 3" xfId="9129"/>
    <cellStyle name="Note 9 4 3 10" xfId="9130"/>
    <cellStyle name="Note 9 4 3 10 2" xfId="9131"/>
    <cellStyle name="Note 9 4 3 11" xfId="9132"/>
    <cellStyle name="Note 9 4 3 2" xfId="9133"/>
    <cellStyle name="Note 9 4 3 2 2" xfId="9134"/>
    <cellStyle name="Note 9 4 3 2 2 2" xfId="9135"/>
    <cellStyle name="Note 9 4 3 2 3" xfId="9136"/>
    <cellStyle name="Note 9 4 3 3" xfId="9137"/>
    <cellStyle name="Note 9 4 3 3 2" xfId="9138"/>
    <cellStyle name="Note 9 4 3 4" xfId="9139"/>
    <cellStyle name="Note 9 4 3 4 2" xfId="9140"/>
    <cellStyle name="Note 9 4 3 5" xfId="9141"/>
    <cellStyle name="Note 9 4 3 5 2" xfId="9142"/>
    <cellStyle name="Note 9 4 3 6" xfId="9143"/>
    <cellStyle name="Note 9 4 3 6 2" xfId="9144"/>
    <cellStyle name="Note 9 4 3 7" xfId="9145"/>
    <cellStyle name="Note 9 4 3 7 2" xfId="9146"/>
    <cellStyle name="Note 9 4 3 8" xfId="9147"/>
    <cellStyle name="Note 9 4 3 8 2" xfId="9148"/>
    <cellStyle name="Note 9 4 3 9" xfId="9149"/>
    <cellStyle name="Note 9 4 3 9 2" xfId="9150"/>
    <cellStyle name="Note 9 4 4" xfId="9151"/>
    <cellStyle name="Note 9 4 4 10" xfId="9152"/>
    <cellStyle name="Note 9 4 4 10 2" xfId="9153"/>
    <cellStyle name="Note 9 4 4 11" xfId="9154"/>
    <cellStyle name="Note 9 4 4 2" xfId="9155"/>
    <cellStyle name="Note 9 4 4 2 2" xfId="9156"/>
    <cellStyle name="Note 9 4 4 2 2 2" xfId="9157"/>
    <cellStyle name="Note 9 4 4 2 3" xfId="9158"/>
    <cellStyle name="Note 9 4 4 3" xfId="9159"/>
    <cellStyle name="Note 9 4 4 3 2" xfId="9160"/>
    <cellStyle name="Note 9 4 4 4" xfId="9161"/>
    <cellStyle name="Note 9 4 4 4 2" xfId="9162"/>
    <cellStyle name="Note 9 4 4 5" xfId="9163"/>
    <cellStyle name="Note 9 4 4 5 2" xfId="9164"/>
    <cellStyle name="Note 9 4 4 6" xfId="9165"/>
    <cellStyle name="Note 9 4 4 6 2" xfId="9166"/>
    <cellStyle name="Note 9 4 4 7" xfId="9167"/>
    <cellStyle name="Note 9 4 4 7 2" xfId="9168"/>
    <cellStyle name="Note 9 4 4 8" xfId="9169"/>
    <cellStyle name="Note 9 4 4 8 2" xfId="9170"/>
    <cellStyle name="Note 9 4 4 9" xfId="9171"/>
    <cellStyle name="Note 9 4 4 9 2" xfId="9172"/>
    <cellStyle name="Note 9 4 5" xfId="9173"/>
    <cellStyle name="Note 9 4 5 10" xfId="9174"/>
    <cellStyle name="Note 9 4 5 10 2" xfId="9175"/>
    <cellStyle name="Note 9 4 5 11" xfId="9176"/>
    <cellStyle name="Note 9 4 5 2" xfId="9177"/>
    <cellStyle name="Note 9 4 5 2 2" xfId="9178"/>
    <cellStyle name="Note 9 4 5 2 2 2" xfId="9179"/>
    <cellStyle name="Note 9 4 5 2 3" xfId="9180"/>
    <cellStyle name="Note 9 4 5 3" xfId="9181"/>
    <cellStyle name="Note 9 4 5 3 2" xfId="9182"/>
    <cellStyle name="Note 9 4 5 4" xfId="9183"/>
    <cellStyle name="Note 9 4 5 4 2" xfId="9184"/>
    <cellStyle name="Note 9 4 5 5" xfId="9185"/>
    <cellStyle name="Note 9 4 5 5 2" xfId="9186"/>
    <cellStyle name="Note 9 4 5 6" xfId="9187"/>
    <cellStyle name="Note 9 4 5 6 2" xfId="9188"/>
    <cellStyle name="Note 9 4 5 7" xfId="9189"/>
    <cellStyle name="Note 9 4 5 7 2" xfId="9190"/>
    <cellStyle name="Note 9 4 5 8" xfId="9191"/>
    <cellStyle name="Note 9 4 5 8 2" xfId="9192"/>
    <cellStyle name="Note 9 4 5 9" xfId="9193"/>
    <cellStyle name="Note 9 4 5 9 2" xfId="9194"/>
    <cellStyle name="Note 9 4 6" xfId="9195"/>
    <cellStyle name="Note 9 4 6 10" xfId="9196"/>
    <cellStyle name="Note 9 4 6 10 2" xfId="9197"/>
    <cellStyle name="Note 9 4 6 11" xfId="9198"/>
    <cellStyle name="Note 9 4 6 2" xfId="9199"/>
    <cellStyle name="Note 9 4 6 2 2" xfId="9200"/>
    <cellStyle name="Note 9 4 6 2 2 2" xfId="9201"/>
    <cellStyle name="Note 9 4 6 2 3" xfId="9202"/>
    <cellStyle name="Note 9 4 6 3" xfId="9203"/>
    <cellStyle name="Note 9 4 6 3 2" xfId="9204"/>
    <cellStyle name="Note 9 4 6 4" xfId="9205"/>
    <cellStyle name="Note 9 4 6 4 2" xfId="9206"/>
    <cellStyle name="Note 9 4 6 5" xfId="9207"/>
    <cellStyle name="Note 9 4 6 5 2" xfId="9208"/>
    <cellStyle name="Note 9 4 6 6" xfId="9209"/>
    <cellStyle name="Note 9 4 6 6 2" xfId="9210"/>
    <cellStyle name="Note 9 4 6 7" xfId="9211"/>
    <cellStyle name="Note 9 4 6 7 2" xfId="9212"/>
    <cellStyle name="Note 9 4 6 8" xfId="9213"/>
    <cellStyle name="Note 9 4 6 8 2" xfId="9214"/>
    <cellStyle name="Note 9 4 6 9" xfId="9215"/>
    <cellStyle name="Note 9 4 6 9 2" xfId="9216"/>
    <cellStyle name="Note 9 4 7" xfId="9217"/>
    <cellStyle name="Note 9 4 7 2" xfId="9218"/>
    <cellStyle name="Note 9 4 7 2 2" xfId="9219"/>
    <cellStyle name="Note 9 4 7 3" xfId="9220"/>
    <cellStyle name="Note 9 4 8" xfId="9221"/>
    <cellStyle name="Note 9 4 8 2" xfId="9222"/>
    <cellStyle name="Note 9 4 9" xfId="9223"/>
    <cellStyle name="Note 9 4 9 2" xfId="9224"/>
    <cellStyle name="Note 9 5" xfId="9225"/>
    <cellStyle name="Note 9 5 2" xfId="9226"/>
    <cellStyle name="Note 9 5 2 2" xfId="9227"/>
    <cellStyle name="Note 9 5 2 2 2" xfId="9228"/>
    <cellStyle name="Note 9 5 2 3" xfId="9229"/>
    <cellStyle name="Note 9 5 3" xfId="9230"/>
    <cellStyle name="Note 9 5 3 2" xfId="9231"/>
    <cellStyle name="Note 9 5 3 2 2" xfId="9232"/>
    <cellStyle name="Note 9 5 3 3" xfId="9233"/>
    <cellStyle name="Note 9 5 4" xfId="9234"/>
    <cellStyle name="Note 9 5 4 2" xfId="9235"/>
    <cellStyle name="Note 9 5 5" xfId="9236"/>
    <cellStyle name="Note 9 5 5 2" xfId="9237"/>
    <cellStyle name="Note 9 5 6" xfId="9238"/>
    <cellStyle name="Note 9 5 6 2" xfId="9239"/>
    <cellStyle name="Note 9 5 7" xfId="9240"/>
    <cellStyle name="Note 9 5 7 2" xfId="9241"/>
    <cellStyle name="Note 9 5 8" xfId="9242"/>
    <cellStyle name="Note 9 6" xfId="9243"/>
    <cellStyle name="Note 9 6 10" xfId="9244"/>
    <cellStyle name="Note 9 6 10 2" xfId="9245"/>
    <cellStyle name="Note 9 6 11" xfId="9246"/>
    <cellStyle name="Note 9 6 2" xfId="9247"/>
    <cellStyle name="Note 9 6 2 2" xfId="9248"/>
    <cellStyle name="Note 9 6 2 2 2" xfId="9249"/>
    <cellStyle name="Note 9 6 2 3" xfId="9250"/>
    <cellStyle name="Note 9 6 3" xfId="9251"/>
    <cellStyle name="Note 9 6 3 2" xfId="9252"/>
    <cellStyle name="Note 9 6 4" xfId="9253"/>
    <cellStyle name="Note 9 6 4 2" xfId="9254"/>
    <cellStyle name="Note 9 6 5" xfId="9255"/>
    <cellStyle name="Note 9 6 5 2" xfId="9256"/>
    <cellStyle name="Note 9 6 6" xfId="9257"/>
    <cellStyle name="Note 9 6 6 2" xfId="9258"/>
    <cellStyle name="Note 9 6 7" xfId="9259"/>
    <cellStyle name="Note 9 6 7 2" xfId="9260"/>
    <cellStyle name="Note 9 6 8" xfId="9261"/>
    <cellStyle name="Note 9 6 8 2" xfId="9262"/>
    <cellStyle name="Note 9 6 9" xfId="9263"/>
    <cellStyle name="Note 9 6 9 2" xfId="9264"/>
    <cellStyle name="Note 9 7" xfId="9265"/>
    <cellStyle name="Note 9 7 10" xfId="9266"/>
    <cellStyle name="Note 9 7 10 2" xfId="9267"/>
    <cellStyle name="Note 9 7 11" xfId="9268"/>
    <cellStyle name="Note 9 7 2" xfId="9269"/>
    <cellStyle name="Note 9 7 2 2" xfId="9270"/>
    <cellStyle name="Note 9 7 2 2 2" xfId="9271"/>
    <cellStyle name="Note 9 7 2 3" xfId="9272"/>
    <cellStyle name="Note 9 7 3" xfId="9273"/>
    <cellStyle name="Note 9 7 3 2" xfId="9274"/>
    <cellStyle name="Note 9 7 4" xfId="9275"/>
    <cellStyle name="Note 9 7 4 2" xfId="9276"/>
    <cellStyle name="Note 9 7 5" xfId="9277"/>
    <cellStyle name="Note 9 7 5 2" xfId="9278"/>
    <cellStyle name="Note 9 7 6" xfId="9279"/>
    <cellStyle name="Note 9 7 6 2" xfId="9280"/>
    <cellStyle name="Note 9 7 7" xfId="9281"/>
    <cellStyle name="Note 9 7 7 2" xfId="9282"/>
    <cellStyle name="Note 9 7 8" xfId="9283"/>
    <cellStyle name="Note 9 7 8 2" xfId="9284"/>
    <cellStyle name="Note 9 7 9" xfId="9285"/>
    <cellStyle name="Note 9 7 9 2" xfId="9286"/>
    <cellStyle name="Note 9 8" xfId="9287"/>
    <cellStyle name="Note 9 8 10" xfId="9288"/>
    <cellStyle name="Note 9 8 10 2" xfId="9289"/>
    <cellStyle name="Note 9 8 11" xfId="9290"/>
    <cellStyle name="Note 9 8 2" xfId="9291"/>
    <cellStyle name="Note 9 8 2 2" xfId="9292"/>
    <cellStyle name="Note 9 8 2 2 2" xfId="9293"/>
    <cellStyle name="Note 9 8 2 3" xfId="9294"/>
    <cellStyle name="Note 9 8 3" xfId="9295"/>
    <cellStyle name="Note 9 8 3 2" xfId="9296"/>
    <cellStyle name="Note 9 8 4" xfId="9297"/>
    <cellStyle name="Note 9 8 4 2" xfId="9298"/>
    <cellStyle name="Note 9 8 5" xfId="9299"/>
    <cellStyle name="Note 9 8 5 2" xfId="9300"/>
    <cellStyle name="Note 9 8 6" xfId="9301"/>
    <cellStyle name="Note 9 8 6 2" xfId="9302"/>
    <cellStyle name="Note 9 8 7" xfId="9303"/>
    <cellStyle name="Note 9 8 7 2" xfId="9304"/>
    <cellStyle name="Note 9 8 8" xfId="9305"/>
    <cellStyle name="Note 9 8 8 2" xfId="9306"/>
    <cellStyle name="Note 9 8 9" xfId="9307"/>
    <cellStyle name="Note 9 8 9 2" xfId="9308"/>
    <cellStyle name="Note 9 9" xfId="9309"/>
    <cellStyle name="Note 9 9 10" xfId="9310"/>
    <cellStyle name="Note 9 9 10 2" xfId="9311"/>
    <cellStyle name="Note 9 9 11" xfId="9312"/>
    <cellStyle name="Note 9 9 2" xfId="9313"/>
    <cellStyle name="Note 9 9 2 2" xfId="9314"/>
    <cellStyle name="Note 9 9 2 2 2" xfId="9315"/>
    <cellStyle name="Note 9 9 2 3" xfId="9316"/>
    <cellStyle name="Note 9 9 3" xfId="9317"/>
    <cellStyle name="Note 9 9 3 2" xfId="9318"/>
    <cellStyle name="Note 9 9 4" xfId="9319"/>
    <cellStyle name="Note 9 9 4 2" xfId="9320"/>
    <cellStyle name="Note 9 9 5" xfId="9321"/>
    <cellStyle name="Note 9 9 5 2" xfId="9322"/>
    <cellStyle name="Note 9 9 6" xfId="9323"/>
    <cellStyle name="Note 9 9 6 2" xfId="9324"/>
    <cellStyle name="Note 9 9 7" xfId="9325"/>
    <cellStyle name="Note 9 9 7 2" xfId="9326"/>
    <cellStyle name="Note 9 9 8" xfId="9327"/>
    <cellStyle name="Note 9 9 8 2" xfId="9328"/>
    <cellStyle name="Note 9 9 9" xfId="9329"/>
    <cellStyle name="Note 9 9 9 2" xfId="9330"/>
    <cellStyle name="Note 9_7 - Cap Add WS" xfId="670"/>
    <cellStyle name="nPlosion" xfId="671"/>
    <cellStyle name="Output 2" xfId="672"/>
    <cellStyle name="Output 2 10" xfId="9331"/>
    <cellStyle name="Output 2 10 2" xfId="9332"/>
    <cellStyle name="Output 2 11" xfId="9333"/>
    <cellStyle name="Output 2 11 2" xfId="9334"/>
    <cellStyle name="Output 2 12" xfId="9335"/>
    <cellStyle name="Output 2 12 2" xfId="9336"/>
    <cellStyle name="Output 2 13" xfId="9337"/>
    <cellStyle name="Output 2 2" xfId="9338"/>
    <cellStyle name="Output 2 2 2" xfId="9339"/>
    <cellStyle name="Output 2 2 2 2" xfId="9340"/>
    <cellStyle name="Output 2 2 2 2 2" xfId="9341"/>
    <cellStyle name="Output 2 2 2 3" xfId="9342"/>
    <cellStyle name="Output 2 2 3" xfId="9343"/>
    <cellStyle name="Output 2 2 3 2" xfId="9344"/>
    <cellStyle name="Output 2 2 3 2 2" xfId="9345"/>
    <cellStyle name="Output 2 2 3 3" xfId="9346"/>
    <cellStyle name="Output 2 2 4" xfId="9347"/>
    <cellStyle name="Output 2 2 4 2" xfId="9348"/>
    <cellStyle name="Output 2 2 5" xfId="9349"/>
    <cellStyle name="Output 2 2 5 2" xfId="9350"/>
    <cellStyle name="Output 2 2 6" xfId="9351"/>
    <cellStyle name="Output 2 2 6 2" xfId="9352"/>
    <cellStyle name="Output 2 2 7" xfId="9353"/>
    <cellStyle name="Output 2 2 7 2" xfId="9354"/>
    <cellStyle name="Output 2 2 8" xfId="9355"/>
    <cellStyle name="Output 2 3" xfId="9356"/>
    <cellStyle name="Output 2 3 10" xfId="9357"/>
    <cellStyle name="Output 2 3 10 2" xfId="9358"/>
    <cellStyle name="Output 2 3 11" xfId="9359"/>
    <cellStyle name="Output 2 3 2" xfId="9360"/>
    <cellStyle name="Output 2 3 2 2" xfId="9361"/>
    <cellStyle name="Output 2 3 2 2 2" xfId="9362"/>
    <cellStyle name="Output 2 3 2 3" xfId="9363"/>
    <cellStyle name="Output 2 3 3" xfId="9364"/>
    <cellStyle name="Output 2 3 3 2" xfId="9365"/>
    <cellStyle name="Output 2 3 4" xfId="9366"/>
    <cellStyle name="Output 2 3 4 2" xfId="9367"/>
    <cellStyle name="Output 2 3 5" xfId="9368"/>
    <cellStyle name="Output 2 3 5 2" xfId="9369"/>
    <cellStyle name="Output 2 3 6" xfId="9370"/>
    <cellStyle name="Output 2 3 6 2" xfId="9371"/>
    <cellStyle name="Output 2 3 7" xfId="9372"/>
    <cellStyle name="Output 2 3 7 2" xfId="9373"/>
    <cellStyle name="Output 2 3 8" xfId="9374"/>
    <cellStyle name="Output 2 3 8 2" xfId="9375"/>
    <cellStyle name="Output 2 3 9" xfId="9376"/>
    <cellStyle name="Output 2 3 9 2" xfId="9377"/>
    <cellStyle name="Output 2 4" xfId="9378"/>
    <cellStyle name="Output 2 4 10" xfId="9379"/>
    <cellStyle name="Output 2 4 10 2" xfId="9380"/>
    <cellStyle name="Output 2 4 11" xfId="9381"/>
    <cellStyle name="Output 2 4 2" xfId="9382"/>
    <cellStyle name="Output 2 4 2 2" xfId="9383"/>
    <cellStyle name="Output 2 4 2 2 2" xfId="9384"/>
    <cellStyle name="Output 2 4 2 3" xfId="9385"/>
    <cellStyle name="Output 2 4 3" xfId="9386"/>
    <cellStyle name="Output 2 4 3 2" xfId="9387"/>
    <cellStyle name="Output 2 4 4" xfId="9388"/>
    <cellStyle name="Output 2 4 4 2" xfId="9389"/>
    <cellStyle name="Output 2 4 5" xfId="9390"/>
    <cellStyle name="Output 2 4 5 2" xfId="9391"/>
    <cellStyle name="Output 2 4 6" xfId="9392"/>
    <cellStyle name="Output 2 4 6 2" xfId="9393"/>
    <cellStyle name="Output 2 4 7" xfId="9394"/>
    <cellStyle name="Output 2 4 7 2" xfId="9395"/>
    <cellStyle name="Output 2 4 8" xfId="9396"/>
    <cellStyle name="Output 2 4 8 2" xfId="9397"/>
    <cellStyle name="Output 2 4 9" xfId="9398"/>
    <cellStyle name="Output 2 4 9 2" xfId="9399"/>
    <cellStyle name="Output 2 5" xfId="9400"/>
    <cellStyle name="Output 2 5 10" xfId="9401"/>
    <cellStyle name="Output 2 5 10 2" xfId="9402"/>
    <cellStyle name="Output 2 5 11" xfId="9403"/>
    <cellStyle name="Output 2 5 2" xfId="9404"/>
    <cellStyle name="Output 2 5 2 2" xfId="9405"/>
    <cellStyle name="Output 2 5 2 2 2" xfId="9406"/>
    <cellStyle name="Output 2 5 2 3" xfId="9407"/>
    <cellStyle name="Output 2 5 3" xfId="9408"/>
    <cellStyle name="Output 2 5 3 2" xfId="9409"/>
    <cellStyle name="Output 2 5 4" xfId="9410"/>
    <cellStyle name="Output 2 5 4 2" xfId="9411"/>
    <cellStyle name="Output 2 5 5" xfId="9412"/>
    <cellStyle name="Output 2 5 5 2" xfId="9413"/>
    <cellStyle name="Output 2 5 6" xfId="9414"/>
    <cellStyle name="Output 2 5 6 2" xfId="9415"/>
    <cellStyle name="Output 2 5 7" xfId="9416"/>
    <cellStyle name="Output 2 5 7 2" xfId="9417"/>
    <cellStyle name="Output 2 5 8" xfId="9418"/>
    <cellStyle name="Output 2 5 8 2" xfId="9419"/>
    <cellStyle name="Output 2 5 9" xfId="9420"/>
    <cellStyle name="Output 2 5 9 2" xfId="9421"/>
    <cellStyle name="Output 2 6" xfId="9422"/>
    <cellStyle name="Output 2 6 10" xfId="9423"/>
    <cellStyle name="Output 2 6 10 2" xfId="9424"/>
    <cellStyle name="Output 2 6 11" xfId="9425"/>
    <cellStyle name="Output 2 6 2" xfId="9426"/>
    <cellStyle name="Output 2 6 2 2" xfId="9427"/>
    <cellStyle name="Output 2 6 2 2 2" xfId="9428"/>
    <cellStyle name="Output 2 6 2 3" xfId="9429"/>
    <cellStyle name="Output 2 6 3" xfId="9430"/>
    <cellStyle name="Output 2 6 3 2" xfId="9431"/>
    <cellStyle name="Output 2 6 4" xfId="9432"/>
    <cellStyle name="Output 2 6 4 2" xfId="9433"/>
    <cellStyle name="Output 2 6 5" xfId="9434"/>
    <cellStyle name="Output 2 6 5 2" xfId="9435"/>
    <cellStyle name="Output 2 6 6" xfId="9436"/>
    <cellStyle name="Output 2 6 6 2" xfId="9437"/>
    <cellStyle name="Output 2 6 7" xfId="9438"/>
    <cellStyle name="Output 2 6 7 2" xfId="9439"/>
    <cellStyle name="Output 2 6 8" xfId="9440"/>
    <cellStyle name="Output 2 6 8 2" xfId="9441"/>
    <cellStyle name="Output 2 6 9" xfId="9442"/>
    <cellStyle name="Output 2 6 9 2" xfId="9443"/>
    <cellStyle name="Output 2 7" xfId="9444"/>
    <cellStyle name="Output 2 7 2" xfId="9445"/>
    <cellStyle name="Output 2 7 2 2" xfId="9446"/>
    <cellStyle name="Output 2 7 3" xfId="9447"/>
    <cellStyle name="Output 2 8" xfId="9448"/>
    <cellStyle name="Output 2 8 2" xfId="9449"/>
    <cellStyle name="Output 2 9" xfId="9450"/>
    <cellStyle name="Output 2 9 2" xfId="9451"/>
    <cellStyle name="Password" xfId="9452"/>
    <cellStyle name="Percen - Style1" xfId="673"/>
    <cellStyle name="Percent" xfId="674" builtinId="5"/>
    <cellStyle name="Percent (0)" xfId="675"/>
    <cellStyle name="Percent [2]" xfId="676"/>
    <cellStyle name="Percent 10" xfId="11282"/>
    <cellStyle name="Percent 10 2" xfId="13645"/>
    <cellStyle name="Percent 10 3" xfId="15655"/>
    <cellStyle name="Percent 10 3 2" xfId="23670"/>
    <cellStyle name="Percent 11" xfId="11305"/>
    <cellStyle name="Percent 11 2" xfId="13647"/>
    <cellStyle name="Percent 11 3" xfId="15657"/>
    <cellStyle name="Percent 11 3 2" xfId="23672"/>
    <cellStyle name="Percent 2" xfId="677"/>
    <cellStyle name="Percent 2 2" xfId="678"/>
    <cellStyle name="Percent 2 2 2" xfId="679"/>
    <cellStyle name="Percent 3" xfId="680"/>
    <cellStyle name="Percent 3 2" xfId="681"/>
    <cellStyle name="Percent 4" xfId="682"/>
    <cellStyle name="Percent 4 10" xfId="11642"/>
    <cellStyle name="Percent 4 2" xfId="683"/>
    <cellStyle name="Percent 4 3" xfId="9453"/>
    <cellStyle name="Percent 4 3 10" xfId="17533"/>
    <cellStyle name="Percent 4 3 10 2" xfId="31558"/>
    <cellStyle name="Percent 4 3 11" xfId="19535"/>
    <cellStyle name="Percent 4 3 11 2" xfId="33560"/>
    <cellStyle name="Percent 4 3 12" xfId="25549"/>
    <cellStyle name="Percent 4 3 2" xfId="9454"/>
    <cellStyle name="Percent 4 3 2 10" xfId="19536"/>
    <cellStyle name="Percent 4 3 2 10 2" xfId="33561"/>
    <cellStyle name="Percent 4 3 2 11" xfId="25550"/>
    <cellStyle name="Percent 4 3 2 2" xfId="9455"/>
    <cellStyle name="Percent 4 3 2 2 10" xfId="25551"/>
    <cellStyle name="Percent 4 3 2 2 2" xfId="9456"/>
    <cellStyle name="Percent 4 3 2 2 2 2" xfId="9457"/>
    <cellStyle name="Percent 4 3 2 2 2 2 2" xfId="9458"/>
    <cellStyle name="Percent 4 3 2 2 2 2 2 2" xfId="13517"/>
    <cellStyle name="Percent 4 3 2 2 2 2 2 2 2" xfId="21542"/>
    <cellStyle name="Percent 4 3 2 2 2 2 2 2 2 2" xfId="35567"/>
    <cellStyle name="Percent 4 3 2 2 2 2 2 2 3" xfId="27556"/>
    <cellStyle name="Percent 4 3 2 2 2 2 2 3" xfId="15532"/>
    <cellStyle name="Percent 4 3 2 2 2 2 2 3 2" xfId="23547"/>
    <cellStyle name="Percent 4 3 2 2 2 2 2 3 2 2" xfId="37572"/>
    <cellStyle name="Percent 4 3 2 2 2 2 2 3 3" xfId="29561"/>
    <cellStyle name="Percent 4 3 2 2 2 2 2 4" xfId="17538"/>
    <cellStyle name="Percent 4 3 2 2 2 2 2 4 2" xfId="31563"/>
    <cellStyle name="Percent 4 3 2 2 2 2 2 5" xfId="19540"/>
    <cellStyle name="Percent 4 3 2 2 2 2 2 5 2" xfId="33565"/>
    <cellStyle name="Percent 4 3 2 2 2 2 2 6" xfId="25554"/>
    <cellStyle name="Percent 4 3 2 2 2 2 3" xfId="13516"/>
    <cellStyle name="Percent 4 3 2 2 2 2 3 2" xfId="21541"/>
    <cellStyle name="Percent 4 3 2 2 2 2 3 2 2" xfId="35566"/>
    <cellStyle name="Percent 4 3 2 2 2 2 3 3" xfId="27555"/>
    <cellStyle name="Percent 4 3 2 2 2 2 4" xfId="15531"/>
    <cellStyle name="Percent 4 3 2 2 2 2 4 2" xfId="23546"/>
    <cellStyle name="Percent 4 3 2 2 2 2 4 2 2" xfId="37571"/>
    <cellStyle name="Percent 4 3 2 2 2 2 4 3" xfId="29560"/>
    <cellStyle name="Percent 4 3 2 2 2 2 5" xfId="17537"/>
    <cellStyle name="Percent 4 3 2 2 2 2 5 2" xfId="31562"/>
    <cellStyle name="Percent 4 3 2 2 2 2 6" xfId="19539"/>
    <cellStyle name="Percent 4 3 2 2 2 2 6 2" xfId="33564"/>
    <cellStyle name="Percent 4 3 2 2 2 2 7" xfId="25553"/>
    <cellStyle name="Percent 4 3 2 2 2 3" xfId="9459"/>
    <cellStyle name="Percent 4 3 2 2 2 3 2" xfId="13518"/>
    <cellStyle name="Percent 4 3 2 2 2 3 2 2" xfId="21543"/>
    <cellStyle name="Percent 4 3 2 2 2 3 2 2 2" xfId="35568"/>
    <cellStyle name="Percent 4 3 2 2 2 3 2 3" xfId="27557"/>
    <cellStyle name="Percent 4 3 2 2 2 3 3" xfId="15533"/>
    <cellStyle name="Percent 4 3 2 2 2 3 3 2" xfId="23548"/>
    <cellStyle name="Percent 4 3 2 2 2 3 3 2 2" xfId="37573"/>
    <cellStyle name="Percent 4 3 2 2 2 3 3 3" xfId="29562"/>
    <cellStyle name="Percent 4 3 2 2 2 3 4" xfId="17539"/>
    <cellStyle name="Percent 4 3 2 2 2 3 4 2" xfId="31564"/>
    <cellStyle name="Percent 4 3 2 2 2 3 5" xfId="19541"/>
    <cellStyle name="Percent 4 3 2 2 2 3 5 2" xfId="33566"/>
    <cellStyle name="Percent 4 3 2 2 2 3 6" xfId="25555"/>
    <cellStyle name="Percent 4 3 2 2 2 4" xfId="13515"/>
    <cellStyle name="Percent 4 3 2 2 2 4 2" xfId="21540"/>
    <cellStyle name="Percent 4 3 2 2 2 4 2 2" xfId="35565"/>
    <cellStyle name="Percent 4 3 2 2 2 4 3" xfId="27554"/>
    <cellStyle name="Percent 4 3 2 2 2 5" xfId="15530"/>
    <cellStyle name="Percent 4 3 2 2 2 5 2" xfId="23545"/>
    <cellStyle name="Percent 4 3 2 2 2 5 2 2" xfId="37570"/>
    <cellStyle name="Percent 4 3 2 2 2 5 3" xfId="29559"/>
    <cellStyle name="Percent 4 3 2 2 2 6" xfId="17536"/>
    <cellStyle name="Percent 4 3 2 2 2 6 2" xfId="31561"/>
    <cellStyle name="Percent 4 3 2 2 2 7" xfId="19538"/>
    <cellStyle name="Percent 4 3 2 2 2 7 2" xfId="33563"/>
    <cellStyle name="Percent 4 3 2 2 2 8" xfId="25552"/>
    <cellStyle name="Percent 4 3 2 2 3" xfId="9460"/>
    <cellStyle name="Percent 4 3 2 2 3 2" xfId="9461"/>
    <cellStyle name="Percent 4 3 2 2 3 2 2" xfId="13520"/>
    <cellStyle name="Percent 4 3 2 2 3 2 2 2" xfId="21545"/>
    <cellStyle name="Percent 4 3 2 2 3 2 2 2 2" xfId="35570"/>
    <cellStyle name="Percent 4 3 2 2 3 2 2 3" xfId="27559"/>
    <cellStyle name="Percent 4 3 2 2 3 2 3" xfId="15535"/>
    <cellStyle name="Percent 4 3 2 2 3 2 3 2" xfId="23550"/>
    <cellStyle name="Percent 4 3 2 2 3 2 3 2 2" xfId="37575"/>
    <cellStyle name="Percent 4 3 2 2 3 2 3 3" xfId="29564"/>
    <cellStyle name="Percent 4 3 2 2 3 2 4" xfId="17541"/>
    <cellStyle name="Percent 4 3 2 2 3 2 4 2" xfId="31566"/>
    <cellStyle name="Percent 4 3 2 2 3 2 5" xfId="19543"/>
    <cellStyle name="Percent 4 3 2 2 3 2 5 2" xfId="33568"/>
    <cellStyle name="Percent 4 3 2 2 3 2 6" xfId="25557"/>
    <cellStyle name="Percent 4 3 2 2 3 3" xfId="13519"/>
    <cellStyle name="Percent 4 3 2 2 3 3 2" xfId="21544"/>
    <cellStyle name="Percent 4 3 2 2 3 3 2 2" xfId="35569"/>
    <cellStyle name="Percent 4 3 2 2 3 3 3" xfId="27558"/>
    <cellStyle name="Percent 4 3 2 2 3 4" xfId="15534"/>
    <cellStyle name="Percent 4 3 2 2 3 4 2" xfId="23549"/>
    <cellStyle name="Percent 4 3 2 2 3 4 2 2" xfId="37574"/>
    <cellStyle name="Percent 4 3 2 2 3 4 3" xfId="29563"/>
    <cellStyle name="Percent 4 3 2 2 3 5" xfId="17540"/>
    <cellStyle name="Percent 4 3 2 2 3 5 2" xfId="31565"/>
    <cellStyle name="Percent 4 3 2 2 3 6" xfId="19542"/>
    <cellStyle name="Percent 4 3 2 2 3 6 2" xfId="33567"/>
    <cellStyle name="Percent 4 3 2 2 3 7" xfId="25556"/>
    <cellStyle name="Percent 4 3 2 2 4" xfId="9462"/>
    <cellStyle name="Percent 4 3 2 2 4 2" xfId="9463"/>
    <cellStyle name="Percent 4 3 2 2 4 2 2" xfId="13522"/>
    <cellStyle name="Percent 4 3 2 2 4 2 2 2" xfId="21547"/>
    <cellStyle name="Percent 4 3 2 2 4 2 2 2 2" xfId="35572"/>
    <cellStyle name="Percent 4 3 2 2 4 2 2 3" xfId="27561"/>
    <cellStyle name="Percent 4 3 2 2 4 2 3" xfId="15537"/>
    <cellStyle name="Percent 4 3 2 2 4 2 3 2" xfId="23552"/>
    <cellStyle name="Percent 4 3 2 2 4 2 3 2 2" xfId="37577"/>
    <cellStyle name="Percent 4 3 2 2 4 2 3 3" xfId="29566"/>
    <cellStyle name="Percent 4 3 2 2 4 2 4" xfId="17543"/>
    <cellStyle name="Percent 4 3 2 2 4 2 4 2" xfId="31568"/>
    <cellStyle name="Percent 4 3 2 2 4 2 5" xfId="19545"/>
    <cellStyle name="Percent 4 3 2 2 4 2 5 2" xfId="33570"/>
    <cellStyle name="Percent 4 3 2 2 4 2 6" xfId="25559"/>
    <cellStyle name="Percent 4 3 2 2 4 3" xfId="13521"/>
    <cellStyle name="Percent 4 3 2 2 4 3 2" xfId="21546"/>
    <cellStyle name="Percent 4 3 2 2 4 3 2 2" xfId="35571"/>
    <cellStyle name="Percent 4 3 2 2 4 3 3" xfId="27560"/>
    <cellStyle name="Percent 4 3 2 2 4 4" xfId="15536"/>
    <cellStyle name="Percent 4 3 2 2 4 4 2" xfId="23551"/>
    <cellStyle name="Percent 4 3 2 2 4 4 2 2" xfId="37576"/>
    <cellStyle name="Percent 4 3 2 2 4 4 3" xfId="29565"/>
    <cellStyle name="Percent 4 3 2 2 4 5" xfId="17542"/>
    <cellStyle name="Percent 4 3 2 2 4 5 2" xfId="31567"/>
    <cellStyle name="Percent 4 3 2 2 4 6" xfId="19544"/>
    <cellStyle name="Percent 4 3 2 2 4 6 2" xfId="33569"/>
    <cellStyle name="Percent 4 3 2 2 4 7" xfId="25558"/>
    <cellStyle name="Percent 4 3 2 2 5" xfId="9464"/>
    <cellStyle name="Percent 4 3 2 2 5 2" xfId="13523"/>
    <cellStyle name="Percent 4 3 2 2 5 2 2" xfId="21548"/>
    <cellStyle name="Percent 4 3 2 2 5 2 2 2" xfId="35573"/>
    <cellStyle name="Percent 4 3 2 2 5 2 3" xfId="27562"/>
    <cellStyle name="Percent 4 3 2 2 5 3" xfId="15538"/>
    <cellStyle name="Percent 4 3 2 2 5 3 2" xfId="23553"/>
    <cellStyle name="Percent 4 3 2 2 5 3 2 2" xfId="37578"/>
    <cellStyle name="Percent 4 3 2 2 5 3 3" xfId="29567"/>
    <cellStyle name="Percent 4 3 2 2 5 4" xfId="17544"/>
    <cellStyle name="Percent 4 3 2 2 5 4 2" xfId="31569"/>
    <cellStyle name="Percent 4 3 2 2 5 5" xfId="19546"/>
    <cellStyle name="Percent 4 3 2 2 5 5 2" xfId="33571"/>
    <cellStyle name="Percent 4 3 2 2 5 6" xfId="25560"/>
    <cellStyle name="Percent 4 3 2 2 6" xfId="13514"/>
    <cellStyle name="Percent 4 3 2 2 6 2" xfId="21539"/>
    <cellStyle name="Percent 4 3 2 2 6 2 2" xfId="35564"/>
    <cellStyle name="Percent 4 3 2 2 6 3" xfId="27553"/>
    <cellStyle name="Percent 4 3 2 2 7" xfId="15529"/>
    <cellStyle name="Percent 4 3 2 2 7 2" xfId="23544"/>
    <cellStyle name="Percent 4 3 2 2 7 2 2" xfId="37569"/>
    <cellStyle name="Percent 4 3 2 2 7 3" xfId="29558"/>
    <cellStyle name="Percent 4 3 2 2 8" xfId="17535"/>
    <cellStyle name="Percent 4 3 2 2 8 2" xfId="31560"/>
    <cellStyle name="Percent 4 3 2 2 9" xfId="19537"/>
    <cellStyle name="Percent 4 3 2 2 9 2" xfId="33562"/>
    <cellStyle name="Percent 4 3 2 3" xfId="9465"/>
    <cellStyle name="Percent 4 3 2 3 2" xfId="9466"/>
    <cellStyle name="Percent 4 3 2 3 2 2" xfId="9467"/>
    <cellStyle name="Percent 4 3 2 3 2 2 2" xfId="13526"/>
    <cellStyle name="Percent 4 3 2 3 2 2 2 2" xfId="21551"/>
    <cellStyle name="Percent 4 3 2 3 2 2 2 2 2" xfId="35576"/>
    <cellStyle name="Percent 4 3 2 3 2 2 2 3" xfId="27565"/>
    <cellStyle name="Percent 4 3 2 3 2 2 3" xfId="15541"/>
    <cellStyle name="Percent 4 3 2 3 2 2 3 2" xfId="23556"/>
    <cellStyle name="Percent 4 3 2 3 2 2 3 2 2" xfId="37581"/>
    <cellStyle name="Percent 4 3 2 3 2 2 3 3" xfId="29570"/>
    <cellStyle name="Percent 4 3 2 3 2 2 4" xfId="17547"/>
    <cellStyle name="Percent 4 3 2 3 2 2 4 2" xfId="31572"/>
    <cellStyle name="Percent 4 3 2 3 2 2 5" xfId="19549"/>
    <cellStyle name="Percent 4 3 2 3 2 2 5 2" xfId="33574"/>
    <cellStyle name="Percent 4 3 2 3 2 2 6" xfId="25563"/>
    <cellStyle name="Percent 4 3 2 3 2 3" xfId="13525"/>
    <cellStyle name="Percent 4 3 2 3 2 3 2" xfId="21550"/>
    <cellStyle name="Percent 4 3 2 3 2 3 2 2" xfId="35575"/>
    <cellStyle name="Percent 4 3 2 3 2 3 3" xfId="27564"/>
    <cellStyle name="Percent 4 3 2 3 2 4" xfId="15540"/>
    <cellStyle name="Percent 4 3 2 3 2 4 2" xfId="23555"/>
    <cellStyle name="Percent 4 3 2 3 2 4 2 2" xfId="37580"/>
    <cellStyle name="Percent 4 3 2 3 2 4 3" xfId="29569"/>
    <cellStyle name="Percent 4 3 2 3 2 5" xfId="17546"/>
    <cellStyle name="Percent 4 3 2 3 2 5 2" xfId="31571"/>
    <cellStyle name="Percent 4 3 2 3 2 6" xfId="19548"/>
    <cellStyle name="Percent 4 3 2 3 2 6 2" xfId="33573"/>
    <cellStyle name="Percent 4 3 2 3 2 7" xfId="25562"/>
    <cellStyle name="Percent 4 3 2 3 3" xfId="9468"/>
    <cellStyle name="Percent 4 3 2 3 3 2" xfId="13527"/>
    <cellStyle name="Percent 4 3 2 3 3 2 2" xfId="21552"/>
    <cellStyle name="Percent 4 3 2 3 3 2 2 2" xfId="35577"/>
    <cellStyle name="Percent 4 3 2 3 3 2 3" xfId="27566"/>
    <cellStyle name="Percent 4 3 2 3 3 3" xfId="15542"/>
    <cellStyle name="Percent 4 3 2 3 3 3 2" xfId="23557"/>
    <cellStyle name="Percent 4 3 2 3 3 3 2 2" xfId="37582"/>
    <cellStyle name="Percent 4 3 2 3 3 3 3" xfId="29571"/>
    <cellStyle name="Percent 4 3 2 3 3 4" xfId="17548"/>
    <cellStyle name="Percent 4 3 2 3 3 4 2" xfId="31573"/>
    <cellStyle name="Percent 4 3 2 3 3 5" xfId="19550"/>
    <cellStyle name="Percent 4 3 2 3 3 5 2" xfId="33575"/>
    <cellStyle name="Percent 4 3 2 3 3 6" xfId="25564"/>
    <cellStyle name="Percent 4 3 2 3 4" xfId="13524"/>
    <cellStyle name="Percent 4 3 2 3 4 2" xfId="21549"/>
    <cellStyle name="Percent 4 3 2 3 4 2 2" xfId="35574"/>
    <cellStyle name="Percent 4 3 2 3 4 3" xfId="27563"/>
    <cellStyle name="Percent 4 3 2 3 5" xfId="15539"/>
    <cellStyle name="Percent 4 3 2 3 5 2" xfId="23554"/>
    <cellStyle name="Percent 4 3 2 3 5 2 2" xfId="37579"/>
    <cellStyle name="Percent 4 3 2 3 5 3" xfId="29568"/>
    <cellStyle name="Percent 4 3 2 3 6" xfId="17545"/>
    <cellStyle name="Percent 4 3 2 3 6 2" xfId="31570"/>
    <cellStyle name="Percent 4 3 2 3 7" xfId="19547"/>
    <cellStyle name="Percent 4 3 2 3 7 2" xfId="33572"/>
    <cellStyle name="Percent 4 3 2 3 8" xfId="25561"/>
    <cellStyle name="Percent 4 3 2 4" xfId="9469"/>
    <cellStyle name="Percent 4 3 2 4 2" xfId="9470"/>
    <cellStyle name="Percent 4 3 2 4 2 2" xfId="13529"/>
    <cellStyle name="Percent 4 3 2 4 2 2 2" xfId="21554"/>
    <cellStyle name="Percent 4 3 2 4 2 2 2 2" xfId="35579"/>
    <cellStyle name="Percent 4 3 2 4 2 2 3" xfId="27568"/>
    <cellStyle name="Percent 4 3 2 4 2 3" xfId="15544"/>
    <cellStyle name="Percent 4 3 2 4 2 3 2" xfId="23559"/>
    <cellStyle name="Percent 4 3 2 4 2 3 2 2" xfId="37584"/>
    <cellStyle name="Percent 4 3 2 4 2 3 3" xfId="29573"/>
    <cellStyle name="Percent 4 3 2 4 2 4" xfId="17550"/>
    <cellStyle name="Percent 4 3 2 4 2 4 2" xfId="31575"/>
    <cellStyle name="Percent 4 3 2 4 2 5" xfId="19552"/>
    <cellStyle name="Percent 4 3 2 4 2 5 2" xfId="33577"/>
    <cellStyle name="Percent 4 3 2 4 2 6" xfId="25566"/>
    <cellStyle name="Percent 4 3 2 4 3" xfId="13528"/>
    <cellStyle name="Percent 4 3 2 4 3 2" xfId="21553"/>
    <cellStyle name="Percent 4 3 2 4 3 2 2" xfId="35578"/>
    <cellStyle name="Percent 4 3 2 4 3 3" xfId="27567"/>
    <cellStyle name="Percent 4 3 2 4 4" xfId="15543"/>
    <cellStyle name="Percent 4 3 2 4 4 2" xfId="23558"/>
    <cellStyle name="Percent 4 3 2 4 4 2 2" xfId="37583"/>
    <cellStyle name="Percent 4 3 2 4 4 3" xfId="29572"/>
    <cellStyle name="Percent 4 3 2 4 5" xfId="17549"/>
    <cellStyle name="Percent 4 3 2 4 5 2" xfId="31574"/>
    <cellStyle name="Percent 4 3 2 4 6" xfId="19551"/>
    <cellStyle name="Percent 4 3 2 4 6 2" xfId="33576"/>
    <cellStyle name="Percent 4 3 2 4 7" xfId="25565"/>
    <cellStyle name="Percent 4 3 2 5" xfId="9471"/>
    <cellStyle name="Percent 4 3 2 5 2" xfId="9472"/>
    <cellStyle name="Percent 4 3 2 5 2 2" xfId="13531"/>
    <cellStyle name="Percent 4 3 2 5 2 2 2" xfId="21556"/>
    <cellStyle name="Percent 4 3 2 5 2 2 2 2" xfId="35581"/>
    <cellStyle name="Percent 4 3 2 5 2 2 3" xfId="27570"/>
    <cellStyle name="Percent 4 3 2 5 2 3" xfId="15546"/>
    <cellStyle name="Percent 4 3 2 5 2 3 2" xfId="23561"/>
    <cellStyle name="Percent 4 3 2 5 2 3 2 2" xfId="37586"/>
    <cellStyle name="Percent 4 3 2 5 2 3 3" xfId="29575"/>
    <cellStyle name="Percent 4 3 2 5 2 4" xfId="17552"/>
    <cellStyle name="Percent 4 3 2 5 2 4 2" xfId="31577"/>
    <cellStyle name="Percent 4 3 2 5 2 5" xfId="19554"/>
    <cellStyle name="Percent 4 3 2 5 2 5 2" xfId="33579"/>
    <cellStyle name="Percent 4 3 2 5 2 6" xfId="25568"/>
    <cellStyle name="Percent 4 3 2 5 3" xfId="13530"/>
    <cellStyle name="Percent 4 3 2 5 3 2" xfId="21555"/>
    <cellStyle name="Percent 4 3 2 5 3 2 2" xfId="35580"/>
    <cellStyle name="Percent 4 3 2 5 3 3" xfId="27569"/>
    <cellStyle name="Percent 4 3 2 5 4" xfId="15545"/>
    <cellStyle name="Percent 4 3 2 5 4 2" xfId="23560"/>
    <cellStyle name="Percent 4 3 2 5 4 2 2" xfId="37585"/>
    <cellStyle name="Percent 4 3 2 5 4 3" xfId="29574"/>
    <cellStyle name="Percent 4 3 2 5 5" xfId="17551"/>
    <cellStyle name="Percent 4 3 2 5 5 2" xfId="31576"/>
    <cellStyle name="Percent 4 3 2 5 6" xfId="19553"/>
    <cellStyle name="Percent 4 3 2 5 6 2" xfId="33578"/>
    <cellStyle name="Percent 4 3 2 5 7" xfId="25567"/>
    <cellStyle name="Percent 4 3 2 6" xfId="9473"/>
    <cellStyle name="Percent 4 3 2 6 2" xfId="13532"/>
    <cellStyle name="Percent 4 3 2 6 2 2" xfId="21557"/>
    <cellStyle name="Percent 4 3 2 6 2 2 2" xfId="35582"/>
    <cellStyle name="Percent 4 3 2 6 2 3" xfId="27571"/>
    <cellStyle name="Percent 4 3 2 6 3" xfId="15547"/>
    <cellStyle name="Percent 4 3 2 6 3 2" xfId="23562"/>
    <cellStyle name="Percent 4 3 2 6 3 2 2" xfId="37587"/>
    <cellStyle name="Percent 4 3 2 6 3 3" xfId="29576"/>
    <cellStyle name="Percent 4 3 2 6 4" xfId="17553"/>
    <cellStyle name="Percent 4 3 2 6 4 2" xfId="31578"/>
    <cellStyle name="Percent 4 3 2 6 5" xfId="19555"/>
    <cellStyle name="Percent 4 3 2 6 5 2" xfId="33580"/>
    <cellStyle name="Percent 4 3 2 6 6" xfId="25569"/>
    <cellStyle name="Percent 4 3 2 7" xfId="13513"/>
    <cellStyle name="Percent 4 3 2 7 2" xfId="21538"/>
    <cellStyle name="Percent 4 3 2 7 2 2" xfId="35563"/>
    <cellStyle name="Percent 4 3 2 7 3" xfId="27552"/>
    <cellStyle name="Percent 4 3 2 8" xfId="15528"/>
    <cellStyle name="Percent 4 3 2 8 2" xfId="23543"/>
    <cellStyle name="Percent 4 3 2 8 2 2" xfId="37568"/>
    <cellStyle name="Percent 4 3 2 8 3" xfId="29557"/>
    <cellStyle name="Percent 4 3 2 9" xfId="17534"/>
    <cellStyle name="Percent 4 3 2 9 2" xfId="31559"/>
    <cellStyle name="Percent 4 3 3" xfId="9474"/>
    <cellStyle name="Percent 4 3 3 10" xfId="25570"/>
    <cellStyle name="Percent 4 3 3 2" xfId="9475"/>
    <cellStyle name="Percent 4 3 3 2 2" xfId="9476"/>
    <cellStyle name="Percent 4 3 3 2 2 2" xfId="9477"/>
    <cellStyle name="Percent 4 3 3 2 2 2 2" xfId="13536"/>
    <cellStyle name="Percent 4 3 3 2 2 2 2 2" xfId="21561"/>
    <cellStyle name="Percent 4 3 3 2 2 2 2 2 2" xfId="35586"/>
    <cellStyle name="Percent 4 3 3 2 2 2 2 3" xfId="27575"/>
    <cellStyle name="Percent 4 3 3 2 2 2 3" xfId="15551"/>
    <cellStyle name="Percent 4 3 3 2 2 2 3 2" xfId="23566"/>
    <cellStyle name="Percent 4 3 3 2 2 2 3 2 2" xfId="37591"/>
    <cellStyle name="Percent 4 3 3 2 2 2 3 3" xfId="29580"/>
    <cellStyle name="Percent 4 3 3 2 2 2 4" xfId="17557"/>
    <cellStyle name="Percent 4 3 3 2 2 2 4 2" xfId="31582"/>
    <cellStyle name="Percent 4 3 3 2 2 2 5" xfId="19559"/>
    <cellStyle name="Percent 4 3 3 2 2 2 5 2" xfId="33584"/>
    <cellStyle name="Percent 4 3 3 2 2 2 6" xfId="25573"/>
    <cellStyle name="Percent 4 3 3 2 2 3" xfId="13535"/>
    <cellStyle name="Percent 4 3 3 2 2 3 2" xfId="21560"/>
    <cellStyle name="Percent 4 3 3 2 2 3 2 2" xfId="35585"/>
    <cellStyle name="Percent 4 3 3 2 2 3 3" xfId="27574"/>
    <cellStyle name="Percent 4 3 3 2 2 4" xfId="15550"/>
    <cellStyle name="Percent 4 3 3 2 2 4 2" xfId="23565"/>
    <cellStyle name="Percent 4 3 3 2 2 4 2 2" xfId="37590"/>
    <cellStyle name="Percent 4 3 3 2 2 4 3" xfId="29579"/>
    <cellStyle name="Percent 4 3 3 2 2 5" xfId="17556"/>
    <cellStyle name="Percent 4 3 3 2 2 5 2" xfId="31581"/>
    <cellStyle name="Percent 4 3 3 2 2 6" xfId="19558"/>
    <cellStyle name="Percent 4 3 3 2 2 6 2" xfId="33583"/>
    <cellStyle name="Percent 4 3 3 2 2 7" xfId="25572"/>
    <cellStyle name="Percent 4 3 3 2 3" xfId="9478"/>
    <cellStyle name="Percent 4 3 3 2 3 2" xfId="13537"/>
    <cellStyle name="Percent 4 3 3 2 3 2 2" xfId="21562"/>
    <cellStyle name="Percent 4 3 3 2 3 2 2 2" xfId="35587"/>
    <cellStyle name="Percent 4 3 3 2 3 2 3" xfId="27576"/>
    <cellStyle name="Percent 4 3 3 2 3 3" xfId="15552"/>
    <cellStyle name="Percent 4 3 3 2 3 3 2" xfId="23567"/>
    <cellStyle name="Percent 4 3 3 2 3 3 2 2" xfId="37592"/>
    <cellStyle name="Percent 4 3 3 2 3 3 3" xfId="29581"/>
    <cellStyle name="Percent 4 3 3 2 3 4" xfId="17558"/>
    <cellStyle name="Percent 4 3 3 2 3 4 2" xfId="31583"/>
    <cellStyle name="Percent 4 3 3 2 3 5" xfId="19560"/>
    <cellStyle name="Percent 4 3 3 2 3 5 2" xfId="33585"/>
    <cellStyle name="Percent 4 3 3 2 3 6" xfId="25574"/>
    <cellStyle name="Percent 4 3 3 2 4" xfId="13534"/>
    <cellStyle name="Percent 4 3 3 2 4 2" xfId="21559"/>
    <cellStyle name="Percent 4 3 3 2 4 2 2" xfId="35584"/>
    <cellStyle name="Percent 4 3 3 2 4 3" xfId="27573"/>
    <cellStyle name="Percent 4 3 3 2 5" xfId="15549"/>
    <cellStyle name="Percent 4 3 3 2 5 2" xfId="23564"/>
    <cellStyle name="Percent 4 3 3 2 5 2 2" xfId="37589"/>
    <cellStyle name="Percent 4 3 3 2 5 3" xfId="29578"/>
    <cellStyle name="Percent 4 3 3 2 6" xfId="17555"/>
    <cellStyle name="Percent 4 3 3 2 6 2" xfId="31580"/>
    <cellStyle name="Percent 4 3 3 2 7" xfId="19557"/>
    <cellStyle name="Percent 4 3 3 2 7 2" xfId="33582"/>
    <cellStyle name="Percent 4 3 3 2 8" xfId="25571"/>
    <cellStyle name="Percent 4 3 3 3" xfId="9479"/>
    <cellStyle name="Percent 4 3 3 3 2" xfId="9480"/>
    <cellStyle name="Percent 4 3 3 3 2 2" xfId="13539"/>
    <cellStyle name="Percent 4 3 3 3 2 2 2" xfId="21564"/>
    <cellStyle name="Percent 4 3 3 3 2 2 2 2" xfId="35589"/>
    <cellStyle name="Percent 4 3 3 3 2 2 3" xfId="27578"/>
    <cellStyle name="Percent 4 3 3 3 2 3" xfId="15554"/>
    <cellStyle name="Percent 4 3 3 3 2 3 2" xfId="23569"/>
    <cellStyle name="Percent 4 3 3 3 2 3 2 2" xfId="37594"/>
    <cellStyle name="Percent 4 3 3 3 2 3 3" xfId="29583"/>
    <cellStyle name="Percent 4 3 3 3 2 4" xfId="17560"/>
    <cellStyle name="Percent 4 3 3 3 2 4 2" xfId="31585"/>
    <cellStyle name="Percent 4 3 3 3 2 5" xfId="19562"/>
    <cellStyle name="Percent 4 3 3 3 2 5 2" xfId="33587"/>
    <cellStyle name="Percent 4 3 3 3 2 6" xfId="25576"/>
    <cellStyle name="Percent 4 3 3 3 3" xfId="13538"/>
    <cellStyle name="Percent 4 3 3 3 3 2" xfId="21563"/>
    <cellStyle name="Percent 4 3 3 3 3 2 2" xfId="35588"/>
    <cellStyle name="Percent 4 3 3 3 3 3" xfId="27577"/>
    <cellStyle name="Percent 4 3 3 3 4" xfId="15553"/>
    <cellStyle name="Percent 4 3 3 3 4 2" xfId="23568"/>
    <cellStyle name="Percent 4 3 3 3 4 2 2" xfId="37593"/>
    <cellStyle name="Percent 4 3 3 3 4 3" xfId="29582"/>
    <cellStyle name="Percent 4 3 3 3 5" xfId="17559"/>
    <cellStyle name="Percent 4 3 3 3 5 2" xfId="31584"/>
    <cellStyle name="Percent 4 3 3 3 6" xfId="19561"/>
    <cellStyle name="Percent 4 3 3 3 6 2" xfId="33586"/>
    <cellStyle name="Percent 4 3 3 3 7" xfId="25575"/>
    <cellStyle name="Percent 4 3 3 4" xfId="9481"/>
    <cellStyle name="Percent 4 3 3 4 2" xfId="9482"/>
    <cellStyle name="Percent 4 3 3 4 2 2" xfId="13541"/>
    <cellStyle name="Percent 4 3 3 4 2 2 2" xfId="21566"/>
    <cellStyle name="Percent 4 3 3 4 2 2 2 2" xfId="35591"/>
    <cellStyle name="Percent 4 3 3 4 2 2 3" xfId="27580"/>
    <cellStyle name="Percent 4 3 3 4 2 3" xfId="15556"/>
    <cellStyle name="Percent 4 3 3 4 2 3 2" xfId="23571"/>
    <cellStyle name="Percent 4 3 3 4 2 3 2 2" xfId="37596"/>
    <cellStyle name="Percent 4 3 3 4 2 3 3" xfId="29585"/>
    <cellStyle name="Percent 4 3 3 4 2 4" xfId="17562"/>
    <cellStyle name="Percent 4 3 3 4 2 4 2" xfId="31587"/>
    <cellStyle name="Percent 4 3 3 4 2 5" xfId="19564"/>
    <cellStyle name="Percent 4 3 3 4 2 5 2" xfId="33589"/>
    <cellStyle name="Percent 4 3 3 4 2 6" xfId="25578"/>
    <cellStyle name="Percent 4 3 3 4 3" xfId="13540"/>
    <cellStyle name="Percent 4 3 3 4 3 2" xfId="21565"/>
    <cellStyle name="Percent 4 3 3 4 3 2 2" xfId="35590"/>
    <cellStyle name="Percent 4 3 3 4 3 3" xfId="27579"/>
    <cellStyle name="Percent 4 3 3 4 4" xfId="15555"/>
    <cellStyle name="Percent 4 3 3 4 4 2" xfId="23570"/>
    <cellStyle name="Percent 4 3 3 4 4 2 2" xfId="37595"/>
    <cellStyle name="Percent 4 3 3 4 4 3" xfId="29584"/>
    <cellStyle name="Percent 4 3 3 4 5" xfId="17561"/>
    <cellStyle name="Percent 4 3 3 4 5 2" xfId="31586"/>
    <cellStyle name="Percent 4 3 3 4 6" xfId="19563"/>
    <cellStyle name="Percent 4 3 3 4 6 2" xfId="33588"/>
    <cellStyle name="Percent 4 3 3 4 7" xfId="25577"/>
    <cellStyle name="Percent 4 3 3 5" xfId="9483"/>
    <cellStyle name="Percent 4 3 3 5 2" xfId="13542"/>
    <cellStyle name="Percent 4 3 3 5 2 2" xfId="21567"/>
    <cellStyle name="Percent 4 3 3 5 2 2 2" xfId="35592"/>
    <cellStyle name="Percent 4 3 3 5 2 3" xfId="27581"/>
    <cellStyle name="Percent 4 3 3 5 3" xfId="15557"/>
    <cellStyle name="Percent 4 3 3 5 3 2" xfId="23572"/>
    <cellStyle name="Percent 4 3 3 5 3 2 2" xfId="37597"/>
    <cellStyle name="Percent 4 3 3 5 3 3" xfId="29586"/>
    <cellStyle name="Percent 4 3 3 5 4" xfId="17563"/>
    <cellStyle name="Percent 4 3 3 5 4 2" xfId="31588"/>
    <cellStyle name="Percent 4 3 3 5 5" xfId="19565"/>
    <cellStyle name="Percent 4 3 3 5 5 2" xfId="33590"/>
    <cellStyle name="Percent 4 3 3 5 6" xfId="25579"/>
    <cellStyle name="Percent 4 3 3 6" xfId="13533"/>
    <cellStyle name="Percent 4 3 3 6 2" xfId="21558"/>
    <cellStyle name="Percent 4 3 3 6 2 2" xfId="35583"/>
    <cellStyle name="Percent 4 3 3 6 3" xfId="27572"/>
    <cellStyle name="Percent 4 3 3 7" xfId="15548"/>
    <cellStyle name="Percent 4 3 3 7 2" xfId="23563"/>
    <cellStyle name="Percent 4 3 3 7 2 2" xfId="37588"/>
    <cellStyle name="Percent 4 3 3 7 3" xfId="29577"/>
    <cellStyle name="Percent 4 3 3 8" xfId="17554"/>
    <cellStyle name="Percent 4 3 3 8 2" xfId="31579"/>
    <cellStyle name="Percent 4 3 3 9" xfId="19556"/>
    <cellStyle name="Percent 4 3 3 9 2" xfId="33581"/>
    <cellStyle name="Percent 4 3 4" xfId="9484"/>
    <cellStyle name="Percent 4 3 4 2" xfId="9485"/>
    <cellStyle name="Percent 4 3 4 2 2" xfId="9486"/>
    <cellStyle name="Percent 4 3 4 2 2 2" xfId="13545"/>
    <cellStyle name="Percent 4 3 4 2 2 2 2" xfId="21570"/>
    <cellStyle name="Percent 4 3 4 2 2 2 2 2" xfId="35595"/>
    <cellStyle name="Percent 4 3 4 2 2 2 3" xfId="27584"/>
    <cellStyle name="Percent 4 3 4 2 2 3" xfId="15560"/>
    <cellStyle name="Percent 4 3 4 2 2 3 2" xfId="23575"/>
    <cellStyle name="Percent 4 3 4 2 2 3 2 2" xfId="37600"/>
    <cellStyle name="Percent 4 3 4 2 2 3 3" xfId="29589"/>
    <cellStyle name="Percent 4 3 4 2 2 4" xfId="17566"/>
    <cellStyle name="Percent 4 3 4 2 2 4 2" xfId="31591"/>
    <cellStyle name="Percent 4 3 4 2 2 5" xfId="19568"/>
    <cellStyle name="Percent 4 3 4 2 2 5 2" xfId="33593"/>
    <cellStyle name="Percent 4 3 4 2 2 6" xfId="25582"/>
    <cellStyle name="Percent 4 3 4 2 3" xfId="13544"/>
    <cellStyle name="Percent 4 3 4 2 3 2" xfId="21569"/>
    <cellStyle name="Percent 4 3 4 2 3 2 2" xfId="35594"/>
    <cellStyle name="Percent 4 3 4 2 3 3" xfId="27583"/>
    <cellStyle name="Percent 4 3 4 2 4" xfId="15559"/>
    <cellStyle name="Percent 4 3 4 2 4 2" xfId="23574"/>
    <cellStyle name="Percent 4 3 4 2 4 2 2" xfId="37599"/>
    <cellStyle name="Percent 4 3 4 2 4 3" xfId="29588"/>
    <cellStyle name="Percent 4 3 4 2 5" xfId="17565"/>
    <cellStyle name="Percent 4 3 4 2 5 2" xfId="31590"/>
    <cellStyle name="Percent 4 3 4 2 6" xfId="19567"/>
    <cellStyle name="Percent 4 3 4 2 6 2" xfId="33592"/>
    <cellStyle name="Percent 4 3 4 2 7" xfId="25581"/>
    <cellStyle name="Percent 4 3 4 3" xfId="9487"/>
    <cellStyle name="Percent 4 3 4 3 2" xfId="13546"/>
    <cellStyle name="Percent 4 3 4 3 2 2" xfId="21571"/>
    <cellStyle name="Percent 4 3 4 3 2 2 2" xfId="35596"/>
    <cellStyle name="Percent 4 3 4 3 2 3" xfId="27585"/>
    <cellStyle name="Percent 4 3 4 3 3" xfId="15561"/>
    <cellStyle name="Percent 4 3 4 3 3 2" xfId="23576"/>
    <cellStyle name="Percent 4 3 4 3 3 2 2" xfId="37601"/>
    <cellStyle name="Percent 4 3 4 3 3 3" xfId="29590"/>
    <cellStyle name="Percent 4 3 4 3 4" xfId="17567"/>
    <cellStyle name="Percent 4 3 4 3 4 2" xfId="31592"/>
    <cellStyle name="Percent 4 3 4 3 5" xfId="19569"/>
    <cellStyle name="Percent 4 3 4 3 5 2" xfId="33594"/>
    <cellStyle name="Percent 4 3 4 3 6" xfId="25583"/>
    <cellStyle name="Percent 4 3 4 4" xfId="13543"/>
    <cellStyle name="Percent 4 3 4 4 2" xfId="21568"/>
    <cellStyle name="Percent 4 3 4 4 2 2" xfId="35593"/>
    <cellStyle name="Percent 4 3 4 4 3" xfId="27582"/>
    <cellStyle name="Percent 4 3 4 5" xfId="15558"/>
    <cellStyle name="Percent 4 3 4 5 2" xfId="23573"/>
    <cellStyle name="Percent 4 3 4 5 2 2" xfId="37598"/>
    <cellStyle name="Percent 4 3 4 5 3" xfId="29587"/>
    <cellStyle name="Percent 4 3 4 6" xfId="17564"/>
    <cellStyle name="Percent 4 3 4 6 2" xfId="31589"/>
    <cellStyle name="Percent 4 3 4 7" xfId="19566"/>
    <cellStyle name="Percent 4 3 4 7 2" xfId="33591"/>
    <cellStyle name="Percent 4 3 4 8" xfId="25580"/>
    <cellStyle name="Percent 4 3 5" xfId="9488"/>
    <cellStyle name="Percent 4 3 5 2" xfId="9489"/>
    <cellStyle name="Percent 4 3 5 2 2" xfId="13548"/>
    <cellStyle name="Percent 4 3 5 2 2 2" xfId="21573"/>
    <cellStyle name="Percent 4 3 5 2 2 2 2" xfId="35598"/>
    <cellStyle name="Percent 4 3 5 2 2 3" xfId="27587"/>
    <cellStyle name="Percent 4 3 5 2 3" xfId="15563"/>
    <cellStyle name="Percent 4 3 5 2 3 2" xfId="23578"/>
    <cellStyle name="Percent 4 3 5 2 3 2 2" xfId="37603"/>
    <cellStyle name="Percent 4 3 5 2 3 3" xfId="29592"/>
    <cellStyle name="Percent 4 3 5 2 4" xfId="17569"/>
    <cellStyle name="Percent 4 3 5 2 4 2" xfId="31594"/>
    <cellStyle name="Percent 4 3 5 2 5" xfId="19571"/>
    <cellStyle name="Percent 4 3 5 2 5 2" xfId="33596"/>
    <cellStyle name="Percent 4 3 5 2 6" xfId="25585"/>
    <cellStyle name="Percent 4 3 5 3" xfId="13547"/>
    <cellStyle name="Percent 4 3 5 3 2" xfId="21572"/>
    <cellStyle name="Percent 4 3 5 3 2 2" xfId="35597"/>
    <cellStyle name="Percent 4 3 5 3 3" xfId="27586"/>
    <cellStyle name="Percent 4 3 5 4" xfId="15562"/>
    <cellStyle name="Percent 4 3 5 4 2" xfId="23577"/>
    <cellStyle name="Percent 4 3 5 4 2 2" xfId="37602"/>
    <cellStyle name="Percent 4 3 5 4 3" xfId="29591"/>
    <cellStyle name="Percent 4 3 5 5" xfId="17568"/>
    <cellStyle name="Percent 4 3 5 5 2" xfId="31593"/>
    <cellStyle name="Percent 4 3 5 6" xfId="19570"/>
    <cellStyle name="Percent 4 3 5 6 2" xfId="33595"/>
    <cellStyle name="Percent 4 3 5 7" xfId="25584"/>
    <cellStyle name="Percent 4 3 6" xfId="9490"/>
    <cellStyle name="Percent 4 3 6 2" xfId="9491"/>
    <cellStyle name="Percent 4 3 6 2 2" xfId="13550"/>
    <cellStyle name="Percent 4 3 6 2 2 2" xfId="21575"/>
    <cellStyle name="Percent 4 3 6 2 2 2 2" xfId="35600"/>
    <cellStyle name="Percent 4 3 6 2 2 3" xfId="27589"/>
    <cellStyle name="Percent 4 3 6 2 3" xfId="15565"/>
    <cellStyle name="Percent 4 3 6 2 3 2" xfId="23580"/>
    <cellStyle name="Percent 4 3 6 2 3 2 2" xfId="37605"/>
    <cellStyle name="Percent 4 3 6 2 3 3" xfId="29594"/>
    <cellStyle name="Percent 4 3 6 2 4" xfId="17571"/>
    <cellStyle name="Percent 4 3 6 2 4 2" xfId="31596"/>
    <cellStyle name="Percent 4 3 6 2 5" xfId="19573"/>
    <cellStyle name="Percent 4 3 6 2 5 2" xfId="33598"/>
    <cellStyle name="Percent 4 3 6 2 6" xfId="25587"/>
    <cellStyle name="Percent 4 3 6 3" xfId="13549"/>
    <cellStyle name="Percent 4 3 6 3 2" xfId="21574"/>
    <cellStyle name="Percent 4 3 6 3 2 2" xfId="35599"/>
    <cellStyle name="Percent 4 3 6 3 3" xfId="27588"/>
    <cellStyle name="Percent 4 3 6 4" xfId="15564"/>
    <cellStyle name="Percent 4 3 6 4 2" xfId="23579"/>
    <cellStyle name="Percent 4 3 6 4 2 2" xfId="37604"/>
    <cellStyle name="Percent 4 3 6 4 3" xfId="29593"/>
    <cellStyle name="Percent 4 3 6 5" xfId="17570"/>
    <cellStyle name="Percent 4 3 6 5 2" xfId="31595"/>
    <cellStyle name="Percent 4 3 6 6" xfId="19572"/>
    <cellStyle name="Percent 4 3 6 6 2" xfId="33597"/>
    <cellStyle name="Percent 4 3 6 7" xfId="25586"/>
    <cellStyle name="Percent 4 3 7" xfId="9492"/>
    <cellStyle name="Percent 4 3 7 2" xfId="13551"/>
    <cellStyle name="Percent 4 3 7 2 2" xfId="21576"/>
    <cellStyle name="Percent 4 3 7 2 2 2" xfId="35601"/>
    <cellStyle name="Percent 4 3 7 2 3" xfId="27590"/>
    <cellStyle name="Percent 4 3 7 3" xfId="15566"/>
    <cellStyle name="Percent 4 3 7 3 2" xfId="23581"/>
    <cellStyle name="Percent 4 3 7 3 2 2" xfId="37606"/>
    <cellStyle name="Percent 4 3 7 3 3" xfId="29595"/>
    <cellStyle name="Percent 4 3 7 4" xfId="17572"/>
    <cellStyle name="Percent 4 3 7 4 2" xfId="31597"/>
    <cellStyle name="Percent 4 3 7 5" xfId="19574"/>
    <cellStyle name="Percent 4 3 7 5 2" xfId="33599"/>
    <cellStyle name="Percent 4 3 7 6" xfId="25588"/>
    <cellStyle name="Percent 4 3 8" xfId="13512"/>
    <cellStyle name="Percent 4 3 8 2" xfId="21537"/>
    <cellStyle name="Percent 4 3 8 2 2" xfId="35562"/>
    <cellStyle name="Percent 4 3 8 3" xfId="27551"/>
    <cellStyle name="Percent 4 3 9" xfId="15527"/>
    <cellStyle name="Percent 4 3 9 2" xfId="23542"/>
    <cellStyle name="Percent 4 3 9 2 2" xfId="37567"/>
    <cellStyle name="Percent 4 3 9 3" xfId="29556"/>
    <cellStyle name="Percent 4 4" xfId="9493"/>
    <cellStyle name="Percent 4 4 10" xfId="19575"/>
    <cellStyle name="Percent 4 4 10 2" xfId="33600"/>
    <cellStyle name="Percent 4 4 11" xfId="25589"/>
    <cellStyle name="Percent 4 4 2" xfId="9494"/>
    <cellStyle name="Percent 4 4 2 10" xfId="25590"/>
    <cellStyle name="Percent 4 4 2 2" xfId="9495"/>
    <cellStyle name="Percent 4 4 2 2 2" xfId="9496"/>
    <cellStyle name="Percent 4 4 2 2 2 2" xfId="9497"/>
    <cellStyle name="Percent 4 4 2 2 2 2 2" xfId="13556"/>
    <cellStyle name="Percent 4 4 2 2 2 2 2 2" xfId="21581"/>
    <cellStyle name="Percent 4 4 2 2 2 2 2 2 2" xfId="35606"/>
    <cellStyle name="Percent 4 4 2 2 2 2 2 3" xfId="27595"/>
    <cellStyle name="Percent 4 4 2 2 2 2 3" xfId="15571"/>
    <cellStyle name="Percent 4 4 2 2 2 2 3 2" xfId="23586"/>
    <cellStyle name="Percent 4 4 2 2 2 2 3 2 2" xfId="37611"/>
    <cellStyle name="Percent 4 4 2 2 2 2 3 3" xfId="29600"/>
    <cellStyle name="Percent 4 4 2 2 2 2 4" xfId="17577"/>
    <cellStyle name="Percent 4 4 2 2 2 2 4 2" xfId="31602"/>
    <cellStyle name="Percent 4 4 2 2 2 2 5" xfId="19579"/>
    <cellStyle name="Percent 4 4 2 2 2 2 5 2" xfId="33604"/>
    <cellStyle name="Percent 4 4 2 2 2 2 6" xfId="25593"/>
    <cellStyle name="Percent 4 4 2 2 2 3" xfId="13555"/>
    <cellStyle name="Percent 4 4 2 2 2 3 2" xfId="21580"/>
    <cellStyle name="Percent 4 4 2 2 2 3 2 2" xfId="35605"/>
    <cellStyle name="Percent 4 4 2 2 2 3 3" xfId="27594"/>
    <cellStyle name="Percent 4 4 2 2 2 4" xfId="15570"/>
    <cellStyle name="Percent 4 4 2 2 2 4 2" xfId="23585"/>
    <cellStyle name="Percent 4 4 2 2 2 4 2 2" xfId="37610"/>
    <cellStyle name="Percent 4 4 2 2 2 4 3" xfId="29599"/>
    <cellStyle name="Percent 4 4 2 2 2 5" xfId="17576"/>
    <cellStyle name="Percent 4 4 2 2 2 5 2" xfId="31601"/>
    <cellStyle name="Percent 4 4 2 2 2 6" xfId="19578"/>
    <cellStyle name="Percent 4 4 2 2 2 6 2" xfId="33603"/>
    <cellStyle name="Percent 4 4 2 2 2 7" xfId="25592"/>
    <cellStyle name="Percent 4 4 2 2 3" xfId="9498"/>
    <cellStyle name="Percent 4 4 2 2 3 2" xfId="13557"/>
    <cellStyle name="Percent 4 4 2 2 3 2 2" xfId="21582"/>
    <cellStyle name="Percent 4 4 2 2 3 2 2 2" xfId="35607"/>
    <cellStyle name="Percent 4 4 2 2 3 2 3" xfId="27596"/>
    <cellStyle name="Percent 4 4 2 2 3 3" xfId="15572"/>
    <cellStyle name="Percent 4 4 2 2 3 3 2" xfId="23587"/>
    <cellStyle name="Percent 4 4 2 2 3 3 2 2" xfId="37612"/>
    <cellStyle name="Percent 4 4 2 2 3 3 3" xfId="29601"/>
    <cellStyle name="Percent 4 4 2 2 3 4" xfId="17578"/>
    <cellStyle name="Percent 4 4 2 2 3 4 2" xfId="31603"/>
    <cellStyle name="Percent 4 4 2 2 3 5" xfId="19580"/>
    <cellStyle name="Percent 4 4 2 2 3 5 2" xfId="33605"/>
    <cellStyle name="Percent 4 4 2 2 3 6" xfId="25594"/>
    <cellStyle name="Percent 4 4 2 2 4" xfId="13554"/>
    <cellStyle name="Percent 4 4 2 2 4 2" xfId="21579"/>
    <cellStyle name="Percent 4 4 2 2 4 2 2" xfId="35604"/>
    <cellStyle name="Percent 4 4 2 2 4 3" xfId="27593"/>
    <cellStyle name="Percent 4 4 2 2 5" xfId="15569"/>
    <cellStyle name="Percent 4 4 2 2 5 2" xfId="23584"/>
    <cellStyle name="Percent 4 4 2 2 5 2 2" xfId="37609"/>
    <cellStyle name="Percent 4 4 2 2 5 3" xfId="29598"/>
    <cellStyle name="Percent 4 4 2 2 6" xfId="17575"/>
    <cellStyle name="Percent 4 4 2 2 6 2" xfId="31600"/>
    <cellStyle name="Percent 4 4 2 2 7" xfId="19577"/>
    <cellStyle name="Percent 4 4 2 2 7 2" xfId="33602"/>
    <cellStyle name="Percent 4 4 2 2 8" xfId="25591"/>
    <cellStyle name="Percent 4 4 2 3" xfId="9499"/>
    <cellStyle name="Percent 4 4 2 3 2" xfId="9500"/>
    <cellStyle name="Percent 4 4 2 3 2 2" xfId="13559"/>
    <cellStyle name="Percent 4 4 2 3 2 2 2" xfId="21584"/>
    <cellStyle name="Percent 4 4 2 3 2 2 2 2" xfId="35609"/>
    <cellStyle name="Percent 4 4 2 3 2 2 3" xfId="27598"/>
    <cellStyle name="Percent 4 4 2 3 2 3" xfId="15574"/>
    <cellStyle name="Percent 4 4 2 3 2 3 2" xfId="23589"/>
    <cellStyle name="Percent 4 4 2 3 2 3 2 2" xfId="37614"/>
    <cellStyle name="Percent 4 4 2 3 2 3 3" xfId="29603"/>
    <cellStyle name="Percent 4 4 2 3 2 4" xfId="17580"/>
    <cellStyle name="Percent 4 4 2 3 2 4 2" xfId="31605"/>
    <cellStyle name="Percent 4 4 2 3 2 5" xfId="19582"/>
    <cellStyle name="Percent 4 4 2 3 2 5 2" xfId="33607"/>
    <cellStyle name="Percent 4 4 2 3 2 6" xfId="25596"/>
    <cellStyle name="Percent 4 4 2 3 3" xfId="13558"/>
    <cellStyle name="Percent 4 4 2 3 3 2" xfId="21583"/>
    <cellStyle name="Percent 4 4 2 3 3 2 2" xfId="35608"/>
    <cellStyle name="Percent 4 4 2 3 3 3" xfId="27597"/>
    <cellStyle name="Percent 4 4 2 3 4" xfId="15573"/>
    <cellStyle name="Percent 4 4 2 3 4 2" xfId="23588"/>
    <cellStyle name="Percent 4 4 2 3 4 2 2" xfId="37613"/>
    <cellStyle name="Percent 4 4 2 3 4 3" xfId="29602"/>
    <cellStyle name="Percent 4 4 2 3 5" xfId="17579"/>
    <cellStyle name="Percent 4 4 2 3 5 2" xfId="31604"/>
    <cellStyle name="Percent 4 4 2 3 6" xfId="19581"/>
    <cellStyle name="Percent 4 4 2 3 6 2" xfId="33606"/>
    <cellStyle name="Percent 4 4 2 3 7" xfId="25595"/>
    <cellStyle name="Percent 4 4 2 4" xfId="9501"/>
    <cellStyle name="Percent 4 4 2 4 2" xfId="9502"/>
    <cellStyle name="Percent 4 4 2 4 2 2" xfId="13561"/>
    <cellStyle name="Percent 4 4 2 4 2 2 2" xfId="21586"/>
    <cellStyle name="Percent 4 4 2 4 2 2 2 2" xfId="35611"/>
    <cellStyle name="Percent 4 4 2 4 2 2 3" xfId="27600"/>
    <cellStyle name="Percent 4 4 2 4 2 3" xfId="15576"/>
    <cellStyle name="Percent 4 4 2 4 2 3 2" xfId="23591"/>
    <cellStyle name="Percent 4 4 2 4 2 3 2 2" xfId="37616"/>
    <cellStyle name="Percent 4 4 2 4 2 3 3" xfId="29605"/>
    <cellStyle name="Percent 4 4 2 4 2 4" xfId="17582"/>
    <cellStyle name="Percent 4 4 2 4 2 4 2" xfId="31607"/>
    <cellStyle name="Percent 4 4 2 4 2 5" xfId="19584"/>
    <cellStyle name="Percent 4 4 2 4 2 5 2" xfId="33609"/>
    <cellStyle name="Percent 4 4 2 4 2 6" xfId="25598"/>
    <cellStyle name="Percent 4 4 2 4 3" xfId="13560"/>
    <cellStyle name="Percent 4 4 2 4 3 2" xfId="21585"/>
    <cellStyle name="Percent 4 4 2 4 3 2 2" xfId="35610"/>
    <cellStyle name="Percent 4 4 2 4 3 3" xfId="27599"/>
    <cellStyle name="Percent 4 4 2 4 4" xfId="15575"/>
    <cellStyle name="Percent 4 4 2 4 4 2" xfId="23590"/>
    <cellStyle name="Percent 4 4 2 4 4 2 2" xfId="37615"/>
    <cellStyle name="Percent 4 4 2 4 4 3" xfId="29604"/>
    <cellStyle name="Percent 4 4 2 4 5" xfId="17581"/>
    <cellStyle name="Percent 4 4 2 4 5 2" xfId="31606"/>
    <cellStyle name="Percent 4 4 2 4 6" xfId="19583"/>
    <cellStyle name="Percent 4 4 2 4 6 2" xfId="33608"/>
    <cellStyle name="Percent 4 4 2 4 7" xfId="25597"/>
    <cellStyle name="Percent 4 4 2 5" xfId="9503"/>
    <cellStyle name="Percent 4 4 2 5 2" xfId="13562"/>
    <cellStyle name="Percent 4 4 2 5 2 2" xfId="21587"/>
    <cellStyle name="Percent 4 4 2 5 2 2 2" xfId="35612"/>
    <cellStyle name="Percent 4 4 2 5 2 3" xfId="27601"/>
    <cellStyle name="Percent 4 4 2 5 3" xfId="15577"/>
    <cellStyle name="Percent 4 4 2 5 3 2" xfId="23592"/>
    <cellStyle name="Percent 4 4 2 5 3 2 2" xfId="37617"/>
    <cellStyle name="Percent 4 4 2 5 3 3" xfId="29606"/>
    <cellStyle name="Percent 4 4 2 5 4" xfId="17583"/>
    <cellStyle name="Percent 4 4 2 5 4 2" xfId="31608"/>
    <cellStyle name="Percent 4 4 2 5 5" xfId="19585"/>
    <cellStyle name="Percent 4 4 2 5 5 2" xfId="33610"/>
    <cellStyle name="Percent 4 4 2 5 6" xfId="25599"/>
    <cellStyle name="Percent 4 4 2 6" xfId="13553"/>
    <cellStyle name="Percent 4 4 2 6 2" xfId="21578"/>
    <cellStyle name="Percent 4 4 2 6 2 2" xfId="35603"/>
    <cellStyle name="Percent 4 4 2 6 3" xfId="27592"/>
    <cellStyle name="Percent 4 4 2 7" xfId="15568"/>
    <cellStyle name="Percent 4 4 2 7 2" xfId="23583"/>
    <cellStyle name="Percent 4 4 2 7 2 2" xfId="37608"/>
    <cellStyle name="Percent 4 4 2 7 3" xfId="29597"/>
    <cellStyle name="Percent 4 4 2 8" xfId="17574"/>
    <cellStyle name="Percent 4 4 2 8 2" xfId="31599"/>
    <cellStyle name="Percent 4 4 2 9" xfId="19576"/>
    <cellStyle name="Percent 4 4 2 9 2" xfId="33601"/>
    <cellStyle name="Percent 4 4 3" xfId="9504"/>
    <cellStyle name="Percent 4 4 3 2" xfId="9505"/>
    <cellStyle name="Percent 4 4 3 2 2" xfId="9506"/>
    <cellStyle name="Percent 4 4 3 2 2 2" xfId="13565"/>
    <cellStyle name="Percent 4 4 3 2 2 2 2" xfId="21590"/>
    <cellStyle name="Percent 4 4 3 2 2 2 2 2" xfId="35615"/>
    <cellStyle name="Percent 4 4 3 2 2 2 3" xfId="27604"/>
    <cellStyle name="Percent 4 4 3 2 2 3" xfId="15580"/>
    <cellStyle name="Percent 4 4 3 2 2 3 2" xfId="23595"/>
    <cellStyle name="Percent 4 4 3 2 2 3 2 2" xfId="37620"/>
    <cellStyle name="Percent 4 4 3 2 2 3 3" xfId="29609"/>
    <cellStyle name="Percent 4 4 3 2 2 4" xfId="17586"/>
    <cellStyle name="Percent 4 4 3 2 2 4 2" xfId="31611"/>
    <cellStyle name="Percent 4 4 3 2 2 5" xfId="19588"/>
    <cellStyle name="Percent 4 4 3 2 2 5 2" xfId="33613"/>
    <cellStyle name="Percent 4 4 3 2 2 6" xfId="25602"/>
    <cellStyle name="Percent 4 4 3 2 3" xfId="13564"/>
    <cellStyle name="Percent 4 4 3 2 3 2" xfId="21589"/>
    <cellStyle name="Percent 4 4 3 2 3 2 2" xfId="35614"/>
    <cellStyle name="Percent 4 4 3 2 3 3" xfId="27603"/>
    <cellStyle name="Percent 4 4 3 2 4" xfId="15579"/>
    <cellStyle name="Percent 4 4 3 2 4 2" xfId="23594"/>
    <cellStyle name="Percent 4 4 3 2 4 2 2" xfId="37619"/>
    <cellStyle name="Percent 4 4 3 2 4 3" xfId="29608"/>
    <cellStyle name="Percent 4 4 3 2 5" xfId="17585"/>
    <cellStyle name="Percent 4 4 3 2 5 2" xfId="31610"/>
    <cellStyle name="Percent 4 4 3 2 6" xfId="19587"/>
    <cellStyle name="Percent 4 4 3 2 6 2" xfId="33612"/>
    <cellStyle name="Percent 4 4 3 2 7" xfId="25601"/>
    <cellStyle name="Percent 4 4 3 3" xfId="9507"/>
    <cellStyle name="Percent 4 4 3 3 2" xfId="13566"/>
    <cellStyle name="Percent 4 4 3 3 2 2" xfId="21591"/>
    <cellStyle name="Percent 4 4 3 3 2 2 2" xfId="35616"/>
    <cellStyle name="Percent 4 4 3 3 2 3" xfId="27605"/>
    <cellStyle name="Percent 4 4 3 3 3" xfId="15581"/>
    <cellStyle name="Percent 4 4 3 3 3 2" xfId="23596"/>
    <cellStyle name="Percent 4 4 3 3 3 2 2" xfId="37621"/>
    <cellStyle name="Percent 4 4 3 3 3 3" xfId="29610"/>
    <cellStyle name="Percent 4 4 3 3 4" xfId="17587"/>
    <cellStyle name="Percent 4 4 3 3 4 2" xfId="31612"/>
    <cellStyle name="Percent 4 4 3 3 5" xfId="19589"/>
    <cellStyle name="Percent 4 4 3 3 5 2" xfId="33614"/>
    <cellStyle name="Percent 4 4 3 3 6" xfId="25603"/>
    <cellStyle name="Percent 4 4 3 4" xfId="13563"/>
    <cellStyle name="Percent 4 4 3 4 2" xfId="21588"/>
    <cellStyle name="Percent 4 4 3 4 2 2" xfId="35613"/>
    <cellStyle name="Percent 4 4 3 4 3" xfId="27602"/>
    <cellStyle name="Percent 4 4 3 5" xfId="15578"/>
    <cellStyle name="Percent 4 4 3 5 2" xfId="23593"/>
    <cellStyle name="Percent 4 4 3 5 2 2" xfId="37618"/>
    <cellStyle name="Percent 4 4 3 5 3" xfId="29607"/>
    <cellStyle name="Percent 4 4 3 6" xfId="17584"/>
    <cellStyle name="Percent 4 4 3 6 2" xfId="31609"/>
    <cellStyle name="Percent 4 4 3 7" xfId="19586"/>
    <cellStyle name="Percent 4 4 3 7 2" xfId="33611"/>
    <cellStyle name="Percent 4 4 3 8" xfId="25600"/>
    <cellStyle name="Percent 4 4 4" xfId="9508"/>
    <cellStyle name="Percent 4 4 4 2" xfId="9509"/>
    <cellStyle name="Percent 4 4 4 2 2" xfId="13568"/>
    <cellStyle name="Percent 4 4 4 2 2 2" xfId="21593"/>
    <cellStyle name="Percent 4 4 4 2 2 2 2" xfId="35618"/>
    <cellStyle name="Percent 4 4 4 2 2 3" xfId="27607"/>
    <cellStyle name="Percent 4 4 4 2 3" xfId="15583"/>
    <cellStyle name="Percent 4 4 4 2 3 2" xfId="23598"/>
    <cellStyle name="Percent 4 4 4 2 3 2 2" xfId="37623"/>
    <cellStyle name="Percent 4 4 4 2 3 3" xfId="29612"/>
    <cellStyle name="Percent 4 4 4 2 4" xfId="17589"/>
    <cellStyle name="Percent 4 4 4 2 4 2" xfId="31614"/>
    <cellStyle name="Percent 4 4 4 2 5" xfId="19591"/>
    <cellStyle name="Percent 4 4 4 2 5 2" xfId="33616"/>
    <cellStyle name="Percent 4 4 4 2 6" xfId="25605"/>
    <cellStyle name="Percent 4 4 4 3" xfId="13567"/>
    <cellStyle name="Percent 4 4 4 3 2" xfId="21592"/>
    <cellStyle name="Percent 4 4 4 3 2 2" xfId="35617"/>
    <cellStyle name="Percent 4 4 4 3 3" xfId="27606"/>
    <cellStyle name="Percent 4 4 4 4" xfId="15582"/>
    <cellStyle name="Percent 4 4 4 4 2" xfId="23597"/>
    <cellStyle name="Percent 4 4 4 4 2 2" xfId="37622"/>
    <cellStyle name="Percent 4 4 4 4 3" xfId="29611"/>
    <cellStyle name="Percent 4 4 4 5" xfId="17588"/>
    <cellStyle name="Percent 4 4 4 5 2" xfId="31613"/>
    <cellStyle name="Percent 4 4 4 6" xfId="19590"/>
    <cellStyle name="Percent 4 4 4 6 2" xfId="33615"/>
    <cellStyle name="Percent 4 4 4 7" xfId="25604"/>
    <cellStyle name="Percent 4 4 5" xfId="9510"/>
    <cellStyle name="Percent 4 4 5 2" xfId="9511"/>
    <cellStyle name="Percent 4 4 5 2 2" xfId="13570"/>
    <cellStyle name="Percent 4 4 5 2 2 2" xfId="21595"/>
    <cellStyle name="Percent 4 4 5 2 2 2 2" xfId="35620"/>
    <cellStyle name="Percent 4 4 5 2 2 3" xfId="27609"/>
    <cellStyle name="Percent 4 4 5 2 3" xfId="15585"/>
    <cellStyle name="Percent 4 4 5 2 3 2" xfId="23600"/>
    <cellStyle name="Percent 4 4 5 2 3 2 2" xfId="37625"/>
    <cellStyle name="Percent 4 4 5 2 3 3" xfId="29614"/>
    <cellStyle name="Percent 4 4 5 2 4" xfId="17591"/>
    <cellStyle name="Percent 4 4 5 2 4 2" xfId="31616"/>
    <cellStyle name="Percent 4 4 5 2 5" xfId="19593"/>
    <cellStyle name="Percent 4 4 5 2 5 2" xfId="33618"/>
    <cellStyle name="Percent 4 4 5 2 6" xfId="25607"/>
    <cellStyle name="Percent 4 4 5 3" xfId="13569"/>
    <cellStyle name="Percent 4 4 5 3 2" xfId="21594"/>
    <cellStyle name="Percent 4 4 5 3 2 2" xfId="35619"/>
    <cellStyle name="Percent 4 4 5 3 3" xfId="27608"/>
    <cellStyle name="Percent 4 4 5 4" xfId="15584"/>
    <cellStyle name="Percent 4 4 5 4 2" xfId="23599"/>
    <cellStyle name="Percent 4 4 5 4 2 2" xfId="37624"/>
    <cellStyle name="Percent 4 4 5 4 3" xfId="29613"/>
    <cellStyle name="Percent 4 4 5 5" xfId="17590"/>
    <cellStyle name="Percent 4 4 5 5 2" xfId="31615"/>
    <cellStyle name="Percent 4 4 5 6" xfId="19592"/>
    <cellStyle name="Percent 4 4 5 6 2" xfId="33617"/>
    <cellStyle name="Percent 4 4 5 7" xfId="25606"/>
    <cellStyle name="Percent 4 4 6" xfId="9512"/>
    <cellStyle name="Percent 4 4 6 2" xfId="13571"/>
    <cellStyle name="Percent 4 4 6 2 2" xfId="21596"/>
    <cellStyle name="Percent 4 4 6 2 2 2" xfId="35621"/>
    <cellStyle name="Percent 4 4 6 2 3" xfId="27610"/>
    <cellStyle name="Percent 4 4 6 3" xfId="15586"/>
    <cellStyle name="Percent 4 4 6 3 2" xfId="23601"/>
    <cellStyle name="Percent 4 4 6 3 2 2" xfId="37626"/>
    <cellStyle name="Percent 4 4 6 3 3" xfId="29615"/>
    <cellStyle name="Percent 4 4 6 4" xfId="17592"/>
    <cellStyle name="Percent 4 4 6 4 2" xfId="31617"/>
    <cellStyle name="Percent 4 4 6 5" xfId="19594"/>
    <cellStyle name="Percent 4 4 6 5 2" xfId="33619"/>
    <cellStyle name="Percent 4 4 6 6" xfId="25608"/>
    <cellStyle name="Percent 4 4 7" xfId="13552"/>
    <cellStyle name="Percent 4 4 7 2" xfId="21577"/>
    <cellStyle name="Percent 4 4 7 2 2" xfId="35602"/>
    <cellStyle name="Percent 4 4 7 3" xfId="27591"/>
    <cellStyle name="Percent 4 4 8" xfId="15567"/>
    <cellStyle name="Percent 4 4 8 2" xfId="23582"/>
    <cellStyle name="Percent 4 4 8 2 2" xfId="37607"/>
    <cellStyle name="Percent 4 4 8 3" xfId="29596"/>
    <cellStyle name="Percent 4 4 9" xfId="17573"/>
    <cellStyle name="Percent 4 4 9 2" xfId="31598"/>
    <cellStyle name="Percent 4 5" xfId="9513"/>
    <cellStyle name="Percent 4 5 10" xfId="25609"/>
    <cellStyle name="Percent 4 5 2" xfId="9514"/>
    <cellStyle name="Percent 4 5 2 2" xfId="9515"/>
    <cellStyle name="Percent 4 5 2 2 2" xfId="9516"/>
    <cellStyle name="Percent 4 5 2 2 2 2" xfId="13575"/>
    <cellStyle name="Percent 4 5 2 2 2 2 2" xfId="21600"/>
    <cellStyle name="Percent 4 5 2 2 2 2 2 2" xfId="35625"/>
    <cellStyle name="Percent 4 5 2 2 2 2 3" xfId="27614"/>
    <cellStyle name="Percent 4 5 2 2 2 3" xfId="15590"/>
    <cellStyle name="Percent 4 5 2 2 2 3 2" xfId="23605"/>
    <cellStyle name="Percent 4 5 2 2 2 3 2 2" xfId="37630"/>
    <cellStyle name="Percent 4 5 2 2 2 3 3" xfId="29619"/>
    <cellStyle name="Percent 4 5 2 2 2 4" xfId="17596"/>
    <cellStyle name="Percent 4 5 2 2 2 4 2" xfId="31621"/>
    <cellStyle name="Percent 4 5 2 2 2 5" xfId="19598"/>
    <cellStyle name="Percent 4 5 2 2 2 5 2" xfId="33623"/>
    <cellStyle name="Percent 4 5 2 2 2 6" xfId="25612"/>
    <cellStyle name="Percent 4 5 2 2 3" xfId="13574"/>
    <cellStyle name="Percent 4 5 2 2 3 2" xfId="21599"/>
    <cellStyle name="Percent 4 5 2 2 3 2 2" xfId="35624"/>
    <cellStyle name="Percent 4 5 2 2 3 3" xfId="27613"/>
    <cellStyle name="Percent 4 5 2 2 4" xfId="15589"/>
    <cellStyle name="Percent 4 5 2 2 4 2" xfId="23604"/>
    <cellStyle name="Percent 4 5 2 2 4 2 2" xfId="37629"/>
    <cellStyle name="Percent 4 5 2 2 4 3" xfId="29618"/>
    <cellStyle name="Percent 4 5 2 2 5" xfId="17595"/>
    <cellStyle name="Percent 4 5 2 2 5 2" xfId="31620"/>
    <cellStyle name="Percent 4 5 2 2 6" xfId="19597"/>
    <cellStyle name="Percent 4 5 2 2 6 2" xfId="33622"/>
    <cellStyle name="Percent 4 5 2 2 7" xfId="25611"/>
    <cellStyle name="Percent 4 5 2 3" xfId="9517"/>
    <cellStyle name="Percent 4 5 2 3 2" xfId="13576"/>
    <cellStyle name="Percent 4 5 2 3 2 2" xfId="21601"/>
    <cellStyle name="Percent 4 5 2 3 2 2 2" xfId="35626"/>
    <cellStyle name="Percent 4 5 2 3 2 3" xfId="27615"/>
    <cellStyle name="Percent 4 5 2 3 3" xfId="15591"/>
    <cellStyle name="Percent 4 5 2 3 3 2" xfId="23606"/>
    <cellStyle name="Percent 4 5 2 3 3 2 2" xfId="37631"/>
    <cellStyle name="Percent 4 5 2 3 3 3" xfId="29620"/>
    <cellStyle name="Percent 4 5 2 3 4" xfId="17597"/>
    <cellStyle name="Percent 4 5 2 3 4 2" xfId="31622"/>
    <cellStyle name="Percent 4 5 2 3 5" xfId="19599"/>
    <cellStyle name="Percent 4 5 2 3 5 2" xfId="33624"/>
    <cellStyle name="Percent 4 5 2 3 6" xfId="25613"/>
    <cellStyle name="Percent 4 5 2 4" xfId="13573"/>
    <cellStyle name="Percent 4 5 2 4 2" xfId="21598"/>
    <cellStyle name="Percent 4 5 2 4 2 2" xfId="35623"/>
    <cellStyle name="Percent 4 5 2 4 3" xfId="27612"/>
    <cellStyle name="Percent 4 5 2 5" xfId="15588"/>
    <cellStyle name="Percent 4 5 2 5 2" xfId="23603"/>
    <cellStyle name="Percent 4 5 2 5 2 2" xfId="37628"/>
    <cellStyle name="Percent 4 5 2 5 3" xfId="29617"/>
    <cellStyle name="Percent 4 5 2 6" xfId="17594"/>
    <cellStyle name="Percent 4 5 2 6 2" xfId="31619"/>
    <cellStyle name="Percent 4 5 2 7" xfId="19596"/>
    <cellStyle name="Percent 4 5 2 7 2" xfId="33621"/>
    <cellStyle name="Percent 4 5 2 8" xfId="25610"/>
    <cellStyle name="Percent 4 5 3" xfId="9518"/>
    <cellStyle name="Percent 4 5 3 2" xfId="9519"/>
    <cellStyle name="Percent 4 5 3 2 2" xfId="13578"/>
    <cellStyle name="Percent 4 5 3 2 2 2" xfId="21603"/>
    <cellStyle name="Percent 4 5 3 2 2 2 2" xfId="35628"/>
    <cellStyle name="Percent 4 5 3 2 2 3" xfId="27617"/>
    <cellStyle name="Percent 4 5 3 2 3" xfId="15593"/>
    <cellStyle name="Percent 4 5 3 2 3 2" xfId="23608"/>
    <cellStyle name="Percent 4 5 3 2 3 2 2" xfId="37633"/>
    <cellStyle name="Percent 4 5 3 2 3 3" xfId="29622"/>
    <cellStyle name="Percent 4 5 3 2 4" xfId="17599"/>
    <cellStyle name="Percent 4 5 3 2 4 2" xfId="31624"/>
    <cellStyle name="Percent 4 5 3 2 5" xfId="19601"/>
    <cellStyle name="Percent 4 5 3 2 5 2" xfId="33626"/>
    <cellStyle name="Percent 4 5 3 2 6" xfId="25615"/>
    <cellStyle name="Percent 4 5 3 3" xfId="13577"/>
    <cellStyle name="Percent 4 5 3 3 2" xfId="21602"/>
    <cellStyle name="Percent 4 5 3 3 2 2" xfId="35627"/>
    <cellStyle name="Percent 4 5 3 3 3" xfId="27616"/>
    <cellStyle name="Percent 4 5 3 4" xfId="15592"/>
    <cellStyle name="Percent 4 5 3 4 2" xfId="23607"/>
    <cellStyle name="Percent 4 5 3 4 2 2" xfId="37632"/>
    <cellStyle name="Percent 4 5 3 4 3" xfId="29621"/>
    <cellStyle name="Percent 4 5 3 5" xfId="17598"/>
    <cellStyle name="Percent 4 5 3 5 2" xfId="31623"/>
    <cellStyle name="Percent 4 5 3 6" xfId="19600"/>
    <cellStyle name="Percent 4 5 3 6 2" xfId="33625"/>
    <cellStyle name="Percent 4 5 3 7" xfId="25614"/>
    <cellStyle name="Percent 4 5 4" xfId="9520"/>
    <cellStyle name="Percent 4 5 4 2" xfId="9521"/>
    <cellStyle name="Percent 4 5 4 2 2" xfId="13580"/>
    <cellStyle name="Percent 4 5 4 2 2 2" xfId="21605"/>
    <cellStyle name="Percent 4 5 4 2 2 2 2" xfId="35630"/>
    <cellStyle name="Percent 4 5 4 2 2 3" xfId="27619"/>
    <cellStyle name="Percent 4 5 4 2 3" xfId="15595"/>
    <cellStyle name="Percent 4 5 4 2 3 2" xfId="23610"/>
    <cellStyle name="Percent 4 5 4 2 3 2 2" xfId="37635"/>
    <cellStyle name="Percent 4 5 4 2 3 3" xfId="29624"/>
    <cellStyle name="Percent 4 5 4 2 4" xfId="17601"/>
    <cellStyle name="Percent 4 5 4 2 4 2" xfId="31626"/>
    <cellStyle name="Percent 4 5 4 2 5" xfId="19603"/>
    <cellStyle name="Percent 4 5 4 2 5 2" xfId="33628"/>
    <cellStyle name="Percent 4 5 4 2 6" xfId="25617"/>
    <cellStyle name="Percent 4 5 4 3" xfId="13579"/>
    <cellStyle name="Percent 4 5 4 3 2" xfId="21604"/>
    <cellStyle name="Percent 4 5 4 3 2 2" xfId="35629"/>
    <cellStyle name="Percent 4 5 4 3 3" xfId="27618"/>
    <cellStyle name="Percent 4 5 4 4" xfId="15594"/>
    <cellStyle name="Percent 4 5 4 4 2" xfId="23609"/>
    <cellStyle name="Percent 4 5 4 4 2 2" xfId="37634"/>
    <cellStyle name="Percent 4 5 4 4 3" xfId="29623"/>
    <cellStyle name="Percent 4 5 4 5" xfId="17600"/>
    <cellStyle name="Percent 4 5 4 5 2" xfId="31625"/>
    <cellStyle name="Percent 4 5 4 6" xfId="19602"/>
    <cellStyle name="Percent 4 5 4 6 2" xfId="33627"/>
    <cellStyle name="Percent 4 5 4 7" xfId="25616"/>
    <cellStyle name="Percent 4 5 5" xfId="9522"/>
    <cellStyle name="Percent 4 5 5 2" xfId="13581"/>
    <cellStyle name="Percent 4 5 5 2 2" xfId="21606"/>
    <cellStyle name="Percent 4 5 5 2 2 2" xfId="35631"/>
    <cellStyle name="Percent 4 5 5 2 3" xfId="27620"/>
    <cellStyle name="Percent 4 5 5 3" xfId="15596"/>
    <cellStyle name="Percent 4 5 5 3 2" xfId="23611"/>
    <cellStyle name="Percent 4 5 5 3 2 2" xfId="37636"/>
    <cellStyle name="Percent 4 5 5 3 3" xfId="29625"/>
    <cellStyle name="Percent 4 5 5 4" xfId="17602"/>
    <cellStyle name="Percent 4 5 5 4 2" xfId="31627"/>
    <cellStyle name="Percent 4 5 5 5" xfId="19604"/>
    <cellStyle name="Percent 4 5 5 5 2" xfId="33629"/>
    <cellStyle name="Percent 4 5 5 6" xfId="25618"/>
    <cellStyle name="Percent 4 5 6" xfId="13572"/>
    <cellStyle name="Percent 4 5 6 2" xfId="21597"/>
    <cellStyle name="Percent 4 5 6 2 2" xfId="35622"/>
    <cellStyle name="Percent 4 5 6 3" xfId="27611"/>
    <cellStyle name="Percent 4 5 7" xfId="15587"/>
    <cellStyle name="Percent 4 5 7 2" xfId="23602"/>
    <cellStyle name="Percent 4 5 7 2 2" xfId="37627"/>
    <cellStyle name="Percent 4 5 7 3" xfId="29616"/>
    <cellStyle name="Percent 4 5 8" xfId="17593"/>
    <cellStyle name="Percent 4 5 8 2" xfId="31618"/>
    <cellStyle name="Percent 4 5 9" xfId="19595"/>
    <cellStyle name="Percent 4 5 9 2" xfId="33620"/>
    <cellStyle name="Percent 4 6" xfId="9523"/>
    <cellStyle name="Percent 4 6 2" xfId="9524"/>
    <cellStyle name="Percent 4 6 2 2" xfId="9525"/>
    <cellStyle name="Percent 4 6 2 2 2" xfId="13584"/>
    <cellStyle name="Percent 4 6 2 2 2 2" xfId="21609"/>
    <cellStyle name="Percent 4 6 2 2 2 2 2" xfId="35634"/>
    <cellStyle name="Percent 4 6 2 2 2 3" xfId="27623"/>
    <cellStyle name="Percent 4 6 2 2 3" xfId="15599"/>
    <cellStyle name="Percent 4 6 2 2 3 2" xfId="23614"/>
    <cellStyle name="Percent 4 6 2 2 3 2 2" xfId="37639"/>
    <cellStyle name="Percent 4 6 2 2 3 3" xfId="29628"/>
    <cellStyle name="Percent 4 6 2 2 4" xfId="17605"/>
    <cellStyle name="Percent 4 6 2 2 4 2" xfId="31630"/>
    <cellStyle name="Percent 4 6 2 2 5" xfId="19607"/>
    <cellStyle name="Percent 4 6 2 2 5 2" xfId="33632"/>
    <cellStyle name="Percent 4 6 2 2 6" xfId="25621"/>
    <cellStyle name="Percent 4 6 2 3" xfId="13583"/>
    <cellStyle name="Percent 4 6 2 3 2" xfId="21608"/>
    <cellStyle name="Percent 4 6 2 3 2 2" xfId="35633"/>
    <cellStyle name="Percent 4 6 2 3 3" xfId="27622"/>
    <cellStyle name="Percent 4 6 2 4" xfId="15598"/>
    <cellStyle name="Percent 4 6 2 4 2" xfId="23613"/>
    <cellStyle name="Percent 4 6 2 4 2 2" xfId="37638"/>
    <cellStyle name="Percent 4 6 2 4 3" xfId="29627"/>
    <cellStyle name="Percent 4 6 2 5" xfId="17604"/>
    <cellStyle name="Percent 4 6 2 5 2" xfId="31629"/>
    <cellStyle name="Percent 4 6 2 6" xfId="19606"/>
    <cellStyle name="Percent 4 6 2 6 2" xfId="33631"/>
    <cellStyle name="Percent 4 6 2 7" xfId="25620"/>
    <cellStyle name="Percent 4 6 3" xfId="9526"/>
    <cellStyle name="Percent 4 6 3 2" xfId="13585"/>
    <cellStyle name="Percent 4 6 3 2 2" xfId="21610"/>
    <cellStyle name="Percent 4 6 3 2 2 2" xfId="35635"/>
    <cellStyle name="Percent 4 6 3 2 3" xfId="27624"/>
    <cellStyle name="Percent 4 6 3 3" xfId="15600"/>
    <cellStyle name="Percent 4 6 3 3 2" xfId="23615"/>
    <cellStyle name="Percent 4 6 3 3 2 2" xfId="37640"/>
    <cellStyle name="Percent 4 6 3 3 3" xfId="29629"/>
    <cellStyle name="Percent 4 6 3 4" xfId="17606"/>
    <cellStyle name="Percent 4 6 3 4 2" xfId="31631"/>
    <cellStyle name="Percent 4 6 3 5" xfId="19608"/>
    <cellStyle name="Percent 4 6 3 5 2" xfId="33633"/>
    <cellStyle name="Percent 4 6 3 6" xfId="25622"/>
    <cellStyle name="Percent 4 6 4" xfId="13582"/>
    <cellStyle name="Percent 4 6 4 2" xfId="21607"/>
    <cellStyle name="Percent 4 6 4 2 2" xfId="35632"/>
    <cellStyle name="Percent 4 6 4 3" xfId="27621"/>
    <cellStyle name="Percent 4 6 5" xfId="15597"/>
    <cellStyle name="Percent 4 6 5 2" xfId="23612"/>
    <cellStyle name="Percent 4 6 5 2 2" xfId="37637"/>
    <cellStyle name="Percent 4 6 5 3" xfId="29626"/>
    <cellStyle name="Percent 4 6 6" xfId="17603"/>
    <cellStyle name="Percent 4 6 6 2" xfId="31628"/>
    <cellStyle name="Percent 4 6 7" xfId="19605"/>
    <cellStyle name="Percent 4 6 7 2" xfId="33630"/>
    <cellStyle name="Percent 4 6 8" xfId="25619"/>
    <cellStyle name="Percent 4 7" xfId="9527"/>
    <cellStyle name="Percent 4 7 2" xfId="9528"/>
    <cellStyle name="Percent 4 7 2 2" xfId="13587"/>
    <cellStyle name="Percent 4 7 2 2 2" xfId="21612"/>
    <cellStyle name="Percent 4 7 2 2 2 2" xfId="35637"/>
    <cellStyle name="Percent 4 7 2 2 3" xfId="27626"/>
    <cellStyle name="Percent 4 7 2 3" xfId="15602"/>
    <cellStyle name="Percent 4 7 2 3 2" xfId="23617"/>
    <cellStyle name="Percent 4 7 2 3 2 2" xfId="37642"/>
    <cellStyle name="Percent 4 7 2 3 3" xfId="29631"/>
    <cellStyle name="Percent 4 7 2 4" xfId="17608"/>
    <cellStyle name="Percent 4 7 2 4 2" xfId="31633"/>
    <cellStyle name="Percent 4 7 2 5" xfId="19610"/>
    <cellStyle name="Percent 4 7 2 5 2" xfId="33635"/>
    <cellStyle name="Percent 4 7 2 6" xfId="25624"/>
    <cellStyle name="Percent 4 7 3" xfId="13586"/>
    <cellStyle name="Percent 4 7 3 2" xfId="21611"/>
    <cellStyle name="Percent 4 7 3 2 2" xfId="35636"/>
    <cellStyle name="Percent 4 7 3 3" xfId="27625"/>
    <cellStyle name="Percent 4 7 4" xfId="15601"/>
    <cellStyle name="Percent 4 7 4 2" xfId="23616"/>
    <cellStyle name="Percent 4 7 4 2 2" xfId="37641"/>
    <cellStyle name="Percent 4 7 4 3" xfId="29630"/>
    <cellStyle name="Percent 4 7 5" xfId="17607"/>
    <cellStyle name="Percent 4 7 5 2" xfId="31632"/>
    <cellStyle name="Percent 4 7 6" xfId="19609"/>
    <cellStyle name="Percent 4 7 6 2" xfId="33634"/>
    <cellStyle name="Percent 4 7 7" xfId="25623"/>
    <cellStyle name="Percent 4 8" xfId="9529"/>
    <cellStyle name="Percent 4 8 2" xfId="9530"/>
    <cellStyle name="Percent 4 8 2 2" xfId="13589"/>
    <cellStyle name="Percent 4 8 2 2 2" xfId="21614"/>
    <cellStyle name="Percent 4 8 2 2 2 2" xfId="35639"/>
    <cellStyle name="Percent 4 8 2 2 3" xfId="27628"/>
    <cellStyle name="Percent 4 8 2 3" xfId="15604"/>
    <cellStyle name="Percent 4 8 2 3 2" xfId="23619"/>
    <cellStyle name="Percent 4 8 2 3 2 2" xfId="37644"/>
    <cellStyle name="Percent 4 8 2 3 3" xfId="29633"/>
    <cellStyle name="Percent 4 8 2 4" xfId="17610"/>
    <cellStyle name="Percent 4 8 2 4 2" xfId="31635"/>
    <cellStyle name="Percent 4 8 2 5" xfId="19612"/>
    <cellStyle name="Percent 4 8 2 5 2" xfId="33637"/>
    <cellStyle name="Percent 4 8 2 6" xfId="25626"/>
    <cellStyle name="Percent 4 8 3" xfId="13588"/>
    <cellStyle name="Percent 4 8 3 2" xfId="21613"/>
    <cellStyle name="Percent 4 8 3 2 2" xfId="35638"/>
    <cellStyle name="Percent 4 8 3 3" xfId="27627"/>
    <cellStyle name="Percent 4 8 4" xfId="15603"/>
    <cellStyle name="Percent 4 8 4 2" xfId="23618"/>
    <cellStyle name="Percent 4 8 4 2 2" xfId="37643"/>
    <cellStyle name="Percent 4 8 4 3" xfId="29632"/>
    <cellStyle name="Percent 4 8 5" xfId="17609"/>
    <cellStyle name="Percent 4 8 5 2" xfId="31634"/>
    <cellStyle name="Percent 4 8 6" xfId="19611"/>
    <cellStyle name="Percent 4 8 6 2" xfId="33636"/>
    <cellStyle name="Percent 4 8 7" xfId="25625"/>
    <cellStyle name="Percent 4 9" xfId="9531"/>
    <cellStyle name="Percent 4 9 2" xfId="13590"/>
    <cellStyle name="Percent 4 9 2 2" xfId="21615"/>
    <cellStyle name="Percent 4 9 2 2 2" xfId="35640"/>
    <cellStyle name="Percent 4 9 2 3" xfId="27629"/>
    <cellStyle name="Percent 4 9 3" xfId="15605"/>
    <cellStyle name="Percent 4 9 3 2" xfId="23620"/>
    <cellStyle name="Percent 4 9 3 2 2" xfId="37645"/>
    <cellStyle name="Percent 4 9 3 3" xfId="29634"/>
    <cellStyle name="Percent 4 9 4" xfId="17611"/>
    <cellStyle name="Percent 4 9 4 2" xfId="31636"/>
    <cellStyle name="Percent 4 9 5" xfId="19613"/>
    <cellStyle name="Percent 4 9 5 2" xfId="33638"/>
    <cellStyle name="Percent 4 9 6" xfId="25627"/>
    <cellStyle name="Percent 5" xfId="684"/>
    <cellStyle name="Percent 6" xfId="9532"/>
    <cellStyle name="Percent 6 10" xfId="17612"/>
    <cellStyle name="Percent 6 10 2" xfId="31637"/>
    <cellStyle name="Percent 6 11" xfId="19614"/>
    <cellStyle name="Percent 6 11 2" xfId="33639"/>
    <cellStyle name="Percent 6 12" xfId="25628"/>
    <cellStyle name="Percent 6 2" xfId="9533"/>
    <cellStyle name="Percent 6 2 10" xfId="19615"/>
    <cellStyle name="Percent 6 2 10 2" xfId="33640"/>
    <cellStyle name="Percent 6 2 11" xfId="25629"/>
    <cellStyle name="Percent 6 2 2" xfId="9534"/>
    <cellStyle name="Percent 6 2 2 10" xfId="25630"/>
    <cellStyle name="Percent 6 2 2 2" xfId="9535"/>
    <cellStyle name="Percent 6 2 2 2 2" xfId="9536"/>
    <cellStyle name="Percent 6 2 2 2 2 2" xfId="9537"/>
    <cellStyle name="Percent 6 2 2 2 2 2 2" xfId="13596"/>
    <cellStyle name="Percent 6 2 2 2 2 2 2 2" xfId="21621"/>
    <cellStyle name="Percent 6 2 2 2 2 2 2 2 2" xfId="35646"/>
    <cellStyle name="Percent 6 2 2 2 2 2 2 3" xfId="27635"/>
    <cellStyle name="Percent 6 2 2 2 2 2 3" xfId="15611"/>
    <cellStyle name="Percent 6 2 2 2 2 2 3 2" xfId="23626"/>
    <cellStyle name="Percent 6 2 2 2 2 2 3 2 2" xfId="37651"/>
    <cellStyle name="Percent 6 2 2 2 2 2 3 3" xfId="29640"/>
    <cellStyle name="Percent 6 2 2 2 2 2 4" xfId="17617"/>
    <cellStyle name="Percent 6 2 2 2 2 2 4 2" xfId="31642"/>
    <cellStyle name="Percent 6 2 2 2 2 2 5" xfId="19619"/>
    <cellStyle name="Percent 6 2 2 2 2 2 5 2" xfId="33644"/>
    <cellStyle name="Percent 6 2 2 2 2 2 6" xfId="25633"/>
    <cellStyle name="Percent 6 2 2 2 2 3" xfId="13595"/>
    <cellStyle name="Percent 6 2 2 2 2 3 2" xfId="21620"/>
    <cellStyle name="Percent 6 2 2 2 2 3 2 2" xfId="35645"/>
    <cellStyle name="Percent 6 2 2 2 2 3 3" xfId="27634"/>
    <cellStyle name="Percent 6 2 2 2 2 4" xfId="15610"/>
    <cellStyle name="Percent 6 2 2 2 2 4 2" xfId="23625"/>
    <cellStyle name="Percent 6 2 2 2 2 4 2 2" xfId="37650"/>
    <cellStyle name="Percent 6 2 2 2 2 4 3" xfId="29639"/>
    <cellStyle name="Percent 6 2 2 2 2 5" xfId="17616"/>
    <cellStyle name="Percent 6 2 2 2 2 5 2" xfId="31641"/>
    <cellStyle name="Percent 6 2 2 2 2 6" xfId="19618"/>
    <cellStyle name="Percent 6 2 2 2 2 6 2" xfId="33643"/>
    <cellStyle name="Percent 6 2 2 2 2 7" xfId="25632"/>
    <cellStyle name="Percent 6 2 2 2 3" xfId="9538"/>
    <cellStyle name="Percent 6 2 2 2 3 2" xfId="13597"/>
    <cellStyle name="Percent 6 2 2 2 3 2 2" xfId="21622"/>
    <cellStyle name="Percent 6 2 2 2 3 2 2 2" xfId="35647"/>
    <cellStyle name="Percent 6 2 2 2 3 2 3" xfId="27636"/>
    <cellStyle name="Percent 6 2 2 2 3 3" xfId="15612"/>
    <cellStyle name="Percent 6 2 2 2 3 3 2" xfId="23627"/>
    <cellStyle name="Percent 6 2 2 2 3 3 2 2" xfId="37652"/>
    <cellStyle name="Percent 6 2 2 2 3 3 3" xfId="29641"/>
    <cellStyle name="Percent 6 2 2 2 3 4" xfId="17618"/>
    <cellStyle name="Percent 6 2 2 2 3 4 2" xfId="31643"/>
    <cellStyle name="Percent 6 2 2 2 3 5" xfId="19620"/>
    <cellStyle name="Percent 6 2 2 2 3 5 2" xfId="33645"/>
    <cellStyle name="Percent 6 2 2 2 3 6" xfId="25634"/>
    <cellStyle name="Percent 6 2 2 2 4" xfId="13594"/>
    <cellStyle name="Percent 6 2 2 2 4 2" xfId="21619"/>
    <cellStyle name="Percent 6 2 2 2 4 2 2" xfId="35644"/>
    <cellStyle name="Percent 6 2 2 2 4 3" xfId="27633"/>
    <cellStyle name="Percent 6 2 2 2 5" xfId="15609"/>
    <cellStyle name="Percent 6 2 2 2 5 2" xfId="23624"/>
    <cellStyle name="Percent 6 2 2 2 5 2 2" xfId="37649"/>
    <cellStyle name="Percent 6 2 2 2 5 3" xfId="29638"/>
    <cellStyle name="Percent 6 2 2 2 6" xfId="17615"/>
    <cellStyle name="Percent 6 2 2 2 6 2" xfId="31640"/>
    <cellStyle name="Percent 6 2 2 2 7" xfId="19617"/>
    <cellStyle name="Percent 6 2 2 2 7 2" xfId="33642"/>
    <cellStyle name="Percent 6 2 2 2 8" xfId="25631"/>
    <cellStyle name="Percent 6 2 2 3" xfId="9539"/>
    <cellStyle name="Percent 6 2 2 3 2" xfId="9540"/>
    <cellStyle name="Percent 6 2 2 3 2 2" xfId="13599"/>
    <cellStyle name="Percent 6 2 2 3 2 2 2" xfId="21624"/>
    <cellStyle name="Percent 6 2 2 3 2 2 2 2" xfId="35649"/>
    <cellStyle name="Percent 6 2 2 3 2 2 3" xfId="27638"/>
    <cellStyle name="Percent 6 2 2 3 2 3" xfId="15614"/>
    <cellStyle name="Percent 6 2 2 3 2 3 2" xfId="23629"/>
    <cellStyle name="Percent 6 2 2 3 2 3 2 2" xfId="37654"/>
    <cellStyle name="Percent 6 2 2 3 2 3 3" xfId="29643"/>
    <cellStyle name="Percent 6 2 2 3 2 4" xfId="17620"/>
    <cellStyle name="Percent 6 2 2 3 2 4 2" xfId="31645"/>
    <cellStyle name="Percent 6 2 2 3 2 5" xfId="19622"/>
    <cellStyle name="Percent 6 2 2 3 2 5 2" xfId="33647"/>
    <cellStyle name="Percent 6 2 2 3 2 6" xfId="25636"/>
    <cellStyle name="Percent 6 2 2 3 3" xfId="13598"/>
    <cellStyle name="Percent 6 2 2 3 3 2" xfId="21623"/>
    <cellStyle name="Percent 6 2 2 3 3 2 2" xfId="35648"/>
    <cellStyle name="Percent 6 2 2 3 3 3" xfId="27637"/>
    <cellStyle name="Percent 6 2 2 3 4" xfId="15613"/>
    <cellStyle name="Percent 6 2 2 3 4 2" xfId="23628"/>
    <cellStyle name="Percent 6 2 2 3 4 2 2" xfId="37653"/>
    <cellStyle name="Percent 6 2 2 3 4 3" xfId="29642"/>
    <cellStyle name="Percent 6 2 2 3 5" xfId="17619"/>
    <cellStyle name="Percent 6 2 2 3 5 2" xfId="31644"/>
    <cellStyle name="Percent 6 2 2 3 6" xfId="19621"/>
    <cellStyle name="Percent 6 2 2 3 6 2" xfId="33646"/>
    <cellStyle name="Percent 6 2 2 3 7" xfId="25635"/>
    <cellStyle name="Percent 6 2 2 4" xfId="9541"/>
    <cellStyle name="Percent 6 2 2 4 2" xfId="9542"/>
    <cellStyle name="Percent 6 2 2 4 2 2" xfId="13601"/>
    <cellStyle name="Percent 6 2 2 4 2 2 2" xfId="21626"/>
    <cellStyle name="Percent 6 2 2 4 2 2 2 2" xfId="35651"/>
    <cellStyle name="Percent 6 2 2 4 2 2 3" xfId="27640"/>
    <cellStyle name="Percent 6 2 2 4 2 3" xfId="15616"/>
    <cellStyle name="Percent 6 2 2 4 2 3 2" xfId="23631"/>
    <cellStyle name="Percent 6 2 2 4 2 3 2 2" xfId="37656"/>
    <cellStyle name="Percent 6 2 2 4 2 3 3" xfId="29645"/>
    <cellStyle name="Percent 6 2 2 4 2 4" xfId="17622"/>
    <cellStyle name="Percent 6 2 2 4 2 4 2" xfId="31647"/>
    <cellStyle name="Percent 6 2 2 4 2 5" xfId="19624"/>
    <cellStyle name="Percent 6 2 2 4 2 5 2" xfId="33649"/>
    <cellStyle name="Percent 6 2 2 4 2 6" xfId="25638"/>
    <cellStyle name="Percent 6 2 2 4 3" xfId="13600"/>
    <cellStyle name="Percent 6 2 2 4 3 2" xfId="21625"/>
    <cellStyle name="Percent 6 2 2 4 3 2 2" xfId="35650"/>
    <cellStyle name="Percent 6 2 2 4 3 3" xfId="27639"/>
    <cellStyle name="Percent 6 2 2 4 4" xfId="15615"/>
    <cellStyle name="Percent 6 2 2 4 4 2" xfId="23630"/>
    <cellStyle name="Percent 6 2 2 4 4 2 2" xfId="37655"/>
    <cellStyle name="Percent 6 2 2 4 4 3" xfId="29644"/>
    <cellStyle name="Percent 6 2 2 4 5" xfId="17621"/>
    <cellStyle name="Percent 6 2 2 4 5 2" xfId="31646"/>
    <cellStyle name="Percent 6 2 2 4 6" xfId="19623"/>
    <cellStyle name="Percent 6 2 2 4 6 2" xfId="33648"/>
    <cellStyle name="Percent 6 2 2 4 7" xfId="25637"/>
    <cellStyle name="Percent 6 2 2 5" xfId="9543"/>
    <cellStyle name="Percent 6 2 2 5 2" xfId="13602"/>
    <cellStyle name="Percent 6 2 2 5 2 2" xfId="21627"/>
    <cellStyle name="Percent 6 2 2 5 2 2 2" xfId="35652"/>
    <cellStyle name="Percent 6 2 2 5 2 3" xfId="27641"/>
    <cellStyle name="Percent 6 2 2 5 3" xfId="15617"/>
    <cellStyle name="Percent 6 2 2 5 3 2" xfId="23632"/>
    <cellStyle name="Percent 6 2 2 5 3 2 2" xfId="37657"/>
    <cellStyle name="Percent 6 2 2 5 3 3" xfId="29646"/>
    <cellStyle name="Percent 6 2 2 5 4" xfId="17623"/>
    <cellStyle name="Percent 6 2 2 5 4 2" xfId="31648"/>
    <cellStyle name="Percent 6 2 2 5 5" xfId="19625"/>
    <cellStyle name="Percent 6 2 2 5 5 2" xfId="33650"/>
    <cellStyle name="Percent 6 2 2 5 6" xfId="25639"/>
    <cellStyle name="Percent 6 2 2 6" xfId="13593"/>
    <cellStyle name="Percent 6 2 2 6 2" xfId="21618"/>
    <cellStyle name="Percent 6 2 2 6 2 2" xfId="35643"/>
    <cellStyle name="Percent 6 2 2 6 3" xfId="27632"/>
    <cellStyle name="Percent 6 2 2 7" xfId="15608"/>
    <cellStyle name="Percent 6 2 2 7 2" xfId="23623"/>
    <cellStyle name="Percent 6 2 2 7 2 2" xfId="37648"/>
    <cellStyle name="Percent 6 2 2 7 3" xfId="29637"/>
    <cellStyle name="Percent 6 2 2 8" xfId="17614"/>
    <cellStyle name="Percent 6 2 2 8 2" xfId="31639"/>
    <cellStyle name="Percent 6 2 2 9" xfId="19616"/>
    <cellStyle name="Percent 6 2 2 9 2" xfId="33641"/>
    <cellStyle name="Percent 6 2 3" xfId="9544"/>
    <cellStyle name="Percent 6 2 3 2" xfId="9545"/>
    <cellStyle name="Percent 6 2 3 2 2" xfId="9546"/>
    <cellStyle name="Percent 6 2 3 2 2 2" xfId="13605"/>
    <cellStyle name="Percent 6 2 3 2 2 2 2" xfId="21630"/>
    <cellStyle name="Percent 6 2 3 2 2 2 2 2" xfId="35655"/>
    <cellStyle name="Percent 6 2 3 2 2 2 3" xfId="27644"/>
    <cellStyle name="Percent 6 2 3 2 2 3" xfId="15620"/>
    <cellStyle name="Percent 6 2 3 2 2 3 2" xfId="23635"/>
    <cellStyle name="Percent 6 2 3 2 2 3 2 2" xfId="37660"/>
    <cellStyle name="Percent 6 2 3 2 2 3 3" xfId="29649"/>
    <cellStyle name="Percent 6 2 3 2 2 4" xfId="17626"/>
    <cellStyle name="Percent 6 2 3 2 2 4 2" xfId="31651"/>
    <cellStyle name="Percent 6 2 3 2 2 5" xfId="19628"/>
    <cellStyle name="Percent 6 2 3 2 2 5 2" xfId="33653"/>
    <cellStyle name="Percent 6 2 3 2 2 6" xfId="25642"/>
    <cellStyle name="Percent 6 2 3 2 3" xfId="13604"/>
    <cellStyle name="Percent 6 2 3 2 3 2" xfId="21629"/>
    <cellStyle name="Percent 6 2 3 2 3 2 2" xfId="35654"/>
    <cellStyle name="Percent 6 2 3 2 3 3" xfId="27643"/>
    <cellStyle name="Percent 6 2 3 2 4" xfId="15619"/>
    <cellStyle name="Percent 6 2 3 2 4 2" xfId="23634"/>
    <cellStyle name="Percent 6 2 3 2 4 2 2" xfId="37659"/>
    <cellStyle name="Percent 6 2 3 2 4 3" xfId="29648"/>
    <cellStyle name="Percent 6 2 3 2 5" xfId="17625"/>
    <cellStyle name="Percent 6 2 3 2 5 2" xfId="31650"/>
    <cellStyle name="Percent 6 2 3 2 6" xfId="19627"/>
    <cellStyle name="Percent 6 2 3 2 6 2" xfId="33652"/>
    <cellStyle name="Percent 6 2 3 2 7" xfId="25641"/>
    <cellStyle name="Percent 6 2 3 3" xfId="9547"/>
    <cellStyle name="Percent 6 2 3 3 2" xfId="13606"/>
    <cellStyle name="Percent 6 2 3 3 2 2" xfId="21631"/>
    <cellStyle name="Percent 6 2 3 3 2 2 2" xfId="35656"/>
    <cellStyle name="Percent 6 2 3 3 2 3" xfId="27645"/>
    <cellStyle name="Percent 6 2 3 3 3" xfId="15621"/>
    <cellStyle name="Percent 6 2 3 3 3 2" xfId="23636"/>
    <cellStyle name="Percent 6 2 3 3 3 2 2" xfId="37661"/>
    <cellStyle name="Percent 6 2 3 3 3 3" xfId="29650"/>
    <cellStyle name="Percent 6 2 3 3 4" xfId="17627"/>
    <cellStyle name="Percent 6 2 3 3 4 2" xfId="31652"/>
    <cellStyle name="Percent 6 2 3 3 5" xfId="19629"/>
    <cellStyle name="Percent 6 2 3 3 5 2" xfId="33654"/>
    <cellStyle name="Percent 6 2 3 3 6" xfId="25643"/>
    <cellStyle name="Percent 6 2 3 4" xfId="13603"/>
    <cellStyle name="Percent 6 2 3 4 2" xfId="21628"/>
    <cellStyle name="Percent 6 2 3 4 2 2" xfId="35653"/>
    <cellStyle name="Percent 6 2 3 4 3" xfId="27642"/>
    <cellStyle name="Percent 6 2 3 5" xfId="15618"/>
    <cellStyle name="Percent 6 2 3 5 2" xfId="23633"/>
    <cellStyle name="Percent 6 2 3 5 2 2" xfId="37658"/>
    <cellStyle name="Percent 6 2 3 5 3" xfId="29647"/>
    <cellStyle name="Percent 6 2 3 6" xfId="17624"/>
    <cellStyle name="Percent 6 2 3 6 2" xfId="31649"/>
    <cellStyle name="Percent 6 2 3 7" xfId="19626"/>
    <cellStyle name="Percent 6 2 3 7 2" xfId="33651"/>
    <cellStyle name="Percent 6 2 3 8" xfId="25640"/>
    <cellStyle name="Percent 6 2 4" xfId="9548"/>
    <cellStyle name="Percent 6 2 4 2" xfId="9549"/>
    <cellStyle name="Percent 6 2 4 2 2" xfId="13608"/>
    <cellStyle name="Percent 6 2 4 2 2 2" xfId="21633"/>
    <cellStyle name="Percent 6 2 4 2 2 2 2" xfId="35658"/>
    <cellStyle name="Percent 6 2 4 2 2 3" xfId="27647"/>
    <cellStyle name="Percent 6 2 4 2 3" xfId="15623"/>
    <cellStyle name="Percent 6 2 4 2 3 2" xfId="23638"/>
    <cellStyle name="Percent 6 2 4 2 3 2 2" xfId="37663"/>
    <cellStyle name="Percent 6 2 4 2 3 3" xfId="29652"/>
    <cellStyle name="Percent 6 2 4 2 4" xfId="17629"/>
    <cellStyle name="Percent 6 2 4 2 4 2" xfId="31654"/>
    <cellStyle name="Percent 6 2 4 2 5" xfId="19631"/>
    <cellStyle name="Percent 6 2 4 2 5 2" xfId="33656"/>
    <cellStyle name="Percent 6 2 4 2 6" xfId="25645"/>
    <cellStyle name="Percent 6 2 4 3" xfId="13607"/>
    <cellStyle name="Percent 6 2 4 3 2" xfId="21632"/>
    <cellStyle name="Percent 6 2 4 3 2 2" xfId="35657"/>
    <cellStyle name="Percent 6 2 4 3 3" xfId="27646"/>
    <cellStyle name="Percent 6 2 4 4" xfId="15622"/>
    <cellStyle name="Percent 6 2 4 4 2" xfId="23637"/>
    <cellStyle name="Percent 6 2 4 4 2 2" xfId="37662"/>
    <cellStyle name="Percent 6 2 4 4 3" xfId="29651"/>
    <cellStyle name="Percent 6 2 4 5" xfId="17628"/>
    <cellStyle name="Percent 6 2 4 5 2" xfId="31653"/>
    <cellStyle name="Percent 6 2 4 6" xfId="19630"/>
    <cellStyle name="Percent 6 2 4 6 2" xfId="33655"/>
    <cellStyle name="Percent 6 2 4 7" xfId="25644"/>
    <cellStyle name="Percent 6 2 5" xfId="9550"/>
    <cellStyle name="Percent 6 2 5 2" xfId="9551"/>
    <cellStyle name="Percent 6 2 5 2 2" xfId="13610"/>
    <cellStyle name="Percent 6 2 5 2 2 2" xfId="21635"/>
    <cellStyle name="Percent 6 2 5 2 2 2 2" xfId="35660"/>
    <cellStyle name="Percent 6 2 5 2 2 3" xfId="27649"/>
    <cellStyle name="Percent 6 2 5 2 3" xfId="15625"/>
    <cellStyle name="Percent 6 2 5 2 3 2" xfId="23640"/>
    <cellStyle name="Percent 6 2 5 2 3 2 2" xfId="37665"/>
    <cellStyle name="Percent 6 2 5 2 3 3" xfId="29654"/>
    <cellStyle name="Percent 6 2 5 2 4" xfId="17631"/>
    <cellStyle name="Percent 6 2 5 2 4 2" xfId="31656"/>
    <cellStyle name="Percent 6 2 5 2 5" xfId="19633"/>
    <cellStyle name="Percent 6 2 5 2 5 2" xfId="33658"/>
    <cellStyle name="Percent 6 2 5 2 6" xfId="25647"/>
    <cellStyle name="Percent 6 2 5 3" xfId="13609"/>
    <cellStyle name="Percent 6 2 5 3 2" xfId="21634"/>
    <cellStyle name="Percent 6 2 5 3 2 2" xfId="35659"/>
    <cellStyle name="Percent 6 2 5 3 3" xfId="27648"/>
    <cellStyle name="Percent 6 2 5 4" xfId="15624"/>
    <cellStyle name="Percent 6 2 5 4 2" xfId="23639"/>
    <cellStyle name="Percent 6 2 5 4 2 2" xfId="37664"/>
    <cellStyle name="Percent 6 2 5 4 3" xfId="29653"/>
    <cellStyle name="Percent 6 2 5 5" xfId="17630"/>
    <cellStyle name="Percent 6 2 5 5 2" xfId="31655"/>
    <cellStyle name="Percent 6 2 5 6" xfId="19632"/>
    <cellStyle name="Percent 6 2 5 6 2" xfId="33657"/>
    <cellStyle name="Percent 6 2 5 7" xfId="25646"/>
    <cellStyle name="Percent 6 2 6" xfId="9552"/>
    <cellStyle name="Percent 6 2 6 2" xfId="13611"/>
    <cellStyle name="Percent 6 2 6 2 2" xfId="21636"/>
    <cellStyle name="Percent 6 2 6 2 2 2" xfId="35661"/>
    <cellStyle name="Percent 6 2 6 2 3" xfId="27650"/>
    <cellStyle name="Percent 6 2 6 3" xfId="15626"/>
    <cellStyle name="Percent 6 2 6 3 2" xfId="23641"/>
    <cellStyle name="Percent 6 2 6 3 2 2" xfId="37666"/>
    <cellStyle name="Percent 6 2 6 3 3" xfId="29655"/>
    <cellStyle name="Percent 6 2 6 4" xfId="17632"/>
    <cellStyle name="Percent 6 2 6 4 2" xfId="31657"/>
    <cellStyle name="Percent 6 2 6 5" xfId="19634"/>
    <cellStyle name="Percent 6 2 6 5 2" xfId="33659"/>
    <cellStyle name="Percent 6 2 6 6" xfId="25648"/>
    <cellStyle name="Percent 6 2 7" xfId="13592"/>
    <cellStyle name="Percent 6 2 7 2" xfId="21617"/>
    <cellStyle name="Percent 6 2 7 2 2" xfId="35642"/>
    <cellStyle name="Percent 6 2 7 3" xfId="27631"/>
    <cellStyle name="Percent 6 2 8" xfId="15607"/>
    <cellStyle name="Percent 6 2 8 2" xfId="23622"/>
    <cellStyle name="Percent 6 2 8 2 2" xfId="37647"/>
    <cellStyle name="Percent 6 2 8 3" xfId="29636"/>
    <cellStyle name="Percent 6 2 9" xfId="17613"/>
    <cellStyle name="Percent 6 2 9 2" xfId="31638"/>
    <cellStyle name="Percent 6 3" xfId="9553"/>
    <cellStyle name="Percent 6 3 10" xfId="25649"/>
    <cellStyle name="Percent 6 3 2" xfId="9554"/>
    <cellStyle name="Percent 6 3 2 2" xfId="9555"/>
    <cellStyle name="Percent 6 3 2 2 2" xfId="9556"/>
    <cellStyle name="Percent 6 3 2 2 2 2" xfId="13615"/>
    <cellStyle name="Percent 6 3 2 2 2 2 2" xfId="21640"/>
    <cellStyle name="Percent 6 3 2 2 2 2 2 2" xfId="35665"/>
    <cellStyle name="Percent 6 3 2 2 2 2 3" xfId="27654"/>
    <cellStyle name="Percent 6 3 2 2 2 3" xfId="15630"/>
    <cellStyle name="Percent 6 3 2 2 2 3 2" xfId="23645"/>
    <cellStyle name="Percent 6 3 2 2 2 3 2 2" xfId="37670"/>
    <cellStyle name="Percent 6 3 2 2 2 3 3" xfId="29659"/>
    <cellStyle name="Percent 6 3 2 2 2 4" xfId="17636"/>
    <cellStyle name="Percent 6 3 2 2 2 4 2" xfId="31661"/>
    <cellStyle name="Percent 6 3 2 2 2 5" xfId="19638"/>
    <cellStyle name="Percent 6 3 2 2 2 5 2" xfId="33663"/>
    <cellStyle name="Percent 6 3 2 2 2 6" xfId="25652"/>
    <cellStyle name="Percent 6 3 2 2 3" xfId="13614"/>
    <cellStyle name="Percent 6 3 2 2 3 2" xfId="21639"/>
    <cellStyle name="Percent 6 3 2 2 3 2 2" xfId="35664"/>
    <cellStyle name="Percent 6 3 2 2 3 3" xfId="27653"/>
    <cellStyle name="Percent 6 3 2 2 4" xfId="15629"/>
    <cellStyle name="Percent 6 3 2 2 4 2" xfId="23644"/>
    <cellStyle name="Percent 6 3 2 2 4 2 2" xfId="37669"/>
    <cellStyle name="Percent 6 3 2 2 4 3" xfId="29658"/>
    <cellStyle name="Percent 6 3 2 2 5" xfId="17635"/>
    <cellStyle name="Percent 6 3 2 2 5 2" xfId="31660"/>
    <cellStyle name="Percent 6 3 2 2 6" xfId="19637"/>
    <cellStyle name="Percent 6 3 2 2 6 2" xfId="33662"/>
    <cellStyle name="Percent 6 3 2 2 7" xfId="25651"/>
    <cellStyle name="Percent 6 3 2 3" xfId="9557"/>
    <cellStyle name="Percent 6 3 2 3 2" xfId="13616"/>
    <cellStyle name="Percent 6 3 2 3 2 2" xfId="21641"/>
    <cellStyle name="Percent 6 3 2 3 2 2 2" xfId="35666"/>
    <cellStyle name="Percent 6 3 2 3 2 3" xfId="27655"/>
    <cellStyle name="Percent 6 3 2 3 3" xfId="15631"/>
    <cellStyle name="Percent 6 3 2 3 3 2" xfId="23646"/>
    <cellStyle name="Percent 6 3 2 3 3 2 2" xfId="37671"/>
    <cellStyle name="Percent 6 3 2 3 3 3" xfId="29660"/>
    <cellStyle name="Percent 6 3 2 3 4" xfId="17637"/>
    <cellStyle name="Percent 6 3 2 3 4 2" xfId="31662"/>
    <cellStyle name="Percent 6 3 2 3 5" xfId="19639"/>
    <cellStyle name="Percent 6 3 2 3 5 2" xfId="33664"/>
    <cellStyle name="Percent 6 3 2 3 6" xfId="25653"/>
    <cellStyle name="Percent 6 3 2 4" xfId="13613"/>
    <cellStyle name="Percent 6 3 2 4 2" xfId="21638"/>
    <cellStyle name="Percent 6 3 2 4 2 2" xfId="35663"/>
    <cellStyle name="Percent 6 3 2 4 3" xfId="27652"/>
    <cellStyle name="Percent 6 3 2 5" xfId="15628"/>
    <cellStyle name="Percent 6 3 2 5 2" xfId="23643"/>
    <cellStyle name="Percent 6 3 2 5 2 2" xfId="37668"/>
    <cellStyle name="Percent 6 3 2 5 3" xfId="29657"/>
    <cellStyle name="Percent 6 3 2 6" xfId="17634"/>
    <cellStyle name="Percent 6 3 2 6 2" xfId="31659"/>
    <cellStyle name="Percent 6 3 2 7" xfId="19636"/>
    <cellStyle name="Percent 6 3 2 7 2" xfId="33661"/>
    <cellStyle name="Percent 6 3 2 8" xfId="25650"/>
    <cellStyle name="Percent 6 3 3" xfId="9558"/>
    <cellStyle name="Percent 6 3 3 2" xfId="9559"/>
    <cellStyle name="Percent 6 3 3 2 2" xfId="13618"/>
    <cellStyle name="Percent 6 3 3 2 2 2" xfId="21643"/>
    <cellStyle name="Percent 6 3 3 2 2 2 2" xfId="35668"/>
    <cellStyle name="Percent 6 3 3 2 2 3" xfId="27657"/>
    <cellStyle name="Percent 6 3 3 2 3" xfId="15633"/>
    <cellStyle name="Percent 6 3 3 2 3 2" xfId="23648"/>
    <cellStyle name="Percent 6 3 3 2 3 2 2" xfId="37673"/>
    <cellStyle name="Percent 6 3 3 2 3 3" xfId="29662"/>
    <cellStyle name="Percent 6 3 3 2 4" xfId="17639"/>
    <cellStyle name="Percent 6 3 3 2 4 2" xfId="31664"/>
    <cellStyle name="Percent 6 3 3 2 5" xfId="19641"/>
    <cellStyle name="Percent 6 3 3 2 5 2" xfId="33666"/>
    <cellStyle name="Percent 6 3 3 2 6" xfId="25655"/>
    <cellStyle name="Percent 6 3 3 3" xfId="13617"/>
    <cellStyle name="Percent 6 3 3 3 2" xfId="21642"/>
    <cellStyle name="Percent 6 3 3 3 2 2" xfId="35667"/>
    <cellStyle name="Percent 6 3 3 3 3" xfId="27656"/>
    <cellStyle name="Percent 6 3 3 4" xfId="15632"/>
    <cellStyle name="Percent 6 3 3 4 2" xfId="23647"/>
    <cellStyle name="Percent 6 3 3 4 2 2" xfId="37672"/>
    <cellStyle name="Percent 6 3 3 4 3" xfId="29661"/>
    <cellStyle name="Percent 6 3 3 5" xfId="17638"/>
    <cellStyle name="Percent 6 3 3 5 2" xfId="31663"/>
    <cellStyle name="Percent 6 3 3 6" xfId="19640"/>
    <cellStyle name="Percent 6 3 3 6 2" xfId="33665"/>
    <cellStyle name="Percent 6 3 3 7" xfId="25654"/>
    <cellStyle name="Percent 6 3 4" xfId="9560"/>
    <cellStyle name="Percent 6 3 4 2" xfId="9561"/>
    <cellStyle name="Percent 6 3 4 2 2" xfId="13620"/>
    <cellStyle name="Percent 6 3 4 2 2 2" xfId="21645"/>
    <cellStyle name="Percent 6 3 4 2 2 2 2" xfId="35670"/>
    <cellStyle name="Percent 6 3 4 2 2 3" xfId="27659"/>
    <cellStyle name="Percent 6 3 4 2 3" xfId="15635"/>
    <cellStyle name="Percent 6 3 4 2 3 2" xfId="23650"/>
    <cellStyle name="Percent 6 3 4 2 3 2 2" xfId="37675"/>
    <cellStyle name="Percent 6 3 4 2 3 3" xfId="29664"/>
    <cellStyle name="Percent 6 3 4 2 4" xfId="17641"/>
    <cellStyle name="Percent 6 3 4 2 4 2" xfId="31666"/>
    <cellStyle name="Percent 6 3 4 2 5" xfId="19643"/>
    <cellStyle name="Percent 6 3 4 2 5 2" xfId="33668"/>
    <cellStyle name="Percent 6 3 4 2 6" xfId="25657"/>
    <cellStyle name="Percent 6 3 4 3" xfId="13619"/>
    <cellStyle name="Percent 6 3 4 3 2" xfId="21644"/>
    <cellStyle name="Percent 6 3 4 3 2 2" xfId="35669"/>
    <cellStyle name="Percent 6 3 4 3 3" xfId="27658"/>
    <cellStyle name="Percent 6 3 4 4" xfId="15634"/>
    <cellStyle name="Percent 6 3 4 4 2" xfId="23649"/>
    <cellStyle name="Percent 6 3 4 4 2 2" xfId="37674"/>
    <cellStyle name="Percent 6 3 4 4 3" xfId="29663"/>
    <cellStyle name="Percent 6 3 4 5" xfId="17640"/>
    <cellStyle name="Percent 6 3 4 5 2" xfId="31665"/>
    <cellStyle name="Percent 6 3 4 6" xfId="19642"/>
    <cellStyle name="Percent 6 3 4 6 2" xfId="33667"/>
    <cellStyle name="Percent 6 3 4 7" xfId="25656"/>
    <cellStyle name="Percent 6 3 5" xfId="9562"/>
    <cellStyle name="Percent 6 3 5 2" xfId="13621"/>
    <cellStyle name="Percent 6 3 5 2 2" xfId="21646"/>
    <cellStyle name="Percent 6 3 5 2 2 2" xfId="35671"/>
    <cellStyle name="Percent 6 3 5 2 3" xfId="27660"/>
    <cellStyle name="Percent 6 3 5 3" xfId="15636"/>
    <cellStyle name="Percent 6 3 5 3 2" xfId="23651"/>
    <cellStyle name="Percent 6 3 5 3 2 2" xfId="37676"/>
    <cellStyle name="Percent 6 3 5 3 3" xfId="29665"/>
    <cellStyle name="Percent 6 3 5 4" xfId="17642"/>
    <cellStyle name="Percent 6 3 5 4 2" xfId="31667"/>
    <cellStyle name="Percent 6 3 5 5" xfId="19644"/>
    <cellStyle name="Percent 6 3 5 5 2" xfId="33669"/>
    <cellStyle name="Percent 6 3 5 6" xfId="25658"/>
    <cellStyle name="Percent 6 3 6" xfId="13612"/>
    <cellStyle name="Percent 6 3 6 2" xfId="21637"/>
    <cellStyle name="Percent 6 3 6 2 2" xfId="35662"/>
    <cellStyle name="Percent 6 3 6 3" xfId="27651"/>
    <cellStyle name="Percent 6 3 7" xfId="15627"/>
    <cellStyle name="Percent 6 3 7 2" xfId="23642"/>
    <cellStyle name="Percent 6 3 7 2 2" xfId="37667"/>
    <cellStyle name="Percent 6 3 7 3" xfId="29656"/>
    <cellStyle name="Percent 6 3 8" xfId="17633"/>
    <cellStyle name="Percent 6 3 8 2" xfId="31658"/>
    <cellStyle name="Percent 6 3 9" xfId="19635"/>
    <cellStyle name="Percent 6 3 9 2" xfId="33660"/>
    <cellStyle name="Percent 6 4" xfId="9563"/>
    <cellStyle name="Percent 6 4 2" xfId="9564"/>
    <cellStyle name="Percent 6 4 2 2" xfId="9565"/>
    <cellStyle name="Percent 6 4 2 2 2" xfId="13624"/>
    <cellStyle name="Percent 6 4 2 2 2 2" xfId="21649"/>
    <cellStyle name="Percent 6 4 2 2 2 2 2" xfId="35674"/>
    <cellStyle name="Percent 6 4 2 2 2 3" xfId="27663"/>
    <cellStyle name="Percent 6 4 2 2 3" xfId="15639"/>
    <cellStyle name="Percent 6 4 2 2 3 2" xfId="23654"/>
    <cellStyle name="Percent 6 4 2 2 3 2 2" xfId="37679"/>
    <cellStyle name="Percent 6 4 2 2 3 3" xfId="29668"/>
    <cellStyle name="Percent 6 4 2 2 4" xfId="17645"/>
    <cellStyle name="Percent 6 4 2 2 4 2" xfId="31670"/>
    <cellStyle name="Percent 6 4 2 2 5" xfId="19647"/>
    <cellStyle name="Percent 6 4 2 2 5 2" xfId="33672"/>
    <cellStyle name="Percent 6 4 2 2 6" xfId="25661"/>
    <cellStyle name="Percent 6 4 2 3" xfId="13623"/>
    <cellStyle name="Percent 6 4 2 3 2" xfId="21648"/>
    <cellStyle name="Percent 6 4 2 3 2 2" xfId="35673"/>
    <cellStyle name="Percent 6 4 2 3 3" xfId="27662"/>
    <cellStyle name="Percent 6 4 2 4" xfId="15638"/>
    <cellStyle name="Percent 6 4 2 4 2" xfId="23653"/>
    <cellStyle name="Percent 6 4 2 4 2 2" xfId="37678"/>
    <cellStyle name="Percent 6 4 2 4 3" xfId="29667"/>
    <cellStyle name="Percent 6 4 2 5" xfId="17644"/>
    <cellStyle name="Percent 6 4 2 5 2" xfId="31669"/>
    <cellStyle name="Percent 6 4 2 6" xfId="19646"/>
    <cellStyle name="Percent 6 4 2 6 2" xfId="33671"/>
    <cellStyle name="Percent 6 4 2 7" xfId="25660"/>
    <cellStyle name="Percent 6 4 3" xfId="9566"/>
    <cellStyle name="Percent 6 4 3 2" xfId="13625"/>
    <cellStyle name="Percent 6 4 3 2 2" xfId="21650"/>
    <cellStyle name="Percent 6 4 3 2 2 2" xfId="35675"/>
    <cellStyle name="Percent 6 4 3 2 3" xfId="27664"/>
    <cellStyle name="Percent 6 4 3 3" xfId="15640"/>
    <cellStyle name="Percent 6 4 3 3 2" xfId="23655"/>
    <cellStyle name="Percent 6 4 3 3 2 2" xfId="37680"/>
    <cellStyle name="Percent 6 4 3 3 3" xfId="29669"/>
    <cellStyle name="Percent 6 4 3 4" xfId="17646"/>
    <cellStyle name="Percent 6 4 3 4 2" xfId="31671"/>
    <cellStyle name="Percent 6 4 3 5" xfId="19648"/>
    <cellStyle name="Percent 6 4 3 5 2" xfId="33673"/>
    <cellStyle name="Percent 6 4 3 6" xfId="25662"/>
    <cellStyle name="Percent 6 4 4" xfId="13622"/>
    <cellStyle name="Percent 6 4 4 2" xfId="21647"/>
    <cellStyle name="Percent 6 4 4 2 2" xfId="35672"/>
    <cellStyle name="Percent 6 4 4 3" xfId="27661"/>
    <cellStyle name="Percent 6 4 5" xfId="15637"/>
    <cellStyle name="Percent 6 4 5 2" xfId="23652"/>
    <cellStyle name="Percent 6 4 5 2 2" xfId="37677"/>
    <cellStyle name="Percent 6 4 5 3" xfId="29666"/>
    <cellStyle name="Percent 6 4 6" xfId="17643"/>
    <cellStyle name="Percent 6 4 6 2" xfId="31668"/>
    <cellStyle name="Percent 6 4 7" xfId="19645"/>
    <cellStyle name="Percent 6 4 7 2" xfId="33670"/>
    <cellStyle name="Percent 6 4 8" xfId="25659"/>
    <cellStyle name="Percent 6 5" xfId="9567"/>
    <cellStyle name="Percent 6 5 2" xfId="9568"/>
    <cellStyle name="Percent 6 5 2 2" xfId="13627"/>
    <cellStyle name="Percent 6 5 2 2 2" xfId="21652"/>
    <cellStyle name="Percent 6 5 2 2 2 2" xfId="35677"/>
    <cellStyle name="Percent 6 5 2 2 3" xfId="27666"/>
    <cellStyle name="Percent 6 5 2 3" xfId="15642"/>
    <cellStyle name="Percent 6 5 2 3 2" xfId="23657"/>
    <cellStyle name="Percent 6 5 2 3 2 2" xfId="37682"/>
    <cellStyle name="Percent 6 5 2 3 3" xfId="29671"/>
    <cellStyle name="Percent 6 5 2 4" xfId="17648"/>
    <cellStyle name="Percent 6 5 2 4 2" xfId="31673"/>
    <cellStyle name="Percent 6 5 2 5" xfId="19650"/>
    <cellStyle name="Percent 6 5 2 5 2" xfId="33675"/>
    <cellStyle name="Percent 6 5 2 6" xfId="25664"/>
    <cellStyle name="Percent 6 5 3" xfId="13626"/>
    <cellStyle name="Percent 6 5 3 2" xfId="21651"/>
    <cellStyle name="Percent 6 5 3 2 2" xfId="35676"/>
    <cellStyle name="Percent 6 5 3 3" xfId="27665"/>
    <cellStyle name="Percent 6 5 4" xfId="15641"/>
    <cellStyle name="Percent 6 5 4 2" xfId="23656"/>
    <cellStyle name="Percent 6 5 4 2 2" xfId="37681"/>
    <cellStyle name="Percent 6 5 4 3" xfId="29670"/>
    <cellStyle name="Percent 6 5 5" xfId="17647"/>
    <cellStyle name="Percent 6 5 5 2" xfId="31672"/>
    <cellStyle name="Percent 6 5 6" xfId="19649"/>
    <cellStyle name="Percent 6 5 6 2" xfId="33674"/>
    <cellStyle name="Percent 6 5 7" xfId="25663"/>
    <cellStyle name="Percent 6 6" xfId="9569"/>
    <cellStyle name="Percent 6 6 2" xfId="9570"/>
    <cellStyle name="Percent 6 6 2 2" xfId="13629"/>
    <cellStyle name="Percent 6 6 2 2 2" xfId="21654"/>
    <cellStyle name="Percent 6 6 2 2 2 2" xfId="35679"/>
    <cellStyle name="Percent 6 6 2 2 3" xfId="27668"/>
    <cellStyle name="Percent 6 6 2 3" xfId="15644"/>
    <cellStyle name="Percent 6 6 2 3 2" xfId="23659"/>
    <cellStyle name="Percent 6 6 2 3 2 2" xfId="37684"/>
    <cellStyle name="Percent 6 6 2 3 3" xfId="29673"/>
    <cellStyle name="Percent 6 6 2 4" xfId="17650"/>
    <cellStyle name="Percent 6 6 2 4 2" xfId="31675"/>
    <cellStyle name="Percent 6 6 2 5" xfId="19652"/>
    <cellStyle name="Percent 6 6 2 5 2" xfId="33677"/>
    <cellStyle name="Percent 6 6 2 6" xfId="25666"/>
    <cellStyle name="Percent 6 6 3" xfId="13628"/>
    <cellStyle name="Percent 6 6 3 2" xfId="21653"/>
    <cellStyle name="Percent 6 6 3 2 2" xfId="35678"/>
    <cellStyle name="Percent 6 6 3 3" xfId="27667"/>
    <cellStyle name="Percent 6 6 4" xfId="15643"/>
    <cellStyle name="Percent 6 6 4 2" xfId="23658"/>
    <cellStyle name="Percent 6 6 4 2 2" xfId="37683"/>
    <cellStyle name="Percent 6 6 4 3" xfId="29672"/>
    <cellStyle name="Percent 6 6 5" xfId="17649"/>
    <cellStyle name="Percent 6 6 5 2" xfId="31674"/>
    <cellStyle name="Percent 6 6 6" xfId="19651"/>
    <cellStyle name="Percent 6 6 6 2" xfId="33676"/>
    <cellStyle name="Percent 6 6 7" xfId="25665"/>
    <cellStyle name="Percent 6 7" xfId="9571"/>
    <cellStyle name="Percent 6 7 2" xfId="13630"/>
    <cellStyle name="Percent 6 7 2 2" xfId="21655"/>
    <cellStyle name="Percent 6 7 2 2 2" xfId="35680"/>
    <cellStyle name="Percent 6 7 2 3" xfId="27669"/>
    <cellStyle name="Percent 6 7 3" xfId="15645"/>
    <cellStyle name="Percent 6 7 3 2" xfId="23660"/>
    <cellStyle name="Percent 6 7 3 2 2" xfId="37685"/>
    <cellStyle name="Percent 6 7 3 3" xfId="29674"/>
    <cellStyle name="Percent 6 7 4" xfId="17651"/>
    <cellStyle name="Percent 6 7 4 2" xfId="31676"/>
    <cellStyle name="Percent 6 7 5" xfId="19653"/>
    <cellStyle name="Percent 6 7 5 2" xfId="33678"/>
    <cellStyle name="Percent 6 7 6" xfId="25667"/>
    <cellStyle name="Percent 6 8" xfId="13591"/>
    <cellStyle name="Percent 6 8 2" xfId="21616"/>
    <cellStyle name="Percent 6 8 2 2" xfId="35641"/>
    <cellStyle name="Percent 6 8 3" xfId="27630"/>
    <cellStyle name="Percent 6 9" xfId="15606"/>
    <cellStyle name="Percent 6 9 2" xfId="23621"/>
    <cellStyle name="Percent 6 9 2 2" xfId="37646"/>
    <cellStyle name="Percent 6 9 3" xfId="29635"/>
    <cellStyle name="Percent 7" xfId="9572"/>
    <cellStyle name="Percent 7 2" xfId="9573"/>
    <cellStyle name="Percent 8" xfId="9574"/>
    <cellStyle name="Percent 9" xfId="11273"/>
    <cellStyle name="PSChar" xfId="685"/>
    <cellStyle name="PSChar 2" xfId="686"/>
    <cellStyle name="PSDate" xfId="687"/>
    <cellStyle name="PSDec" xfId="688"/>
    <cellStyle name="PSDec 2" xfId="689"/>
    <cellStyle name="PSHeading" xfId="690"/>
    <cellStyle name="PSHeading 2" xfId="9575"/>
    <cellStyle name="PSInt" xfId="691"/>
    <cellStyle name="PSSpacer" xfId="692"/>
    <cellStyle name="RowLevel_" xfId="693"/>
    <cellStyle name="SAPBEXaggData" xfId="9576"/>
    <cellStyle name="SAPBEXaggDataEmph" xfId="9577"/>
    <cellStyle name="SAPBEXaggItem" xfId="9578"/>
    <cellStyle name="SAPBEXaggItem 2" xfId="9579"/>
    <cellStyle name="SAPBEXaggItem 3" xfId="9580"/>
    <cellStyle name="SAPBEXaggItem 4" xfId="9581"/>
    <cellStyle name="SAPBEXaggItem 5" xfId="9582"/>
    <cellStyle name="SAPBEXaggItem 6" xfId="9583"/>
    <cellStyle name="SAPBEXaggItem_Copy of xSAPtemp5457" xfId="9584"/>
    <cellStyle name="SAPBEXaggItemX" xfId="9585"/>
    <cellStyle name="SAPBEXchaText" xfId="694"/>
    <cellStyle name="SAPBEXchaText 2" xfId="9586"/>
    <cellStyle name="SAPBEXchaText 2 10" xfId="9587"/>
    <cellStyle name="SAPBEXchaText 2 10 2" xfId="9588"/>
    <cellStyle name="SAPBEXchaText 2 11" xfId="9589"/>
    <cellStyle name="SAPBEXchaText 2 11 2" xfId="9590"/>
    <cellStyle name="SAPBEXchaText 2 12" xfId="9591"/>
    <cellStyle name="SAPBEXchaText 2 12 2" xfId="9592"/>
    <cellStyle name="SAPBEXchaText 2 13" xfId="9593"/>
    <cellStyle name="SAPBEXchaText 2 2" xfId="9594"/>
    <cellStyle name="SAPBEXchaText 2 2 2" xfId="9595"/>
    <cellStyle name="SAPBEXchaText 2 2 2 2" xfId="9596"/>
    <cellStyle name="SAPBEXchaText 2 2 2 2 2" xfId="9597"/>
    <cellStyle name="SAPBEXchaText 2 2 2 3" xfId="9598"/>
    <cellStyle name="SAPBEXchaText 2 2 3" xfId="9599"/>
    <cellStyle name="SAPBEXchaText 2 2 3 2" xfId="9600"/>
    <cellStyle name="SAPBEXchaText 2 2 3 2 2" xfId="9601"/>
    <cellStyle name="SAPBEXchaText 2 2 3 3" xfId="9602"/>
    <cellStyle name="SAPBEXchaText 2 2 4" xfId="9603"/>
    <cellStyle name="SAPBEXchaText 2 2 4 2" xfId="9604"/>
    <cellStyle name="SAPBEXchaText 2 2 5" xfId="9605"/>
    <cellStyle name="SAPBEXchaText 2 2 5 2" xfId="9606"/>
    <cellStyle name="SAPBEXchaText 2 2 6" xfId="9607"/>
    <cellStyle name="SAPBEXchaText 2 2 6 2" xfId="9608"/>
    <cellStyle name="SAPBEXchaText 2 2 7" xfId="9609"/>
    <cellStyle name="SAPBEXchaText 2 2 7 2" xfId="9610"/>
    <cellStyle name="SAPBEXchaText 2 2 8" xfId="9611"/>
    <cellStyle name="SAPBEXchaText 2 3" xfId="9612"/>
    <cellStyle name="SAPBEXchaText 2 3 10" xfId="9613"/>
    <cellStyle name="SAPBEXchaText 2 3 10 2" xfId="9614"/>
    <cellStyle name="SAPBEXchaText 2 3 11" xfId="9615"/>
    <cellStyle name="SAPBEXchaText 2 3 2" xfId="9616"/>
    <cellStyle name="SAPBEXchaText 2 3 2 2" xfId="9617"/>
    <cellStyle name="SAPBEXchaText 2 3 2 2 2" xfId="9618"/>
    <cellStyle name="SAPBEXchaText 2 3 2 3" xfId="9619"/>
    <cellStyle name="SAPBEXchaText 2 3 3" xfId="9620"/>
    <cellStyle name="SAPBEXchaText 2 3 3 2" xfId="9621"/>
    <cellStyle name="SAPBEXchaText 2 3 4" xfId="9622"/>
    <cellStyle name="SAPBEXchaText 2 3 4 2" xfId="9623"/>
    <cellStyle name="SAPBEXchaText 2 3 5" xfId="9624"/>
    <cellStyle name="SAPBEXchaText 2 3 5 2" xfId="9625"/>
    <cellStyle name="SAPBEXchaText 2 3 6" xfId="9626"/>
    <cellStyle name="SAPBEXchaText 2 3 6 2" xfId="9627"/>
    <cellStyle name="SAPBEXchaText 2 3 7" xfId="9628"/>
    <cellStyle name="SAPBEXchaText 2 3 7 2" xfId="9629"/>
    <cellStyle name="SAPBEXchaText 2 3 8" xfId="9630"/>
    <cellStyle name="SAPBEXchaText 2 3 8 2" xfId="9631"/>
    <cellStyle name="SAPBEXchaText 2 3 9" xfId="9632"/>
    <cellStyle name="SAPBEXchaText 2 3 9 2" xfId="9633"/>
    <cellStyle name="SAPBEXchaText 2 4" xfId="9634"/>
    <cellStyle name="SAPBEXchaText 2 4 10" xfId="9635"/>
    <cellStyle name="SAPBEXchaText 2 4 10 2" xfId="9636"/>
    <cellStyle name="SAPBEXchaText 2 4 11" xfId="9637"/>
    <cellStyle name="SAPBEXchaText 2 4 2" xfId="9638"/>
    <cellStyle name="SAPBEXchaText 2 4 2 2" xfId="9639"/>
    <cellStyle name="SAPBEXchaText 2 4 2 2 2" xfId="9640"/>
    <cellStyle name="SAPBEXchaText 2 4 2 3" xfId="9641"/>
    <cellStyle name="SAPBEXchaText 2 4 3" xfId="9642"/>
    <cellStyle name="SAPBEXchaText 2 4 3 2" xfId="9643"/>
    <cellStyle name="SAPBEXchaText 2 4 4" xfId="9644"/>
    <cellStyle name="SAPBEXchaText 2 4 4 2" xfId="9645"/>
    <cellStyle name="SAPBEXchaText 2 4 5" xfId="9646"/>
    <cellStyle name="SAPBEXchaText 2 4 5 2" xfId="9647"/>
    <cellStyle name="SAPBEXchaText 2 4 6" xfId="9648"/>
    <cellStyle name="SAPBEXchaText 2 4 6 2" xfId="9649"/>
    <cellStyle name="SAPBEXchaText 2 4 7" xfId="9650"/>
    <cellStyle name="SAPBEXchaText 2 4 7 2" xfId="9651"/>
    <cellStyle name="SAPBEXchaText 2 4 8" xfId="9652"/>
    <cellStyle name="SAPBEXchaText 2 4 8 2" xfId="9653"/>
    <cellStyle name="SAPBEXchaText 2 4 9" xfId="9654"/>
    <cellStyle name="SAPBEXchaText 2 4 9 2" xfId="9655"/>
    <cellStyle name="SAPBEXchaText 2 5" xfId="9656"/>
    <cellStyle name="SAPBEXchaText 2 5 10" xfId="9657"/>
    <cellStyle name="SAPBEXchaText 2 5 10 2" xfId="9658"/>
    <cellStyle name="SAPBEXchaText 2 5 11" xfId="9659"/>
    <cellStyle name="SAPBEXchaText 2 5 2" xfId="9660"/>
    <cellStyle name="SAPBEXchaText 2 5 2 2" xfId="9661"/>
    <cellStyle name="SAPBEXchaText 2 5 2 2 2" xfId="9662"/>
    <cellStyle name="SAPBEXchaText 2 5 2 3" xfId="9663"/>
    <cellStyle name="SAPBEXchaText 2 5 3" xfId="9664"/>
    <cellStyle name="SAPBEXchaText 2 5 3 2" xfId="9665"/>
    <cellStyle name="SAPBEXchaText 2 5 4" xfId="9666"/>
    <cellStyle name="SAPBEXchaText 2 5 4 2" xfId="9667"/>
    <cellStyle name="SAPBEXchaText 2 5 5" xfId="9668"/>
    <cellStyle name="SAPBEXchaText 2 5 5 2" xfId="9669"/>
    <cellStyle name="SAPBEXchaText 2 5 6" xfId="9670"/>
    <cellStyle name="SAPBEXchaText 2 5 6 2" xfId="9671"/>
    <cellStyle name="SAPBEXchaText 2 5 7" xfId="9672"/>
    <cellStyle name="SAPBEXchaText 2 5 7 2" xfId="9673"/>
    <cellStyle name="SAPBEXchaText 2 5 8" xfId="9674"/>
    <cellStyle name="SAPBEXchaText 2 5 8 2" xfId="9675"/>
    <cellStyle name="SAPBEXchaText 2 5 9" xfId="9676"/>
    <cellStyle name="SAPBEXchaText 2 5 9 2" xfId="9677"/>
    <cellStyle name="SAPBEXchaText 2 6" xfId="9678"/>
    <cellStyle name="SAPBEXchaText 2 6 10" xfId="9679"/>
    <cellStyle name="SAPBEXchaText 2 6 10 2" xfId="9680"/>
    <cellStyle name="SAPBEXchaText 2 6 11" xfId="9681"/>
    <cellStyle name="SAPBEXchaText 2 6 2" xfId="9682"/>
    <cellStyle name="SAPBEXchaText 2 6 2 2" xfId="9683"/>
    <cellStyle name="SAPBEXchaText 2 6 2 2 2" xfId="9684"/>
    <cellStyle name="SAPBEXchaText 2 6 2 3" xfId="9685"/>
    <cellStyle name="SAPBEXchaText 2 6 3" xfId="9686"/>
    <cellStyle name="SAPBEXchaText 2 6 3 2" xfId="9687"/>
    <cellStyle name="SAPBEXchaText 2 6 4" xfId="9688"/>
    <cellStyle name="SAPBEXchaText 2 6 4 2" xfId="9689"/>
    <cellStyle name="SAPBEXchaText 2 6 5" xfId="9690"/>
    <cellStyle name="SAPBEXchaText 2 6 5 2" xfId="9691"/>
    <cellStyle name="SAPBEXchaText 2 6 6" xfId="9692"/>
    <cellStyle name="SAPBEXchaText 2 6 6 2" xfId="9693"/>
    <cellStyle name="SAPBEXchaText 2 6 7" xfId="9694"/>
    <cellStyle name="SAPBEXchaText 2 6 7 2" xfId="9695"/>
    <cellStyle name="SAPBEXchaText 2 6 8" xfId="9696"/>
    <cellStyle name="SAPBEXchaText 2 6 8 2" xfId="9697"/>
    <cellStyle name="SAPBEXchaText 2 6 9" xfId="9698"/>
    <cellStyle name="SAPBEXchaText 2 6 9 2" xfId="9699"/>
    <cellStyle name="SAPBEXchaText 2 7" xfId="9700"/>
    <cellStyle name="SAPBEXchaText 2 7 2" xfId="9701"/>
    <cellStyle name="SAPBEXchaText 2 7 2 2" xfId="9702"/>
    <cellStyle name="SAPBEXchaText 2 7 3" xfId="9703"/>
    <cellStyle name="SAPBEXchaText 2 8" xfId="9704"/>
    <cellStyle name="SAPBEXchaText 2 8 2" xfId="9705"/>
    <cellStyle name="SAPBEXchaText 2 9" xfId="9706"/>
    <cellStyle name="SAPBEXchaText 2 9 2" xfId="9707"/>
    <cellStyle name="SAPBEXchaText 3" xfId="9708"/>
    <cellStyle name="SAPBEXchaText 3 10" xfId="9709"/>
    <cellStyle name="SAPBEXchaText 3 10 2" xfId="9710"/>
    <cellStyle name="SAPBEXchaText 3 11" xfId="9711"/>
    <cellStyle name="SAPBEXchaText 3 11 2" xfId="9712"/>
    <cellStyle name="SAPBEXchaText 3 12" xfId="9713"/>
    <cellStyle name="SAPBEXchaText 3 12 2" xfId="9714"/>
    <cellStyle name="SAPBEXchaText 3 13" xfId="9715"/>
    <cellStyle name="SAPBEXchaText 3 2" xfId="9716"/>
    <cellStyle name="SAPBEXchaText 3 2 2" xfId="9717"/>
    <cellStyle name="SAPBEXchaText 3 2 2 2" xfId="9718"/>
    <cellStyle name="SAPBEXchaText 3 2 2 2 2" xfId="9719"/>
    <cellStyle name="SAPBEXchaText 3 2 2 3" xfId="9720"/>
    <cellStyle name="SAPBEXchaText 3 2 3" xfId="9721"/>
    <cellStyle name="SAPBEXchaText 3 2 3 2" xfId="9722"/>
    <cellStyle name="SAPBEXchaText 3 2 3 2 2" xfId="9723"/>
    <cellStyle name="SAPBEXchaText 3 2 3 3" xfId="9724"/>
    <cellStyle name="SAPBEXchaText 3 2 4" xfId="9725"/>
    <cellStyle name="SAPBEXchaText 3 2 4 2" xfId="9726"/>
    <cellStyle name="SAPBEXchaText 3 2 5" xfId="9727"/>
    <cellStyle name="SAPBEXchaText 3 2 5 2" xfId="9728"/>
    <cellStyle name="SAPBEXchaText 3 2 6" xfId="9729"/>
    <cellStyle name="SAPBEXchaText 3 2 6 2" xfId="9730"/>
    <cellStyle name="SAPBEXchaText 3 2 7" xfId="9731"/>
    <cellStyle name="SAPBEXchaText 3 2 7 2" xfId="9732"/>
    <cellStyle name="SAPBEXchaText 3 2 8" xfId="9733"/>
    <cellStyle name="SAPBEXchaText 3 3" xfId="9734"/>
    <cellStyle name="SAPBEXchaText 3 3 10" xfId="9735"/>
    <cellStyle name="SAPBEXchaText 3 3 10 2" xfId="9736"/>
    <cellStyle name="SAPBEXchaText 3 3 11" xfId="9737"/>
    <cellStyle name="SAPBEXchaText 3 3 2" xfId="9738"/>
    <cellStyle name="SAPBEXchaText 3 3 2 2" xfId="9739"/>
    <cellStyle name="SAPBEXchaText 3 3 2 2 2" xfId="9740"/>
    <cellStyle name="SAPBEXchaText 3 3 2 3" xfId="9741"/>
    <cellStyle name="SAPBEXchaText 3 3 3" xfId="9742"/>
    <cellStyle name="SAPBEXchaText 3 3 3 2" xfId="9743"/>
    <cellStyle name="SAPBEXchaText 3 3 4" xfId="9744"/>
    <cellStyle name="SAPBEXchaText 3 3 4 2" xfId="9745"/>
    <cellStyle name="SAPBEXchaText 3 3 5" xfId="9746"/>
    <cellStyle name="SAPBEXchaText 3 3 5 2" xfId="9747"/>
    <cellStyle name="SAPBEXchaText 3 3 6" xfId="9748"/>
    <cellStyle name="SAPBEXchaText 3 3 6 2" xfId="9749"/>
    <cellStyle name="SAPBEXchaText 3 3 7" xfId="9750"/>
    <cellStyle name="SAPBEXchaText 3 3 7 2" xfId="9751"/>
    <cellStyle name="SAPBEXchaText 3 3 8" xfId="9752"/>
    <cellStyle name="SAPBEXchaText 3 3 8 2" xfId="9753"/>
    <cellStyle name="SAPBEXchaText 3 3 9" xfId="9754"/>
    <cellStyle name="SAPBEXchaText 3 3 9 2" xfId="9755"/>
    <cellStyle name="SAPBEXchaText 3 4" xfId="9756"/>
    <cellStyle name="SAPBEXchaText 3 4 10" xfId="9757"/>
    <cellStyle name="SAPBEXchaText 3 4 10 2" xfId="9758"/>
    <cellStyle name="SAPBEXchaText 3 4 11" xfId="9759"/>
    <cellStyle name="SAPBEXchaText 3 4 2" xfId="9760"/>
    <cellStyle name="SAPBEXchaText 3 4 2 2" xfId="9761"/>
    <cellStyle name="SAPBEXchaText 3 4 2 2 2" xfId="9762"/>
    <cellStyle name="SAPBEXchaText 3 4 2 3" xfId="9763"/>
    <cellStyle name="SAPBEXchaText 3 4 3" xfId="9764"/>
    <cellStyle name="SAPBEXchaText 3 4 3 2" xfId="9765"/>
    <cellStyle name="SAPBEXchaText 3 4 4" xfId="9766"/>
    <cellStyle name="SAPBEXchaText 3 4 4 2" xfId="9767"/>
    <cellStyle name="SAPBEXchaText 3 4 5" xfId="9768"/>
    <cellStyle name="SAPBEXchaText 3 4 5 2" xfId="9769"/>
    <cellStyle name="SAPBEXchaText 3 4 6" xfId="9770"/>
    <cellStyle name="SAPBEXchaText 3 4 6 2" xfId="9771"/>
    <cellStyle name="SAPBEXchaText 3 4 7" xfId="9772"/>
    <cellStyle name="SAPBEXchaText 3 4 7 2" xfId="9773"/>
    <cellStyle name="SAPBEXchaText 3 4 8" xfId="9774"/>
    <cellStyle name="SAPBEXchaText 3 4 8 2" xfId="9775"/>
    <cellStyle name="SAPBEXchaText 3 4 9" xfId="9776"/>
    <cellStyle name="SAPBEXchaText 3 4 9 2" xfId="9777"/>
    <cellStyle name="SAPBEXchaText 3 5" xfId="9778"/>
    <cellStyle name="SAPBEXchaText 3 5 10" xfId="9779"/>
    <cellStyle name="SAPBEXchaText 3 5 10 2" xfId="9780"/>
    <cellStyle name="SAPBEXchaText 3 5 11" xfId="9781"/>
    <cellStyle name="SAPBEXchaText 3 5 2" xfId="9782"/>
    <cellStyle name="SAPBEXchaText 3 5 2 2" xfId="9783"/>
    <cellStyle name="SAPBEXchaText 3 5 2 2 2" xfId="9784"/>
    <cellStyle name="SAPBEXchaText 3 5 2 3" xfId="9785"/>
    <cellStyle name="SAPBEXchaText 3 5 3" xfId="9786"/>
    <cellStyle name="SAPBEXchaText 3 5 3 2" xfId="9787"/>
    <cellStyle name="SAPBEXchaText 3 5 4" xfId="9788"/>
    <cellStyle name="SAPBEXchaText 3 5 4 2" xfId="9789"/>
    <cellStyle name="SAPBEXchaText 3 5 5" xfId="9790"/>
    <cellStyle name="SAPBEXchaText 3 5 5 2" xfId="9791"/>
    <cellStyle name="SAPBEXchaText 3 5 6" xfId="9792"/>
    <cellStyle name="SAPBEXchaText 3 5 6 2" xfId="9793"/>
    <cellStyle name="SAPBEXchaText 3 5 7" xfId="9794"/>
    <cellStyle name="SAPBEXchaText 3 5 7 2" xfId="9795"/>
    <cellStyle name="SAPBEXchaText 3 5 8" xfId="9796"/>
    <cellStyle name="SAPBEXchaText 3 5 8 2" xfId="9797"/>
    <cellStyle name="SAPBEXchaText 3 5 9" xfId="9798"/>
    <cellStyle name="SAPBEXchaText 3 5 9 2" xfId="9799"/>
    <cellStyle name="SAPBEXchaText 3 6" xfId="9800"/>
    <cellStyle name="SAPBEXchaText 3 6 10" xfId="9801"/>
    <cellStyle name="SAPBEXchaText 3 6 10 2" xfId="9802"/>
    <cellStyle name="SAPBEXchaText 3 6 11" xfId="9803"/>
    <cellStyle name="SAPBEXchaText 3 6 2" xfId="9804"/>
    <cellStyle name="SAPBEXchaText 3 6 2 2" xfId="9805"/>
    <cellStyle name="SAPBEXchaText 3 6 2 2 2" xfId="9806"/>
    <cellStyle name="SAPBEXchaText 3 6 2 3" xfId="9807"/>
    <cellStyle name="SAPBEXchaText 3 6 3" xfId="9808"/>
    <cellStyle name="SAPBEXchaText 3 6 3 2" xfId="9809"/>
    <cellStyle name="SAPBEXchaText 3 6 4" xfId="9810"/>
    <cellStyle name="SAPBEXchaText 3 6 4 2" xfId="9811"/>
    <cellStyle name="SAPBEXchaText 3 6 5" xfId="9812"/>
    <cellStyle name="SAPBEXchaText 3 6 5 2" xfId="9813"/>
    <cellStyle name="SAPBEXchaText 3 6 6" xfId="9814"/>
    <cellStyle name="SAPBEXchaText 3 6 6 2" xfId="9815"/>
    <cellStyle name="SAPBEXchaText 3 6 7" xfId="9816"/>
    <cellStyle name="SAPBEXchaText 3 6 7 2" xfId="9817"/>
    <cellStyle name="SAPBEXchaText 3 6 8" xfId="9818"/>
    <cellStyle name="SAPBEXchaText 3 6 8 2" xfId="9819"/>
    <cellStyle name="SAPBEXchaText 3 6 9" xfId="9820"/>
    <cellStyle name="SAPBEXchaText 3 6 9 2" xfId="9821"/>
    <cellStyle name="SAPBEXchaText 3 7" xfId="9822"/>
    <cellStyle name="SAPBEXchaText 3 7 2" xfId="9823"/>
    <cellStyle name="SAPBEXchaText 3 7 2 2" xfId="9824"/>
    <cellStyle name="SAPBEXchaText 3 7 3" xfId="9825"/>
    <cellStyle name="SAPBEXchaText 3 8" xfId="9826"/>
    <cellStyle name="SAPBEXchaText 3 8 2" xfId="9827"/>
    <cellStyle name="SAPBEXchaText 3 9" xfId="9828"/>
    <cellStyle name="SAPBEXchaText 3 9 2" xfId="9829"/>
    <cellStyle name="SAPBEXchaText 4" xfId="9830"/>
    <cellStyle name="SAPBEXchaText 4 10" xfId="9831"/>
    <cellStyle name="SAPBEXchaText 4 10 2" xfId="9832"/>
    <cellStyle name="SAPBEXchaText 4 11" xfId="9833"/>
    <cellStyle name="SAPBEXchaText 4 2" xfId="9834"/>
    <cellStyle name="SAPBEXchaText 4 2 2" xfId="9835"/>
    <cellStyle name="SAPBEXchaText 4 2 2 2" xfId="9836"/>
    <cellStyle name="SAPBEXchaText 4 2 3" xfId="9837"/>
    <cellStyle name="SAPBEXchaText 4 3" xfId="9838"/>
    <cellStyle name="SAPBEXchaText 4 3 2" xfId="9839"/>
    <cellStyle name="SAPBEXchaText 4 4" xfId="9840"/>
    <cellStyle name="SAPBEXchaText 4 4 2" xfId="9841"/>
    <cellStyle name="SAPBEXchaText 4 5" xfId="9842"/>
    <cellStyle name="SAPBEXchaText 4 5 2" xfId="9843"/>
    <cellStyle name="SAPBEXchaText 4 6" xfId="9844"/>
    <cellStyle name="SAPBEXchaText 4 6 2" xfId="9845"/>
    <cellStyle name="SAPBEXchaText 4 7" xfId="9846"/>
    <cellStyle name="SAPBEXchaText 4 7 2" xfId="9847"/>
    <cellStyle name="SAPBEXchaText 4 8" xfId="9848"/>
    <cellStyle name="SAPBEXchaText 4 8 2" xfId="9849"/>
    <cellStyle name="SAPBEXchaText 4 9" xfId="9850"/>
    <cellStyle name="SAPBEXchaText 4 9 2" xfId="9851"/>
    <cellStyle name="SAPBEXchaText 5" xfId="9852"/>
    <cellStyle name="SAPBEXchaText 5 2" xfId="9853"/>
    <cellStyle name="SAPBEXchaText 5 2 2" xfId="9854"/>
    <cellStyle name="SAPBEXchaText 5 3" xfId="9855"/>
    <cellStyle name="SAPBEXchaText 6" xfId="9856"/>
    <cellStyle name="SAPBEXchaText 6 2" xfId="9857"/>
    <cellStyle name="SAPBEXchaText 7" xfId="9858"/>
    <cellStyle name="SAPBEXchaText 7 2" xfId="9859"/>
    <cellStyle name="SAPBEXchaText 8" xfId="9860"/>
    <cellStyle name="SAPBEXchaText 9" xfId="9861"/>
    <cellStyle name="SAPBEXchaText_Copy of xSAPtemp5457" xfId="9862"/>
    <cellStyle name="SAPBEXexcBad7" xfId="9863"/>
    <cellStyle name="SAPBEXexcBad8" xfId="9864"/>
    <cellStyle name="SAPBEXexcBad9" xfId="9865"/>
    <cellStyle name="SAPBEXexcCritical4" xfId="9866"/>
    <cellStyle name="SAPBEXexcCritical5" xfId="9867"/>
    <cellStyle name="SAPBEXexcCritical6" xfId="9868"/>
    <cellStyle name="SAPBEXexcGood1" xfId="9869"/>
    <cellStyle name="SAPBEXexcGood2" xfId="9870"/>
    <cellStyle name="SAPBEXexcGood3" xfId="9871"/>
    <cellStyle name="SAPBEXfilterDrill" xfId="9872"/>
    <cellStyle name="SAPBEXfilterItem" xfId="9873"/>
    <cellStyle name="SAPBEXfilterItem 2" xfId="9874"/>
    <cellStyle name="SAPBEXfilterItem 3" xfId="9875"/>
    <cellStyle name="SAPBEXfilterItem 4" xfId="9876"/>
    <cellStyle name="SAPBEXfilterItem 5" xfId="9877"/>
    <cellStyle name="SAPBEXfilterItem 6" xfId="9878"/>
    <cellStyle name="SAPBEXfilterItem_Copy of xSAPtemp5457" xfId="9879"/>
    <cellStyle name="SAPBEXfilterText" xfId="9880"/>
    <cellStyle name="SAPBEXfilterText 2" xfId="9881"/>
    <cellStyle name="SAPBEXfilterText 3" xfId="9882"/>
    <cellStyle name="SAPBEXfilterText 4" xfId="9883"/>
    <cellStyle name="SAPBEXfilterText 5" xfId="9884"/>
    <cellStyle name="SAPBEXformats" xfId="9885"/>
    <cellStyle name="SAPBEXheaderItem" xfId="9886"/>
    <cellStyle name="SAPBEXheaderItem 2" xfId="9887"/>
    <cellStyle name="SAPBEXheaderItem 3" xfId="9888"/>
    <cellStyle name="SAPBEXheaderItem 4" xfId="9889"/>
    <cellStyle name="SAPBEXheaderItem 5" xfId="9890"/>
    <cellStyle name="SAPBEXheaderItem 6" xfId="9891"/>
    <cellStyle name="SAPBEXheaderItem 7" xfId="9892"/>
    <cellStyle name="SAPBEXheaderItem_Copy of xSAPtemp5457" xfId="9893"/>
    <cellStyle name="SAPBEXheaderText" xfId="9894"/>
    <cellStyle name="SAPBEXheaderText 2" xfId="9895"/>
    <cellStyle name="SAPBEXheaderText 3" xfId="9896"/>
    <cellStyle name="SAPBEXheaderText 4" xfId="9897"/>
    <cellStyle name="SAPBEXheaderText 5" xfId="9898"/>
    <cellStyle name="SAPBEXheaderText 6" xfId="9899"/>
    <cellStyle name="SAPBEXheaderText 7" xfId="9900"/>
    <cellStyle name="SAPBEXheaderText_Copy of xSAPtemp5457" xfId="9901"/>
    <cellStyle name="SAPBEXHLevel0" xfId="9902"/>
    <cellStyle name="SAPBEXHLevel0 2" xfId="9903"/>
    <cellStyle name="SAPBEXHLevel0 3" xfId="9904"/>
    <cellStyle name="SAPBEXHLevel0 4" xfId="9905"/>
    <cellStyle name="SAPBEXHLevel0 5" xfId="9906"/>
    <cellStyle name="SAPBEXHLevel0X" xfId="9907"/>
    <cellStyle name="SAPBEXHLevel0X 2" xfId="9908"/>
    <cellStyle name="SAPBEXHLevel0X 3" xfId="9909"/>
    <cellStyle name="SAPBEXHLevel0X 4" xfId="9910"/>
    <cellStyle name="SAPBEXHLevel0X 5" xfId="9911"/>
    <cellStyle name="SAPBEXHLevel1" xfId="9912"/>
    <cellStyle name="SAPBEXHLevel1 2" xfId="9913"/>
    <cellStyle name="SAPBEXHLevel1 3" xfId="9914"/>
    <cellStyle name="SAPBEXHLevel1 4" xfId="9915"/>
    <cellStyle name="SAPBEXHLevel1 5" xfId="9916"/>
    <cellStyle name="SAPBEXHLevel1X" xfId="9917"/>
    <cellStyle name="SAPBEXHLevel1X 2" xfId="9918"/>
    <cellStyle name="SAPBEXHLevel1X 3" xfId="9919"/>
    <cellStyle name="SAPBEXHLevel1X 4" xfId="9920"/>
    <cellStyle name="SAPBEXHLevel1X 5" xfId="9921"/>
    <cellStyle name="SAPBEXHLevel2" xfId="9922"/>
    <cellStyle name="SAPBEXHLevel2 2" xfId="9923"/>
    <cellStyle name="SAPBEXHLevel2 3" xfId="9924"/>
    <cellStyle name="SAPBEXHLevel2 4" xfId="9925"/>
    <cellStyle name="SAPBEXHLevel2 5" xfId="9926"/>
    <cellStyle name="SAPBEXHLevel2X" xfId="9927"/>
    <cellStyle name="SAPBEXHLevel2X 2" xfId="9928"/>
    <cellStyle name="SAPBEXHLevel2X 3" xfId="9929"/>
    <cellStyle name="SAPBEXHLevel2X 4" xfId="9930"/>
    <cellStyle name="SAPBEXHLevel2X 5" xfId="9931"/>
    <cellStyle name="SAPBEXHLevel3" xfId="9932"/>
    <cellStyle name="SAPBEXHLevel3 2" xfId="9933"/>
    <cellStyle name="SAPBEXHLevel3 3" xfId="9934"/>
    <cellStyle name="SAPBEXHLevel3 4" xfId="9935"/>
    <cellStyle name="SAPBEXHLevel3 5" xfId="9936"/>
    <cellStyle name="SAPBEXHLevel3X" xfId="9937"/>
    <cellStyle name="SAPBEXHLevel3X 2" xfId="9938"/>
    <cellStyle name="SAPBEXHLevel3X 3" xfId="9939"/>
    <cellStyle name="SAPBEXHLevel3X 4" xfId="9940"/>
    <cellStyle name="SAPBEXHLevel3X 5" xfId="9941"/>
    <cellStyle name="SAPBEXresData" xfId="9942"/>
    <cellStyle name="SAPBEXresDataEmph" xfId="9943"/>
    <cellStyle name="SAPBEXresItem" xfId="9944"/>
    <cellStyle name="SAPBEXresItemX" xfId="9945"/>
    <cellStyle name="SAPBEXstdData" xfId="695"/>
    <cellStyle name="SAPBEXstdData 10" xfId="9946"/>
    <cellStyle name="SAPBEXstdData 2" xfId="9947"/>
    <cellStyle name="SAPBEXstdData 2 10" xfId="9948"/>
    <cellStyle name="SAPBEXstdData 2 10 2" xfId="9949"/>
    <cellStyle name="SAPBEXstdData 2 11" xfId="9950"/>
    <cellStyle name="SAPBEXstdData 2 11 2" xfId="9951"/>
    <cellStyle name="SAPBEXstdData 2 12" xfId="9952"/>
    <cellStyle name="SAPBEXstdData 2 12 2" xfId="9953"/>
    <cellStyle name="SAPBEXstdData 2 13" xfId="9954"/>
    <cellStyle name="SAPBEXstdData 2 2" xfId="9955"/>
    <cellStyle name="SAPBEXstdData 2 2 2" xfId="9956"/>
    <cellStyle name="SAPBEXstdData 2 2 2 2" xfId="9957"/>
    <cellStyle name="SAPBEXstdData 2 2 2 2 2" xfId="9958"/>
    <cellStyle name="SAPBEXstdData 2 2 2 3" xfId="9959"/>
    <cellStyle name="SAPBEXstdData 2 2 3" xfId="9960"/>
    <cellStyle name="SAPBEXstdData 2 2 3 2" xfId="9961"/>
    <cellStyle name="SAPBEXstdData 2 2 3 2 2" xfId="9962"/>
    <cellStyle name="SAPBEXstdData 2 2 3 3" xfId="9963"/>
    <cellStyle name="SAPBEXstdData 2 2 4" xfId="9964"/>
    <cellStyle name="SAPBEXstdData 2 2 4 2" xfId="9965"/>
    <cellStyle name="SAPBEXstdData 2 2 5" xfId="9966"/>
    <cellStyle name="SAPBEXstdData 2 2 5 2" xfId="9967"/>
    <cellStyle name="SAPBEXstdData 2 2 6" xfId="9968"/>
    <cellStyle name="SAPBEXstdData 2 2 6 2" xfId="9969"/>
    <cellStyle name="SAPBEXstdData 2 2 7" xfId="9970"/>
    <cellStyle name="SAPBEXstdData 2 2 7 2" xfId="9971"/>
    <cellStyle name="SAPBEXstdData 2 2 8" xfId="9972"/>
    <cellStyle name="SAPBEXstdData 2 3" xfId="9973"/>
    <cellStyle name="SAPBEXstdData 2 3 10" xfId="9974"/>
    <cellStyle name="SAPBEXstdData 2 3 10 2" xfId="9975"/>
    <cellStyle name="SAPBEXstdData 2 3 11" xfId="9976"/>
    <cellStyle name="SAPBEXstdData 2 3 2" xfId="9977"/>
    <cellStyle name="SAPBEXstdData 2 3 2 2" xfId="9978"/>
    <cellStyle name="SAPBEXstdData 2 3 2 2 2" xfId="9979"/>
    <cellStyle name="SAPBEXstdData 2 3 2 3" xfId="9980"/>
    <cellStyle name="SAPBEXstdData 2 3 3" xfId="9981"/>
    <cellStyle name="SAPBEXstdData 2 3 3 2" xfId="9982"/>
    <cellStyle name="SAPBEXstdData 2 3 4" xfId="9983"/>
    <cellStyle name="SAPBEXstdData 2 3 4 2" xfId="9984"/>
    <cellStyle name="SAPBEXstdData 2 3 5" xfId="9985"/>
    <cellStyle name="SAPBEXstdData 2 3 5 2" xfId="9986"/>
    <cellStyle name="SAPBEXstdData 2 3 6" xfId="9987"/>
    <cellStyle name="SAPBEXstdData 2 3 6 2" xfId="9988"/>
    <cellStyle name="SAPBEXstdData 2 3 7" xfId="9989"/>
    <cellStyle name="SAPBEXstdData 2 3 7 2" xfId="9990"/>
    <cellStyle name="SAPBEXstdData 2 3 8" xfId="9991"/>
    <cellStyle name="SAPBEXstdData 2 3 8 2" xfId="9992"/>
    <cellStyle name="SAPBEXstdData 2 3 9" xfId="9993"/>
    <cellStyle name="SAPBEXstdData 2 3 9 2" xfId="9994"/>
    <cellStyle name="SAPBEXstdData 2 4" xfId="9995"/>
    <cellStyle name="SAPBEXstdData 2 4 10" xfId="9996"/>
    <cellStyle name="SAPBEXstdData 2 4 10 2" xfId="9997"/>
    <cellStyle name="SAPBEXstdData 2 4 11" xfId="9998"/>
    <cellStyle name="SAPBEXstdData 2 4 2" xfId="9999"/>
    <cellStyle name="SAPBEXstdData 2 4 2 2" xfId="10000"/>
    <cellStyle name="SAPBEXstdData 2 4 2 2 2" xfId="10001"/>
    <cellStyle name="SAPBEXstdData 2 4 2 3" xfId="10002"/>
    <cellStyle name="SAPBEXstdData 2 4 3" xfId="10003"/>
    <cellStyle name="SAPBEXstdData 2 4 3 2" xfId="10004"/>
    <cellStyle name="SAPBEXstdData 2 4 4" xfId="10005"/>
    <cellStyle name="SAPBEXstdData 2 4 4 2" xfId="10006"/>
    <cellStyle name="SAPBEXstdData 2 4 5" xfId="10007"/>
    <cellStyle name="SAPBEXstdData 2 4 5 2" xfId="10008"/>
    <cellStyle name="SAPBEXstdData 2 4 6" xfId="10009"/>
    <cellStyle name="SAPBEXstdData 2 4 6 2" xfId="10010"/>
    <cellStyle name="SAPBEXstdData 2 4 7" xfId="10011"/>
    <cellStyle name="SAPBEXstdData 2 4 7 2" xfId="10012"/>
    <cellStyle name="SAPBEXstdData 2 4 8" xfId="10013"/>
    <cellStyle name="SAPBEXstdData 2 4 8 2" xfId="10014"/>
    <cellStyle name="SAPBEXstdData 2 4 9" xfId="10015"/>
    <cellStyle name="SAPBEXstdData 2 4 9 2" xfId="10016"/>
    <cellStyle name="SAPBEXstdData 2 5" xfId="10017"/>
    <cellStyle name="SAPBEXstdData 2 5 10" xfId="10018"/>
    <cellStyle name="SAPBEXstdData 2 5 10 2" xfId="10019"/>
    <cellStyle name="SAPBEXstdData 2 5 11" xfId="10020"/>
    <cellStyle name="SAPBEXstdData 2 5 2" xfId="10021"/>
    <cellStyle name="SAPBEXstdData 2 5 2 2" xfId="10022"/>
    <cellStyle name="SAPBEXstdData 2 5 2 2 2" xfId="10023"/>
    <cellStyle name="SAPBEXstdData 2 5 2 3" xfId="10024"/>
    <cellStyle name="SAPBEXstdData 2 5 3" xfId="10025"/>
    <cellStyle name="SAPBEXstdData 2 5 3 2" xfId="10026"/>
    <cellStyle name="SAPBEXstdData 2 5 4" xfId="10027"/>
    <cellStyle name="SAPBEXstdData 2 5 4 2" xfId="10028"/>
    <cellStyle name="SAPBEXstdData 2 5 5" xfId="10029"/>
    <cellStyle name="SAPBEXstdData 2 5 5 2" xfId="10030"/>
    <cellStyle name="SAPBEXstdData 2 5 6" xfId="10031"/>
    <cellStyle name="SAPBEXstdData 2 5 6 2" xfId="10032"/>
    <cellStyle name="SAPBEXstdData 2 5 7" xfId="10033"/>
    <cellStyle name="SAPBEXstdData 2 5 7 2" xfId="10034"/>
    <cellStyle name="SAPBEXstdData 2 5 8" xfId="10035"/>
    <cellStyle name="SAPBEXstdData 2 5 8 2" xfId="10036"/>
    <cellStyle name="SAPBEXstdData 2 5 9" xfId="10037"/>
    <cellStyle name="SAPBEXstdData 2 5 9 2" xfId="10038"/>
    <cellStyle name="SAPBEXstdData 2 6" xfId="10039"/>
    <cellStyle name="SAPBEXstdData 2 6 10" xfId="10040"/>
    <cellStyle name="SAPBEXstdData 2 6 10 2" xfId="10041"/>
    <cellStyle name="SAPBEXstdData 2 6 11" xfId="10042"/>
    <cellStyle name="SAPBEXstdData 2 6 2" xfId="10043"/>
    <cellStyle name="SAPBEXstdData 2 6 2 2" xfId="10044"/>
    <cellStyle name="SAPBEXstdData 2 6 2 2 2" xfId="10045"/>
    <cellStyle name="SAPBEXstdData 2 6 2 3" xfId="10046"/>
    <cellStyle name="SAPBEXstdData 2 6 3" xfId="10047"/>
    <cellStyle name="SAPBEXstdData 2 6 3 2" xfId="10048"/>
    <cellStyle name="SAPBEXstdData 2 6 4" xfId="10049"/>
    <cellStyle name="SAPBEXstdData 2 6 4 2" xfId="10050"/>
    <cellStyle name="SAPBEXstdData 2 6 5" xfId="10051"/>
    <cellStyle name="SAPBEXstdData 2 6 5 2" xfId="10052"/>
    <cellStyle name="SAPBEXstdData 2 6 6" xfId="10053"/>
    <cellStyle name="SAPBEXstdData 2 6 6 2" xfId="10054"/>
    <cellStyle name="SAPBEXstdData 2 6 7" xfId="10055"/>
    <cellStyle name="SAPBEXstdData 2 6 7 2" xfId="10056"/>
    <cellStyle name="SAPBEXstdData 2 6 8" xfId="10057"/>
    <cellStyle name="SAPBEXstdData 2 6 8 2" xfId="10058"/>
    <cellStyle name="SAPBEXstdData 2 6 9" xfId="10059"/>
    <cellStyle name="SAPBEXstdData 2 6 9 2" xfId="10060"/>
    <cellStyle name="SAPBEXstdData 2 7" xfId="10061"/>
    <cellStyle name="SAPBEXstdData 2 7 2" xfId="10062"/>
    <cellStyle name="SAPBEXstdData 2 7 2 2" xfId="10063"/>
    <cellStyle name="SAPBEXstdData 2 7 3" xfId="10064"/>
    <cellStyle name="SAPBEXstdData 2 8" xfId="10065"/>
    <cellStyle name="SAPBEXstdData 2 8 2" xfId="10066"/>
    <cellStyle name="SAPBEXstdData 2 9" xfId="10067"/>
    <cellStyle name="SAPBEXstdData 2 9 2" xfId="10068"/>
    <cellStyle name="SAPBEXstdData 3" xfId="10069"/>
    <cellStyle name="SAPBEXstdData 3 10" xfId="10070"/>
    <cellStyle name="SAPBEXstdData 3 10 2" xfId="10071"/>
    <cellStyle name="SAPBEXstdData 3 11" xfId="10072"/>
    <cellStyle name="SAPBEXstdData 3 11 2" xfId="10073"/>
    <cellStyle name="SAPBEXstdData 3 12" xfId="10074"/>
    <cellStyle name="SAPBEXstdData 3 12 2" xfId="10075"/>
    <cellStyle name="SAPBEXstdData 3 13" xfId="10076"/>
    <cellStyle name="SAPBEXstdData 3 2" xfId="10077"/>
    <cellStyle name="SAPBEXstdData 3 2 2" xfId="10078"/>
    <cellStyle name="SAPBEXstdData 3 2 2 2" xfId="10079"/>
    <cellStyle name="SAPBEXstdData 3 2 2 2 2" xfId="10080"/>
    <cellStyle name="SAPBEXstdData 3 2 2 3" xfId="10081"/>
    <cellStyle name="SAPBEXstdData 3 2 3" xfId="10082"/>
    <cellStyle name="SAPBEXstdData 3 2 3 2" xfId="10083"/>
    <cellStyle name="SAPBEXstdData 3 2 3 2 2" xfId="10084"/>
    <cellStyle name="SAPBEXstdData 3 2 3 3" xfId="10085"/>
    <cellStyle name="SAPBEXstdData 3 2 4" xfId="10086"/>
    <cellStyle name="SAPBEXstdData 3 2 4 2" xfId="10087"/>
    <cellStyle name="SAPBEXstdData 3 2 5" xfId="10088"/>
    <cellStyle name="SAPBEXstdData 3 2 5 2" xfId="10089"/>
    <cellStyle name="SAPBEXstdData 3 2 6" xfId="10090"/>
    <cellStyle name="SAPBEXstdData 3 2 6 2" xfId="10091"/>
    <cellStyle name="SAPBEXstdData 3 2 7" xfId="10092"/>
    <cellStyle name="SAPBEXstdData 3 2 7 2" xfId="10093"/>
    <cellStyle name="SAPBEXstdData 3 2 8" xfId="10094"/>
    <cellStyle name="SAPBEXstdData 3 3" xfId="10095"/>
    <cellStyle name="SAPBEXstdData 3 3 10" xfId="10096"/>
    <cellStyle name="SAPBEXstdData 3 3 10 2" xfId="10097"/>
    <cellStyle name="SAPBEXstdData 3 3 11" xfId="10098"/>
    <cellStyle name="SAPBEXstdData 3 3 2" xfId="10099"/>
    <cellStyle name="SAPBEXstdData 3 3 2 2" xfId="10100"/>
    <cellStyle name="SAPBEXstdData 3 3 2 2 2" xfId="10101"/>
    <cellStyle name="SAPBEXstdData 3 3 2 3" xfId="10102"/>
    <cellStyle name="SAPBEXstdData 3 3 3" xfId="10103"/>
    <cellStyle name="SAPBEXstdData 3 3 3 2" xfId="10104"/>
    <cellStyle name="SAPBEXstdData 3 3 4" xfId="10105"/>
    <cellStyle name="SAPBEXstdData 3 3 4 2" xfId="10106"/>
    <cellStyle name="SAPBEXstdData 3 3 5" xfId="10107"/>
    <cellStyle name="SAPBEXstdData 3 3 5 2" xfId="10108"/>
    <cellStyle name="SAPBEXstdData 3 3 6" xfId="10109"/>
    <cellStyle name="SAPBEXstdData 3 3 6 2" xfId="10110"/>
    <cellStyle name="SAPBEXstdData 3 3 7" xfId="10111"/>
    <cellStyle name="SAPBEXstdData 3 3 7 2" xfId="10112"/>
    <cellStyle name="SAPBEXstdData 3 3 8" xfId="10113"/>
    <cellStyle name="SAPBEXstdData 3 3 8 2" xfId="10114"/>
    <cellStyle name="SAPBEXstdData 3 3 9" xfId="10115"/>
    <cellStyle name="SAPBEXstdData 3 3 9 2" xfId="10116"/>
    <cellStyle name="SAPBEXstdData 3 4" xfId="10117"/>
    <cellStyle name="SAPBEXstdData 3 4 10" xfId="10118"/>
    <cellStyle name="SAPBEXstdData 3 4 10 2" xfId="10119"/>
    <cellStyle name="SAPBEXstdData 3 4 11" xfId="10120"/>
    <cellStyle name="SAPBEXstdData 3 4 2" xfId="10121"/>
    <cellStyle name="SAPBEXstdData 3 4 2 2" xfId="10122"/>
    <cellStyle name="SAPBEXstdData 3 4 2 2 2" xfId="10123"/>
    <cellStyle name="SAPBEXstdData 3 4 2 3" xfId="10124"/>
    <cellStyle name="SAPBEXstdData 3 4 3" xfId="10125"/>
    <cellStyle name="SAPBEXstdData 3 4 3 2" xfId="10126"/>
    <cellStyle name="SAPBEXstdData 3 4 4" xfId="10127"/>
    <cellStyle name="SAPBEXstdData 3 4 4 2" xfId="10128"/>
    <cellStyle name="SAPBEXstdData 3 4 5" xfId="10129"/>
    <cellStyle name="SAPBEXstdData 3 4 5 2" xfId="10130"/>
    <cellStyle name="SAPBEXstdData 3 4 6" xfId="10131"/>
    <cellStyle name="SAPBEXstdData 3 4 6 2" xfId="10132"/>
    <cellStyle name="SAPBEXstdData 3 4 7" xfId="10133"/>
    <cellStyle name="SAPBEXstdData 3 4 7 2" xfId="10134"/>
    <cellStyle name="SAPBEXstdData 3 4 8" xfId="10135"/>
    <cellStyle name="SAPBEXstdData 3 4 8 2" xfId="10136"/>
    <cellStyle name="SAPBEXstdData 3 4 9" xfId="10137"/>
    <cellStyle name="SAPBEXstdData 3 4 9 2" xfId="10138"/>
    <cellStyle name="SAPBEXstdData 3 5" xfId="10139"/>
    <cellStyle name="SAPBEXstdData 3 5 10" xfId="10140"/>
    <cellStyle name="SAPBEXstdData 3 5 10 2" xfId="10141"/>
    <cellStyle name="SAPBEXstdData 3 5 11" xfId="10142"/>
    <cellStyle name="SAPBEXstdData 3 5 2" xfId="10143"/>
    <cellStyle name="SAPBEXstdData 3 5 2 2" xfId="10144"/>
    <cellStyle name="SAPBEXstdData 3 5 2 2 2" xfId="10145"/>
    <cellStyle name="SAPBEXstdData 3 5 2 3" xfId="10146"/>
    <cellStyle name="SAPBEXstdData 3 5 3" xfId="10147"/>
    <cellStyle name="SAPBEXstdData 3 5 3 2" xfId="10148"/>
    <cellStyle name="SAPBEXstdData 3 5 4" xfId="10149"/>
    <cellStyle name="SAPBEXstdData 3 5 4 2" xfId="10150"/>
    <cellStyle name="SAPBEXstdData 3 5 5" xfId="10151"/>
    <cellStyle name="SAPBEXstdData 3 5 5 2" xfId="10152"/>
    <cellStyle name="SAPBEXstdData 3 5 6" xfId="10153"/>
    <cellStyle name="SAPBEXstdData 3 5 6 2" xfId="10154"/>
    <cellStyle name="SAPBEXstdData 3 5 7" xfId="10155"/>
    <cellStyle name="SAPBEXstdData 3 5 7 2" xfId="10156"/>
    <cellStyle name="SAPBEXstdData 3 5 8" xfId="10157"/>
    <cellStyle name="SAPBEXstdData 3 5 8 2" xfId="10158"/>
    <cellStyle name="SAPBEXstdData 3 5 9" xfId="10159"/>
    <cellStyle name="SAPBEXstdData 3 5 9 2" xfId="10160"/>
    <cellStyle name="SAPBEXstdData 3 6" xfId="10161"/>
    <cellStyle name="SAPBEXstdData 3 6 10" xfId="10162"/>
    <cellStyle name="SAPBEXstdData 3 6 10 2" xfId="10163"/>
    <cellStyle name="SAPBEXstdData 3 6 11" xfId="10164"/>
    <cellStyle name="SAPBEXstdData 3 6 2" xfId="10165"/>
    <cellStyle name="SAPBEXstdData 3 6 2 2" xfId="10166"/>
    <cellStyle name="SAPBEXstdData 3 6 2 2 2" xfId="10167"/>
    <cellStyle name="SAPBEXstdData 3 6 2 3" xfId="10168"/>
    <cellStyle name="SAPBEXstdData 3 6 3" xfId="10169"/>
    <cellStyle name="SAPBEXstdData 3 6 3 2" xfId="10170"/>
    <cellStyle name="SAPBEXstdData 3 6 4" xfId="10171"/>
    <cellStyle name="SAPBEXstdData 3 6 4 2" xfId="10172"/>
    <cellStyle name="SAPBEXstdData 3 6 5" xfId="10173"/>
    <cellStyle name="SAPBEXstdData 3 6 5 2" xfId="10174"/>
    <cellStyle name="SAPBEXstdData 3 6 6" xfId="10175"/>
    <cellStyle name="SAPBEXstdData 3 6 6 2" xfId="10176"/>
    <cellStyle name="SAPBEXstdData 3 6 7" xfId="10177"/>
    <cellStyle name="SAPBEXstdData 3 6 7 2" xfId="10178"/>
    <cellStyle name="SAPBEXstdData 3 6 8" xfId="10179"/>
    <cellStyle name="SAPBEXstdData 3 6 8 2" xfId="10180"/>
    <cellStyle name="SAPBEXstdData 3 6 9" xfId="10181"/>
    <cellStyle name="SAPBEXstdData 3 6 9 2" xfId="10182"/>
    <cellStyle name="SAPBEXstdData 3 7" xfId="10183"/>
    <cellStyle name="SAPBEXstdData 3 7 2" xfId="10184"/>
    <cellStyle name="SAPBEXstdData 3 7 2 2" xfId="10185"/>
    <cellStyle name="SAPBEXstdData 3 7 3" xfId="10186"/>
    <cellStyle name="SAPBEXstdData 3 8" xfId="10187"/>
    <cellStyle name="SAPBEXstdData 3 8 2" xfId="10188"/>
    <cellStyle name="SAPBEXstdData 3 9" xfId="10189"/>
    <cellStyle name="SAPBEXstdData 3 9 2" xfId="10190"/>
    <cellStyle name="SAPBEXstdData 4" xfId="10191"/>
    <cellStyle name="SAPBEXstdData 4 10" xfId="10192"/>
    <cellStyle name="SAPBEXstdData 4 10 2" xfId="10193"/>
    <cellStyle name="SAPBEXstdData 4 11" xfId="10194"/>
    <cellStyle name="SAPBEXstdData 4 11 2" xfId="10195"/>
    <cellStyle name="SAPBEXstdData 4 12" xfId="10196"/>
    <cellStyle name="SAPBEXstdData 4 12 2" xfId="10197"/>
    <cellStyle name="SAPBEXstdData 4 13" xfId="10198"/>
    <cellStyle name="SAPBEXstdData 4 2" xfId="10199"/>
    <cellStyle name="SAPBEXstdData 4 2 2" xfId="10200"/>
    <cellStyle name="SAPBEXstdData 4 2 2 2" xfId="10201"/>
    <cellStyle name="SAPBEXstdData 4 2 2 2 2" xfId="10202"/>
    <cellStyle name="SAPBEXstdData 4 2 2 3" xfId="10203"/>
    <cellStyle name="SAPBEXstdData 4 2 3" xfId="10204"/>
    <cellStyle name="SAPBEXstdData 4 2 3 2" xfId="10205"/>
    <cellStyle name="SAPBEXstdData 4 2 3 2 2" xfId="10206"/>
    <cellStyle name="SAPBEXstdData 4 2 3 3" xfId="10207"/>
    <cellStyle name="SAPBEXstdData 4 2 4" xfId="10208"/>
    <cellStyle name="SAPBEXstdData 4 2 4 2" xfId="10209"/>
    <cellStyle name="SAPBEXstdData 4 2 5" xfId="10210"/>
    <cellStyle name="SAPBEXstdData 4 2 5 2" xfId="10211"/>
    <cellStyle name="SAPBEXstdData 4 2 6" xfId="10212"/>
    <cellStyle name="SAPBEXstdData 4 2 6 2" xfId="10213"/>
    <cellStyle name="SAPBEXstdData 4 2 7" xfId="10214"/>
    <cellStyle name="SAPBEXstdData 4 2 7 2" xfId="10215"/>
    <cellStyle name="SAPBEXstdData 4 2 8" xfId="10216"/>
    <cellStyle name="SAPBEXstdData 4 3" xfId="10217"/>
    <cellStyle name="SAPBEXstdData 4 3 10" xfId="10218"/>
    <cellStyle name="SAPBEXstdData 4 3 10 2" xfId="10219"/>
    <cellStyle name="SAPBEXstdData 4 3 11" xfId="10220"/>
    <cellStyle name="SAPBEXstdData 4 3 2" xfId="10221"/>
    <cellStyle name="SAPBEXstdData 4 3 2 2" xfId="10222"/>
    <cellStyle name="SAPBEXstdData 4 3 2 2 2" xfId="10223"/>
    <cellStyle name="SAPBEXstdData 4 3 2 3" xfId="10224"/>
    <cellStyle name="SAPBEXstdData 4 3 3" xfId="10225"/>
    <cellStyle name="SAPBEXstdData 4 3 3 2" xfId="10226"/>
    <cellStyle name="SAPBEXstdData 4 3 4" xfId="10227"/>
    <cellStyle name="SAPBEXstdData 4 3 4 2" xfId="10228"/>
    <cellStyle name="SAPBEXstdData 4 3 5" xfId="10229"/>
    <cellStyle name="SAPBEXstdData 4 3 5 2" xfId="10230"/>
    <cellStyle name="SAPBEXstdData 4 3 6" xfId="10231"/>
    <cellStyle name="SAPBEXstdData 4 3 6 2" xfId="10232"/>
    <cellStyle name="SAPBEXstdData 4 3 7" xfId="10233"/>
    <cellStyle name="SAPBEXstdData 4 3 7 2" xfId="10234"/>
    <cellStyle name="SAPBEXstdData 4 3 8" xfId="10235"/>
    <cellStyle name="SAPBEXstdData 4 3 8 2" xfId="10236"/>
    <cellStyle name="SAPBEXstdData 4 3 9" xfId="10237"/>
    <cellStyle name="SAPBEXstdData 4 3 9 2" xfId="10238"/>
    <cellStyle name="SAPBEXstdData 4 4" xfId="10239"/>
    <cellStyle name="SAPBEXstdData 4 4 10" xfId="10240"/>
    <cellStyle name="SAPBEXstdData 4 4 10 2" xfId="10241"/>
    <cellStyle name="SAPBEXstdData 4 4 11" xfId="10242"/>
    <cellStyle name="SAPBEXstdData 4 4 2" xfId="10243"/>
    <cellStyle name="SAPBEXstdData 4 4 2 2" xfId="10244"/>
    <cellStyle name="SAPBEXstdData 4 4 2 2 2" xfId="10245"/>
    <cellStyle name="SAPBEXstdData 4 4 2 3" xfId="10246"/>
    <cellStyle name="SAPBEXstdData 4 4 3" xfId="10247"/>
    <cellStyle name="SAPBEXstdData 4 4 3 2" xfId="10248"/>
    <cellStyle name="SAPBEXstdData 4 4 4" xfId="10249"/>
    <cellStyle name="SAPBEXstdData 4 4 4 2" xfId="10250"/>
    <cellStyle name="SAPBEXstdData 4 4 5" xfId="10251"/>
    <cellStyle name="SAPBEXstdData 4 4 5 2" xfId="10252"/>
    <cellStyle name="SAPBEXstdData 4 4 6" xfId="10253"/>
    <cellStyle name="SAPBEXstdData 4 4 6 2" xfId="10254"/>
    <cellStyle name="SAPBEXstdData 4 4 7" xfId="10255"/>
    <cellStyle name="SAPBEXstdData 4 4 7 2" xfId="10256"/>
    <cellStyle name="SAPBEXstdData 4 4 8" xfId="10257"/>
    <cellStyle name="SAPBEXstdData 4 4 8 2" xfId="10258"/>
    <cellStyle name="SAPBEXstdData 4 4 9" xfId="10259"/>
    <cellStyle name="SAPBEXstdData 4 4 9 2" xfId="10260"/>
    <cellStyle name="SAPBEXstdData 4 5" xfId="10261"/>
    <cellStyle name="SAPBEXstdData 4 5 10" xfId="10262"/>
    <cellStyle name="SAPBEXstdData 4 5 10 2" xfId="10263"/>
    <cellStyle name="SAPBEXstdData 4 5 11" xfId="10264"/>
    <cellStyle name="SAPBEXstdData 4 5 2" xfId="10265"/>
    <cellStyle name="SAPBEXstdData 4 5 2 2" xfId="10266"/>
    <cellStyle name="SAPBEXstdData 4 5 2 2 2" xfId="10267"/>
    <cellStyle name="SAPBEXstdData 4 5 2 3" xfId="10268"/>
    <cellStyle name="SAPBEXstdData 4 5 3" xfId="10269"/>
    <cellStyle name="SAPBEXstdData 4 5 3 2" xfId="10270"/>
    <cellStyle name="SAPBEXstdData 4 5 4" xfId="10271"/>
    <cellStyle name="SAPBEXstdData 4 5 4 2" xfId="10272"/>
    <cellStyle name="SAPBEXstdData 4 5 5" xfId="10273"/>
    <cellStyle name="SAPBEXstdData 4 5 5 2" xfId="10274"/>
    <cellStyle name="SAPBEXstdData 4 5 6" xfId="10275"/>
    <cellStyle name="SAPBEXstdData 4 5 6 2" xfId="10276"/>
    <cellStyle name="SAPBEXstdData 4 5 7" xfId="10277"/>
    <cellStyle name="SAPBEXstdData 4 5 7 2" xfId="10278"/>
    <cellStyle name="SAPBEXstdData 4 5 8" xfId="10279"/>
    <cellStyle name="SAPBEXstdData 4 5 8 2" xfId="10280"/>
    <cellStyle name="SAPBEXstdData 4 5 9" xfId="10281"/>
    <cellStyle name="SAPBEXstdData 4 5 9 2" xfId="10282"/>
    <cellStyle name="SAPBEXstdData 4 6" xfId="10283"/>
    <cellStyle name="SAPBEXstdData 4 6 10" xfId="10284"/>
    <cellStyle name="SAPBEXstdData 4 6 10 2" xfId="10285"/>
    <cellStyle name="SAPBEXstdData 4 6 11" xfId="10286"/>
    <cellStyle name="SAPBEXstdData 4 6 2" xfId="10287"/>
    <cellStyle name="SAPBEXstdData 4 6 2 2" xfId="10288"/>
    <cellStyle name="SAPBEXstdData 4 6 2 2 2" xfId="10289"/>
    <cellStyle name="SAPBEXstdData 4 6 2 3" xfId="10290"/>
    <cellStyle name="SAPBEXstdData 4 6 3" xfId="10291"/>
    <cellStyle name="SAPBEXstdData 4 6 3 2" xfId="10292"/>
    <cellStyle name="SAPBEXstdData 4 6 4" xfId="10293"/>
    <cellStyle name="SAPBEXstdData 4 6 4 2" xfId="10294"/>
    <cellStyle name="SAPBEXstdData 4 6 5" xfId="10295"/>
    <cellStyle name="SAPBEXstdData 4 6 5 2" xfId="10296"/>
    <cellStyle name="SAPBEXstdData 4 6 6" xfId="10297"/>
    <cellStyle name="SAPBEXstdData 4 6 6 2" xfId="10298"/>
    <cellStyle name="SAPBEXstdData 4 6 7" xfId="10299"/>
    <cellStyle name="SAPBEXstdData 4 6 7 2" xfId="10300"/>
    <cellStyle name="SAPBEXstdData 4 6 8" xfId="10301"/>
    <cellStyle name="SAPBEXstdData 4 6 8 2" xfId="10302"/>
    <cellStyle name="SAPBEXstdData 4 6 9" xfId="10303"/>
    <cellStyle name="SAPBEXstdData 4 6 9 2" xfId="10304"/>
    <cellStyle name="SAPBEXstdData 4 7" xfId="10305"/>
    <cellStyle name="SAPBEXstdData 4 7 2" xfId="10306"/>
    <cellStyle name="SAPBEXstdData 4 7 2 2" xfId="10307"/>
    <cellStyle name="SAPBEXstdData 4 7 3" xfId="10308"/>
    <cellStyle name="SAPBEXstdData 4 8" xfId="10309"/>
    <cellStyle name="SAPBEXstdData 4 8 2" xfId="10310"/>
    <cellStyle name="SAPBEXstdData 4 9" xfId="10311"/>
    <cellStyle name="SAPBEXstdData 4 9 2" xfId="10312"/>
    <cellStyle name="SAPBEXstdData 5" xfId="10313"/>
    <cellStyle name="SAPBEXstdData 5 10" xfId="10314"/>
    <cellStyle name="SAPBEXstdData 5 10 2" xfId="10315"/>
    <cellStyle name="SAPBEXstdData 5 11" xfId="10316"/>
    <cellStyle name="SAPBEXstdData 5 2" xfId="10317"/>
    <cellStyle name="SAPBEXstdData 5 2 2" xfId="10318"/>
    <cellStyle name="SAPBEXstdData 5 2 2 2" xfId="10319"/>
    <cellStyle name="SAPBEXstdData 5 2 3" xfId="10320"/>
    <cellStyle name="SAPBEXstdData 5 3" xfId="10321"/>
    <cellStyle name="SAPBEXstdData 5 3 2" xfId="10322"/>
    <cellStyle name="SAPBEXstdData 5 4" xfId="10323"/>
    <cellStyle name="SAPBEXstdData 5 4 2" xfId="10324"/>
    <cellStyle name="SAPBEXstdData 5 5" xfId="10325"/>
    <cellStyle name="SAPBEXstdData 5 5 2" xfId="10326"/>
    <cellStyle name="SAPBEXstdData 5 6" xfId="10327"/>
    <cellStyle name="SAPBEXstdData 5 6 2" xfId="10328"/>
    <cellStyle name="SAPBEXstdData 5 7" xfId="10329"/>
    <cellStyle name="SAPBEXstdData 5 7 2" xfId="10330"/>
    <cellStyle name="SAPBEXstdData 5 8" xfId="10331"/>
    <cellStyle name="SAPBEXstdData 5 8 2" xfId="10332"/>
    <cellStyle name="SAPBEXstdData 5 9" xfId="10333"/>
    <cellStyle name="SAPBEXstdData 5 9 2" xfId="10334"/>
    <cellStyle name="SAPBEXstdData 6" xfId="10335"/>
    <cellStyle name="SAPBEXstdData 6 2" xfId="10336"/>
    <cellStyle name="SAPBEXstdData 6 2 2" xfId="10337"/>
    <cellStyle name="SAPBEXstdData 6 3" xfId="10338"/>
    <cellStyle name="SAPBEXstdData 7" xfId="10339"/>
    <cellStyle name="SAPBEXstdData 7 2" xfId="10340"/>
    <cellStyle name="SAPBEXstdData 8" xfId="10341"/>
    <cellStyle name="SAPBEXstdData 8 2" xfId="10342"/>
    <cellStyle name="SAPBEXstdData 9" xfId="10343"/>
    <cellStyle name="SAPBEXstdData_Copy of xSAPtemp5457" xfId="10344"/>
    <cellStyle name="SAPBEXstdDataEmph" xfId="10345"/>
    <cellStyle name="SAPBEXstdItem" xfId="696"/>
    <cellStyle name="SAPBEXstdItem 10" xfId="10346"/>
    <cellStyle name="SAPBEXstdItem 11" xfId="10347"/>
    <cellStyle name="SAPBEXstdItem 2" xfId="10348"/>
    <cellStyle name="SAPBEXstdItem 2 10" xfId="10349"/>
    <cellStyle name="SAPBEXstdItem 2 10 2" xfId="10350"/>
    <cellStyle name="SAPBEXstdItem 2 11" xfId="10351"/>
    <cellStyle name="SAPBEXstdItem 2 11 2" xfId="10352"/>
    <cellStyle name="SAPBEXstdItem 2 12" xfId="10353"/>
    <cellStyle name="SAPBEXstdItem 2 12 2" xfId="10354"/>
    <cellStyle name="SAPBEXstdItem 2 13" xfId="10355"/>
    <cellStyle name="SAPBEXstdItem 2 2" xfId="10356"/>
    <cellStyle name="SAPBEXstdItem 2 2 2" xfId="10357"/>
    <cellStyle name="SAPBEXstdItem 2 2 2 2" xfId="10358"/>
    <cellStyle name="SAPBEXstdItem 2 2 2 2 2" xfId="10359"/>
    <cellStyle name="SAPBEXstdItem 2 2 2 3" xfId="10360"/>
    <cellStyle name="SAPBEXstdItem 2 2 3" xfId="10361"/>
    <cellStyle name="SAPBEXstdItem 2 2 3 2" xfId="10362"/>
    <cellStyle name="SAPBEXstdItem 2 2 3 2 2" xfId="10363"/>
    <cellStyle name="SAPBEXstdItem 2 2 3 3" xfId="10364"/>
    <cellStyle name="SAPBEXstdItem 2 2 4" xfId="10365"/>
    <cellStyle name="SAPBEXstdItem 2 2 4 2" xfId="10366"/>
    <cellStyle name="SAPBEXstdItem 2 2 5" xfId="10367"/>
    <cellStyle name="SAPBEXstdItem 2 2 5 2" xfId="10368"/>
    <cellStyle name="SAPBEXstdItem 2 2 6" xfId="10369"/>
    <cellStyle name="SAPBEXstdItem 2 2 6 2" xfId="10370"/>
    <cellStyle name="SAPBEXstdItem 2 2 7" xfId="10371"/>
    <cellStyle name="SAPBEXstdItem 2 2 7 2" xfId="10372"/>
    <cellStyle name="SAPBEXstdItem 2 2 8" xfId="10373"/>
    <cellStyle name="SAPBEXstdItem 2 3" xfId="10374"/>
    <cellStyle name="SAPBEXstdItem 2 3 10" xfId="10375"/>
    <cellStyle name="SAPBEXstdItem 2 3 10 2" xfId="10376"/>
    <cellStyle name="SAPBEXstdItem 2 3 11" xfId="10377"/>
    <cellStyle name="SAPBEXstdItem 2 3 2" xfId="10378"/>
    <cellStyle name="SAPBEXstdItem 2 3 2 2" xfId="10379"/>
    <cellStyle name="SAPBEXstdItem 2 3 2 2 2" xfId="10380"/>
    <cellStyle name="SAPBEXstdItem 2 3 2 3" xfId="10381"/>
    <cellStyle name="SAPBEXstdItem 2 3 3" xfId="10382"/>
    <cellStyle name="SAPBEXstdItem 2 3 3 2" xfId="10383"/>
    <cellStyle name="SAPBEXstdItem 2 3 4" xfId="10384"/>
    <cellStyle name="SAPBEXstdItem 2 3 4 2" xfId="10385"/>
    <cellStyle name="SAPBEXstdItem 2 3 5" xfId="10386"/>
    <cellStyle name="SAPBEXstdItem 2 3 5 2" xfId="10387"/>
    <cellStyle name="SAPBEXstdItem 2 3 6" xfId="10388"/>
    <cellStyle name="SAPBEXstdItem 2 3 6 2" xfId="10389"/>
    <cellStyle name="SAPBEXstdItem 2 3 7" xfId="10390"/>
    <cellStyle name="SAPBEXstdItem 2 3 7 2" xfId="10391"/>
    <cellStyle name="SAPBEXstdItem 2 3 8" xfId="10392"/>
    <cellStyle name="SAPBEXstdItem 2 3 8 2" xfId="10393"/>
    <cellStyle name="SAPBEXstdItem 2 3 9" xfId="10394"/>
    <cellStyle name="SAPBEXstdItem 2 3 9 2" xfId="10395"/>
    <cellStyle name="SAPBEXstdItem 2 4" xfId="10396"/>
    <cellStyle name="SAPBEXstdItem 2 4 10" xfId="10397"/>
    <cellStyle name="SAPBEXstdItem 2 4 10 2" xfId="10398"/>
    <cellStyle name="SAPBEXstdItem 2 4 11" xfId="10399"/>
    <cellStyle name="SAPBEXstdItem 2 4 2" xfId="10400"/>
    <cellStyle name="SAPBEXstdItem 2 4 2 2" xfId="10401"/>
    <cellStyle name="SAPBEXstdItem 2 4 2 2 2" xfId="10402"/>
    <cellStyle name="SAPBEXstdItem 2 4 2 3" xfId="10403"/>
    <cellStyle name="SAPBEXstdItem 2 4 3" xfId="10404"/>
    <cellStyle name="SAPBEXstdItem 2 4 3 2" xfId="10405"/>
    <cellStyle name="SAPBEXstdItem 2 4 4" xfId="10406"/>
    <cellStyle name="SAPBEXstdItem 2 4 4 2" xfId="10407"/>
    <cellStyle name="SAPBEXstdItem 2 4 5" xfId="10408"/>
    <cellStyle name="SAPBEXstdItem 2 4 5 2" xfId="10409"/>
    <cellStyle name="SAPBEXstdItem 2 4 6" xfId="10410"/>
    <cellStyle name="SAPBEXstdItem 2 4 6 2" xfId="10411"/>
    <cellStyle name="SAPBEXstdItem 2 4 7" xfId="10412"/>
    <cellStyle name="SAPBEXstdItem 2 4 7 2" xfId="10413"/>
    <cellStyle name="SAPBEXstdItem 2 4 8" xfId="10414"/>
    <cellStyle name="SAPBEXstdItem 2 4 8 2" xfId="10415"/>
    <cellStyle name="SAPBEXstdItem 2 4 9" xfId="10416"/>
    <cellStyle name="SAPBEXstdItem 2 4 9 2" xfId="10417"/>
    <cellStyle name="SAPBEXstdItem 2 5" xfId="10418"/>
    <cellStyle name="SAPBEXstdItem 2 5 10" xfId="10419"/>
    <cellStyle name="SAPBEXstdItem 2 5 10 2" xfId="10420"/>
    <cellStyle name="SAPBEXstdItem 2 5 11" xfId="10421"/>
    <cellStyle name="SAPBEXstdItem 2 5 2" xfId="10422"/>
    <cellStyle name="SAPBEXstdItem 2 5 2 2" xfId="10423"/>
    <cellStyle name="SAPBEXstdItem 2 5 2 2 2" xfId="10424"/>
    <cellStyle name="SAPBEXstdItem 2 5 2 3" xfId="10425"/>
    <cellStyle name="SAPBEXstdItem 2 5 3" xfId="10426"/>
    <cellStyle name="SAPBEXstdItem 2 5 3 2" xfId="10427"/>
    <cellStyle name="SAPBEXstdItem 2 5 4" xfId="10428"/>
    <cellStyle name="SAPBEXstdItem 2 5 4 2" xfId="10429"/>
    <cellStyle name="SAPBEXstdItem 2 5 5" xfId="10430"/>
    <cellStyle name="SAPBEXstdItem 2 5 5 2" xfId="10431"/>
    <cellStyle name="SAPBEXstdItem 2 5 6" xfId="10432"/>
    <cellStyle name="SAPBEXstdItem 2 5 6 2" xfId="10433"/>
    <cellStyle name="SAPBEXstdItem 2 5 7" xfId="10434"/>
    <cellStyle name="SAPBEXstdItem 2 5 7 2" xfId="10435"/>
    <cellStyle name="SAPBEXstdItem 2 5 8" xfId="10436"/>
    <cellStyle name="SAPBEXstdItem 2 5 8 2" xfId="10437"/>
    <cellStyle name="SAPBEXstdItem 2 5 9" xfId="10438"/>
    <cellStyle name="SAPBEXstdItem 2 5 9 2" xfId="10439"/>
    <cellStyle name="SAPBEXstdItem 2 6" xfId="10440"/>
    <cellStyle name="SAPBEXstdItem 2 6 10" xfId="10441"/>
    <cellStyle name="SAPBEXstdItem 2 6 10 2" xfId="10442"/>
    <cellStyle name="SAPBEXstdItem 2 6 11" xfId="10443"/>
    <cellStyle name="SAPBEXstdItem 2 6 2" xfId="10444"/>
    <cellStyle name="SAPBEXstdItem 2 6 2 2" xfId="10445"/>
    <cellStyle name="SAPBEXstdItem 2 6 2 2 2" xfId="10446"/>
    <cellStyle name="SAPBEXstdItem 2 6 2 3" xfId="10447"/>
    <cellStyle name="SAPBEXstdItem 2 6 3" xfId="10448"/>
    <cellStyle name="SAPBEXstdItem 2 6 3 2" xfId="10449"/>
    <cellStyle name="SAPBEXstdItem 2 6 4" xfId="10450"/>
    <cellStyle name="SAPBEXstdItem 2 6 4 2" xfId="10451"/>
    <cellStyle name="SAPBEXstdItem 2 6 5" xfId="10452"/>
    <cellStyle name="SAPBEXstdItem 2 6 5 2" xfId="10453"/>
    <cellStyle name="SAPBEXstdItem 2 6 6" xfId="10454"/>
    <cellStyle name="SAPBEXstdItem 2 6 6 2" xfId="10455"/>
    <cellStyle name="SAPBEXstdItem 2 6 7" xfId="10456"/>
    <cellStyle name="SAPBEXstdItem 2 6 7 2" xfId="10457"/>
    <cellStyle name="SAPBEXstdItem 2 6 8" xfId="10458"/>
    <cellStyle name="SAPBEXstdItem 2 6 8 2" xfId="10459"/>
    <cellStyle name="SAPBEXstdItem 2 6 9" xfId="10460"/>
    <cellStyle name="SAPBEXstdItem 2 6 9 2" xfId="10461"/>
    <cellStyle name="SAPBEXstdItem 2 7" xfId="10462"/>
    <cellStyle name="SAPBEXstdItem 2 7 2" xfId="10463"/>
    <cellStyle name="SAPBEXstdItem 2 7 2 2" xfId="10464"/>
    <cellStyle name="SAPBEXstdItem 2 7 3" xfId="10465"/>
    <cellStyle name="SAPBEXstdItem 2 8" xfId="10466"/>
    <cellStyle name="SAPBEXstdItem 2 8 2" xfId="10467"/>
    <cellStyle name="SAPBEXstdItem 2 9" xfId="10468"/>
    <cellStyle name="SAPBEXstdItem 2 9 2" xfId="10469"/>
    <cellStyle name="SAPBEXstdItem 3" xfId="10470"/>
    <cellStyle name="SAPBEXstdItem 3 10" xfId="10471"/>
    <cellStyle name="SAPBEXstdItem 3 10 2" xfId="10472"/>
    <cellStyle name="SAPBEXstdItem 3 11" xfId="10473"/>
    <cellStyle name="SAPBEXstdItem 3 11 2" xfId="10474"/>
    <cellStyle name="SAPBEXstdItem 3 12" xfId="10475"/>
    <cellStyle name="SAPBEXstdItem 3 12 2" xfId="10476"/>
    <cellStyle name="SAPBEXstdItem 3 13" xfId="10477"/>
    <cellStyle name="SAPBEXstdItem 3 2" xfId="10478"/>
    <cellStyle name="SAPBEXstdItem 3 2 2" xfId="10479"/>
    <cellStyle name="SAPBEXstdItem 3 2 2 2" xfId="10480"/>
    <cellStyle name="SAPBEXstdItem 3 2 2 2 2" xfId="10481"/>
    <cellStyle name="SAPBEXstdItem 3 2 2 3" xfId="10482"/>
    <cellStyle name="SAPBEXstdItem 3 2 3" xfId="10483"/>
    <cellStyle name="SAPBEXstdItem 3 2 3 2" xfId="10484"/>
    <cellStyle name="SAPBEXstdItem 3 2 3 2 2" xfId="10485"/>
    <cellStyle name="SAPBEXstdItem 3 2 3 3" xfId="10486"/>
    <cellStyle name="SAPBEXstdItem 3 2 4" xfId="10487"/>
    <cellStyle name="SAPBEXstdItem 3 2 4 2" xfId="10488"/>
    <cellStyle name="SAPBEXstdItem 3 2 5" xfId="10489"/>
    <cellStyle name="SAPBEXstdItem 3 2 5 2" xfId="10490"/>
    <cellStyle name="SAPBEXstdItem 3 2 6" xfId="10491"/>
    <cellStyle name="SAPBEXstdItem 3 2 6 2" xfId="10492"/>
    <cellStyle name="SAPBEXstdItem 3 2 7" xfId="10493"/>
    <cellStyle name="SAPBEXstdItem 3 2 7 2" xfId="10494"/>
    <cellStyle name="SAPBEXstdItem 3 2 8" xfId="10495"/>
    <cellStyle name="SAPBEXstdItem 3 3" xfId="10496"/>
    <cellStyle name="SAPBEXstdItem 3 3 10" xfId="10497"/>
    <cellStyle name="SAPBEXstdItem 3 3 10 2" xfId="10498"/>
    <cellStyle name="SAPBEXstdItem 3 3 11" xfId="10499"/>
    <cellStyle name="SAPBEXstdItem 3 3 2" xfId="10500"/>
    <cellStyle name="SAPBEXstdItem 3 3 2 2" xfId="10501"/>
    <cellStyle name="SAPBEXstdItem 3 3 2 2 2" xfId="10502"/>
    <cellStyle name="SAPBEXstdItem 3 3 2 3" xfId="10503"/>
    <cellStyle name="SAPBEXstdItem 3 3 3" xfId="10504"/>
    <cellStyle name="SAPBEXstdItem 3 3 3 2" xfId="10505"/>
    <cellStyle name="SAPBEXstdItem 3 3 4" xfId="10506"/>
    <cellStyle name="SAPBEXstdItem 3 3 4 2" xfId="10507"/>
    <cellStyle name="SAPBEXstdItem 3 3 5" xfId="10508"/>
    <cellStyle name="SAPBEXstdItem 3 3 5 2" xfId="10509"/>
    <cellStyle name="SAPBEXstdItem 3 3 6" xfId="10510"/>
    <cellStyle name="SAPBEXstdItem 3 3 6 2" xfId="10511"/>
    <cellStyle name="SAPBEXstdItem 3 3 7" xfId="10512"/>
    <cellStyle name="SAPBEXstdItem 3 3 7 2" xfId="10513"/>
    <cellStyle name="SAPBEXstdItem 3 3 8" xfId="10514"/>
    <cellStyle name="SAPBEXstdItem 3 3 8 2" xfId="10515"/>
    <cellStyle name="SAPBEXstdItem 3 3 9" xfId="10516"/>
    <cellStyle name="SAPBEXstdItem 3 3 9 2" xfId="10517"/>
    <cellStyle name="SAPBEXstdItem 3 4" xfId="10518"/>
    <cellStyle name="SAPBEXstdItem 3 4 10" xfId="10519"/>
    <cellStyle name="SAPBEXstdItem 3 4 10 2" xfId="10520"/>
    <cellStyle name="SAPBEXstdItem 3 4 11" xfId="10521"/>
    <cellStyle name="SAPBEXstdItem 3 4 2" xfId="10522"/>
    <cellStyle name="SAPBEXstdItem 3 4 2 2" xfId="10523"/>
    <cellStyle name="SAPBEXstdItem 3 4 2 2 2" xfId="10524"/>
    <cellStyle name="SAPBEXstdItem 3 4 2 3" xfId="10525"/>
    <cellStyle name="SAPBEXstdItem 3 4 3" xfId="10526"/>
    <cellStyle name="SAPBEXstdItem 3 4 3 2" xfId="10527"/>
    <cellStyle name="SAPBEXstdItem 3 4 4" xfId="10528"/>
    <cellStyle name="SAPBEXstdItem 3 4 4 2" xfId="10529"/>
    <cellStyle name="SAPBEXstdItem 3 4 5" xfId="10530"/>
    <cellStyle name="SAPBEXstdItem 3 4 5 2" xfId="10531"/>
    <cellStyle name="SAPBEXstdItem 3 4 6" xfId="10532"/>
    <cellStyle name="SAPBEXstdItem 3 4 6 2" xfId="10533"/>
    <cellStyle name="SAPBEXstdItem 3 4 7" xfId="10534"/>
    <cellStyle name="SAPBEXstdItem 3 4 7 2" xfId="10535"/>
    <cellStyle name="SAPBEXstdItem 3 4 8" xfId="10536"/>
    <cellStyle name="SAPBEXstdItem 3 4 8 2" xfId="10537"/>
    <cellStyle name="SAPBEXstdItem 3 4 9" xfId="10538"/>
    <cellStyle name="SAPBEXstdItem 3 4 9 2" xfId="10539"/>
    <cellStyle name="SAPBEXstdItem 3 5" xfId="10540"/>
    <cellStyle name="SAPBEXstdItem 3 5 10" xfId="10541"/>
    <cellStyle name="SAPBEXstdItem 3 5 10 2" xfId="10542"/>
    <cellStyle name="SAPBEXstdItem 3 5 11" xfId="10543"/>
    <cellStyle name="SAPBEXstdItem 3 5 2" xfId="10544"/>
    <cellStyle name="SAPBEXstdItem 3 5 2 2" xfId="10545"/>
    <cellStyle name="SAPBEXstdItem 3 5 2 2 2" xfId="10546"/>
    <cellStyle name="SAPBEXstdItem 3 5 2 3" xfId="10547"/>
    <cellStyle name="SAPBEXstdItem 3 5 3" xfId="10548"/>
    <cellStyle name="SAPBEXstdItem 3 5 3 2" xfId="10549"/>
    <cellStyle name="SAPBEXstdItem 3 5 4" xfId="10550"/>
    <cellStyle name="SAPBEXstdItem 3 5 4 2" xfId="10551"/>
    <cellStyle name="SAPBEXstdItem 3 5 5" xfId="10552"/>
    <cellStyle name="SAPBEXstdItem 3 5 5 2" xfId="10553"/>
    <cellStyle name="SAPBEXstdItem 3 5 6" xfId="10554"/>
    <cellStyle name="SAPBEXstdItem 3 5 6 2" xfId="10555"/>
    <cellStyle name="SAPBEXstdItem 3 5 7" xfId="10556"/>
    <cellStyle name="SAPBEXstdItem 3 5 7 2" xfId="10557"/>
    <cellStyle name="SAPBEXstdItem 3 5 8" xfId="10558"/>
    <cellStyle name="SAPBEXstdItem 3 5 8 2" xfId="10559"/>
    <cellStyle name="SAPBEXstdItem 3 5 9" xfId="10560"/>
    <cellStyle name="SAPBEXstdItem 3 5 9 2" xfId="10561"/>
    <cellStyle name="SAPBEXstdItem 3 6" xfId="10562"/>
    <cellStyle name="SAPBEXstdItem 3 6 10" xfId="10563"/>
    <cellStyle name="SAPBEXstdItem 3 6 10 2" xfId="10564"/>
    <cellStyle name="SAPBEXstdItem 3 6 11" xfId="10565"/>
    <cellStyle name="SAPBEXstdItem 3 6 2" xfId="10566"/>
    <cellStyle name="SAPBEXstdItem 3 6 2 2" xfId="10567"/>
    <cellStyle name="SAPBEXstdItem 3 6 2 2 2" xfId="10568"/>
    <cellStyle name="SAPBEXstdItem 3 6 2 3" xfId="10569"/>
    <cellStyle name="SAPBEXstdItem 3 6 3" xfId="10570"/>
    <cellStyle name="SAPBEXstdItem 3 6 3 2" xfId="10571"/>
    <cellStyle name="SAPBEXstdItem 3 6 4" xfId="10572"/>
    <cellStyle name="SAPBEXstdItem 3 6 4 2" xfId="10573"/>
    <cellStyle name="SAPBEXstdItem 3 6 5" xfId="10574"/>
    <cellStyle name="SAPBEXstdItem 3 6 5 2" xfId="10575"/>
    <cellStyle name="SAPBEXstdItem 3 6 6" xfId="10576"/>
    <cellStyle name="SAPBEXstdItem 3 6 6 2" xfId="10577"/>
    <cellStyle name="SAPBEXstdItem 3 6 7" xfId="10578"/>
    <cellStyle name="SAPBEXstdItem 3 6 7 2" xfId="10579"/>
    <cellStyle name="SAPBEXstdItem 3 6 8" xfId="10580"/>
    <cellStyle name="SAPBEXstdItem 3 6 8 2" xfId="10581"/>
    <cellStyle name="SAPBEXstdItem 3 6 9" xfId="10582"/>
    <cellStyle name="SAPBEXstdItem 3 6 9 2" xfId="10583"/>
    <cellStyle name="SAPBEXstdItem 3 7" xfId="10584"/>
    <cellStyle name="SAPBEXstdItem 3 7 2" xfId="10585"/>
    <cellStyle name="SAPBEXstdItem 3 7 2 2" xfId="10586"/>
    <cellStyle name="SAPBEXstdItem 3 7 3" xfId="10587"/>
    <cellStyle name="SAPBEXstdItem 3 8" xfId="10588"/>
    <cellStyle name="SAPBEXstdItem 3 8 2" xfId="10589"/>
    <cellStyle name="SAPBEXstdItem 3 9" xfId="10590"/>
    <cellStyle name="SAPBEXstdItem 3 9 2" xfId="10591"/>
    <cellStyle name="SAPBEXstdItem 4" xfId="10592"/>
    <cellStyle name="SAPBEXstdItem 4 10" xfId="10593"/>
    <cellStyle name="SAPBEXstdItem 4 10 2" xfId="10594"/>
    <cellStyle name="SAPBEXstdItem 4 11" xfId="10595"/>
    <cellStyle name="SAPBEXstdItem 4 11 2" xfId="10596"/>
    <cellStyle name="SAPBEXstdItem 4 12" xfId="10597"/>
    <cellStyle name="SAPBEXstdItem 4 12 2" xfId="10598"/>
    <cellStyle name="SAPBEXstdItem 4 13" xfId="10599"/>
    <cellStyle name="SAPBEXstdItem 4 2" xfId="10600"/>
    <cellStyle name="SAPBEXstdItem 4 2 2" xfId="10601"/>
    <cellStyle name="SAPBEXstdItem 4 2 2 2" xfId="10602"/>
    <cellStyle name="SAPBEXstdItem 4 2 2 2 2" xfId="10603"/>
    <cellStyle name="SAPBEXstdItem 4 2 2 3" xfId="10604"/>
    <cellStyle name="SAPBEXstdItem 4 2 3" xfId="10605"/>
    <cellStyle name="SAPBEXstdItem 4 2 3 2" xfId="10606"/>
    <cellStyle name="SAPBEXstdItem 4 2 3 2 2" xfId="10607"/>
    <cellStyle name="SAPBEXstdItem 4 2 3 3" xfId="10608"/>
    <cellStyle name="SAPBEXstdItem 4 2 4" xfId="10609"/>
    <cellStyle name="SAPBEXstdItem 4 2 4 2" xfId="10610"/>
    <cellStyle name="SAPBEXstdItem 4 2 5" xfId="10611"/>
    <cellStyle name="SAPBEXstdItem 4 2 5 2" xfId="10612"/>
    <cellStyle name="SAPBEXstdItem 4 2 6" xfId="10613"/>
    <cellStyle name="SAPBEXstdItem 4 2 6 2" xfId="10614"/>
    <cellStyle name="SAPBEXstdItem 4 2 7" xfId="10615"/>
    <cellStyle name="SAPBEXstdItem 4 2 7 2" xfId="10616"/>
    <cellStyle name="SAPBEXstdItem 4 2 8" xfId="10617"/>
    <cellStyle name="SAPBEXstdItem 4 3" xfId="10618"/>
    <cellStyle name="SAPBEXstdItem 4 3 10" xfId="10619"/>
    <cellStyle name="SAPBEXstdItem 4 3 10 2" xfId="10620"/>
    <cellStyle name="SAPBEXstdItem 4 3 11" xfId="10621"/>
    <cellStyle name="SAPBEXstdItem 4 3 2" xfId="10622"/>
    <cellStyle name="SAPBEXstdItem 4 3 2 2" xfId="10623"/>
    <cellStyle name="SAPBEXstdItem 4 3 2 2 2" xfId="10624"/>
    <cellStyle name="SAPBEXstdItem 4 3 2 3" xfId="10625"/>
    <cellStyle name="SAPBEXstdItem 4 3 3" xfId="10626"/>
    <cellStyle name="SAPBEXstdItem 4 3 3 2" xfId="10627"/>
    <cellStyle name="SAPBEXstdItem 4 3 4" xfId="10628"/>
    <cellStyle name="SAPBEXstdItem 4 3 4 2" xfId="10629"/>
    <cellStyle name="SAPBEXstdItem 4 3 5" xfId="10630"/>
    <cellStyle name="SAPBEXstdItem 4 3 5 2" xfId="10631"/>
    <cellStyle name="SAPBEXstdItem 4 3 6" xfId="10632"/>
    <cellStyle name="SAPBEXstdItem 4 3 6 2" xfId="10633"/>
    <cellStyle name="SAPBEXstdItem 4 3 7" xfId="10634"/>
    <cellStyle name="SAPBEXstdItem 4 3 7 2" xfId="10635"/>
    <cellStyle name="SAPBEXstdItem 4 3 8" xfId="10636"/>
    <cellStyle name="SAPBEXstdItem 4 3 8 2" xfId="10637"/>
    <cellStyle name="SAPBEXstdItem 4 3 9" xfId="10638"/>
    <cellStyle name="SAPBEXstdItem 4 3 9 2" xfId="10639"/>
    <cellStyle name="SAPBEXstdItem 4 4" xfId="10640"/>
    <cellStyle name="SAPBEXstdItem 4 4 10" xfId="10641"/>
    <cellStyle name="SAPBEXstdItem 4 4 10 2" xfId="10642"/>
    <cellStyle name="SAPBEXstdItem 4 4 11" xfId="10643"/>
    <cellStyle name="SAPBEXstdItem 4 4 2" xfId="10644"/>
    <cellStyle name="SAPBEXstdItem 4 4 2 2" xfId="10645"/>
    <cellStyle name="SAPBEXstdItem 4 4 2 2 2" xfId="10646"/>
    <cellStyle name="SAPBEXstdItem 4 4 2 3" xfId="10647"/>
    <cellStyle name="SAPBEXstdItem 4 4 3" xfId="10648"/>
    <cellStyle name="SAPBEXstdItem 4 4 3 2" xfId="10649"/>
    <cellStyle name="SAPBEXstdItem 4 4 4" xfId="10650"/>
    <cellStyle name="SAPBEXstdItem 4 4 4 2" xfId="10651"/>
    <cellStyle name="SAPBEXstdItem 4 4 5" xfId="10652"/>
    <cellStyle name="SAPBEXstdItem 4 4 5 2" xfId="10653"/>
    <cellStyle name="SAPBEXstdItem 4 4 6" xfId="10654"/>
    <cellStyle name="SAPBEXstdItem 4 4 6 2" xfId="10655"/>
    <cellStyle name="SAPBEXstdItem 4 4 7" xfId="10656"/>
    <cellStyle name="SAPBEXstdItem 4 4 7 2" xfId="10657"/>
    <cellStyle name="SAPBEXstdItem 4 4 8" xfId="10658"/>
    <cellStyle name="SAPBEXstdItem 4 4 8 2" xfId="10659"/>
    <cellStyle name="SAPBEXstdItem 4 4 9" xfId="10660"/>
    <cellStyle name="SAPBEXstdItem 4 4 9 2" xfId="10661"/>
    <cellStyle name="SAPBEXstdItem 4 5" xfId="10662"/>
    <cellStyle name="SAPBEXstdItem 4 5 10" xfId="10663"/>
    <cellStyle name="SAPBEXstdItem 4 5 10 2" xfId="10664"/>
    <cellStyle name="SAPBEXstdItem 4 5 11" xfId="10665"/>
    <cellStyle name="SAPBEXstdItem 4 5 2" xfId="10666"/>
    <cellStyle name="SAPBEXstdItem 4 5 2 2" xfId="10667"/>
    <cellStyle name="SAPBEXstdItem 4 5 2 2 2" xfId="10668"/>
    <cellStyle name="SAPBEXstdItem 4 5 2 3" xfId="10669"/>
    <cellStyle name="SAPBEXstdItem 4 5 3" xfId="10670"/>
    <cellStyle name="SAPBEXstdItem 4 5 3 2" xfId="10671"/>
    <cellStyle name="SAPBEXstdItem 4 5 4" xfId="10672"/>
    <cellStyle name="SAPBEXstdItem 4 5 4 2" xfId="10673"/>
    <cellStyle name="SAPBEXstdItem 4 5 5" xfId="10674"/>
    <cellStyle name="SAPBEXstdItem 4 5 5 2" xfId="10675"/>
    <cellStyle name="SAPBEXstdItem 4 5 6" xfId="10676"/>
    <cellStyle name="SAPBEXstdItem 4 5 6 2" xfId="10677"/>
    <cellStyle name="SAPBEXstdItem 4 5 7" xfId="10678"/>
    <cellStyle name="SAPBEXstdItem 4 5 7 2" xfId="10679"/>
    <cellStyle name="SAPBEXstdItem 4 5 8" xfId="10680"/>
    <cellStyle name="SAPBEXstdItem 4 5 8 2" xfId="10681"/>
    <cellStyle name="SAPBEXstdItem 4 5 9" xfId="10682"/>
    <cellStyle name="SAPBEXstdItem 4 5 9 2" xfId="10683"/>
    <cellStyle name="SAPBEXstdItem 4 6" xfId="10684"/>
    <cellStyle name="SAPBEXstdItem 4 6 10" xfId="10685"/>
    <cellStyle name="SAPBEXstdItem 4 6 10 2" xfId="10686"/>
    <cellStyle name="SAPBEXstdItem 4 6 11" xfId="10687"/>
    <cellStyle name="SAPBEXstdItem 4 6 2" xfId="10688"/>
    <cellStyle name="SAPBEXstdItem 4 6 2 2" xfId="10689"/>
    <cellStyle name="SAPBEXstdItem 4 6 2 2 2" xfId="10690"/>
    <cellStyle name="SAPBEXstdItem 4 6 2 3" xfId="10691"/>
    <cellStyle name="SAPBEXstdItem 4 6 3" xfId="10692"/>
    <cellStyle name="SAPBEXstdItem 4 6 3 2" xfId="10693"/>
    <cellStyle name="SAPBEXstdItem 4 6 4" xfId="10694"/>
    <cellStyle name="SAPBEXstdItem 4 6 4 2" xfId="10695"/>
    <cellStyle name="SAPBEXstdItem 4 6 5" xfId="10696"/>
    <cellStyle name="SAPBEXstdItem 4 6 5 2" xfId="10697"/>
    <cellStyle name="SAPBEXstdItem 4 6 6" xfId="10698"/>
    <cellStyle name="SAPBEXstdItem 4 6 6 2" xfId="10699"/>
    <cellStyle name="SAPBEXstdItem 4 6 7" xfId="10700"/>
    <cellStyle name="SAPBEXstdItem 4 6 7 2" xfId="10701"/>
    <cellStyle name="SAPBEXstdItem 4 6 8" xfId="10702"/>
    <cellStyle name="SAPBEXstdItem 4 6 8 2" xfId="10703"/>
    <cellStyle name="SAPBEXstdItem 4 6 9" xfId="10704"/>
    <cellStyle name="SAPBEXstdItem 4 6 9 2" xfId="10705"/>
    <cellStyle name="SAPBEXstdItem 4 7" xfId="10706"/>
    <cellStyle name="SAPBEXstdItem 4 7 2" xfId="10707"/>
    <cellStyle name="SAPBEXstdItem 4 7 2 2" xfId="10708"/>
    <cellStyle name="SAPBEXstdItem 4 7 3" xfId="10709"/>
    <cellStyle name="SAPBEXstdItem 4 8" xfId="10710"/>
    <cellStyle name="SAPBEXstdItem 4 8 2" xfId="10711"/>
    <cellStyle name="SAPBEXstdItem 4 9" xfId="10712"/>
    <cellStyle name="SAPBEXstdItem 4 9 2" xfId="10713"/>
    <cellStyle name="SAPBEXstdItem 5" xfId="10714"/>
    <cellStyle name="SAPBEXstdItem 5 10" xfId="10715"/>
    <cellStyle name="SAPBEXstdItem 5 10 2" xfId="10716"/>
    <cellStyle name="SAPBEXstdItem 5 11" xfId="10717"/>
    <cellStyle name="SAPBEXstdItem 5 11 2" xfId="10718"/>
    <cellStyle name="SAPBEXstdItem 5 12" xfId="10719"/>
    <cellStyle name="SAPBEXstdItem 5 12 2" xfId="10720"/>
    <cellStyle name="SAPBEXstdItem 5 13" xfId="10721"/>
    <cellStyle name="SAPBEXstdItem 5 2" xfId="10722"/>
    <cellStyle name="SAPBEXstdItem 5 2 2" xfId="10723"/>
    <cellStyle name="SAPBEXstdItem 5 2 2 2" xfId="10724"/>
    <cellStyle name="SAPBEXstdItem 5 2 2 2 2" xfId="10725"/>
    <cellStyle name="SAPBEXstdItem 5 2 2 3" xfId="10726"/>
    <cellStyle name="SAPBEXstdItem 5 2 3" xfId="10727"/>
    <cellStyle name="SAPBEXstdItem 5 2 3 2" xfId="10728"/>
    <cellStyle name="SAPBEXstdItem 5 2 3 2 2" xfId="10729"/>
    <cellStyle name="SAPBEXstdItem 5 2 3 3" xfId="10730"/>
    <cellStyle name="SAPBEXstdItem 5 2 4" xfId="10731"/>
    <cellStyle name="SAPBEXstdItem 5 2 4 2" xfId="10732"/>
    <cellStyle name="SAPBEXstdItem 5 2 5" xfId="10733"/>
    <cellStyle name="SAPBEXstdItem 5 2 5 2" xfId="10734"/>
    <cellStyle name="SAPBEXstdItem 5 2 6" xfId="10735"/>
    <cellStyle name="SAPBEXstdItem 5 2 6 2" xfId="10736"/>
    <cellStyle name="SAPBEXstdItem 5 2 7" xfId="10737"/>
    <cellStyle name="SAPBEXstdItem 5 2 7 2" xfId="10738"/>
    <cellStyle name="SAPBEXstdItem 5 2 8" xfId="10739"/>
    <cellStyle name="SAPBEXstdItem 5 3" xfId="10740"/>
    <cellStyle name="SAPBEXstdItem 5 3 2" xfId="10741"/>
    <cellStyle name="SAPBEXstdItem 5 3 2 2" xfId="10742"/>
    <cellStyle name="SAPBEXstdItem 5 3 2 2 2" xfId="10743"/>
    <cellStyle name="SAPBEXstdItem 5 3 2 3" xfId="10744"/>
    <cellStyle name="SAPBEXstdItem 5 3 3" xfId="10745"/>
    <cellStyle name="SAPBEXstdItem 5 3 3 2" xfId="10746"/>
    <cellStyle name="SAPBEXstdItem 5 3 3 2 2" xfId="10747"/>
    <cellStyle name="SAPBEXstdItem 5 3 3 3" xfId="10748"/>
    <cellStyle name="SAPBEXstdItem 5 3 4" xfId="10749"/>
    <cellStyle name="SAPBEXstdItem 5 3 4 2" xfId="10750"/>
    <cellStyle name="SAPBEXstdItem 5 3 5" xfId="10751"/>
    <cellStyle name="SAPBEXstdItem 5 3 5 2" xfId="10752"/>
    <cellStyle name="SAPBEXstdItem 5 3 6" xfId="10753"/>
    <cellStyle name="SAPBEXstdItem 5 3 6 2" xfId="10754"/>
    <cellStyle name="SAPBEXstdItem 5 3 7" xfId="10755"/>
    <cellStyle name="SAPBEXstdItem 5 3 7 2" xfId="10756"/>
    <cellStyle name="SAPBEXstdItem 5 3 8" xfId="10757"/>
    <cellStyle name="SAPBEXstdItem 5 4" xfId="10758"/>
    <cellStyle name="SAPBEXstdItem 5 4 2" xfId="10759"/>
    <cellStyle name="SAPBEXstdItem 5 4 2 2" xfId="10760"/>
    <cellStyle name="SAPBEXstdItem 5 4 2 2 2" xfId="10761"/>
    <cellStyle name="SAPBEXstdItem 5 4 2 3" xfId="10762"/>
    <cellStyle name="SAPBEXstdItem 5 4 3" xfId="10763"/>
    <cellStyle name="SAPBEXstdItem 5 4 3 2" xfId="10764"/>
    <cellStyle name="SAPBEXstdItem 5 4 3 2 2" xfId="10765"/>
    <cellStyle name="SAPBEXstdItem 5 4 3 3" xfId="10766"/>
    <cellStyle name="SAPBEXstdItem 5 4 4" xfId="10767"/>
    <cellStyle name="SAPBEXstdItem 5 4 4 2" xfId="10768"/>
    <cellStyle name="SAPBEXstdItem 5 4 5" xfId="10769"/>
    <cellStyle name="SAPBEXstdItem 5 4 5 2" xfId="10770"/>
    <cellStyle name="SAPBEXstdItem 5 4 6" xfId="10771"/>
    <cellStyle name="SAPBEXstdItem 5 4 6 2" xfId="10772"/>
    <cellStyle name="SAPBEXstdItem 5 4 7" xfId="10773"/>
    <cellStyle name="SAPBEXstdItem 5 4 7 2" xfId="10774"/>
    <cellStyle name="SAPBEXstdItem 5 4 8" xfId="10775"/>
    <cellStyle name="SAPBEXstdItem 5 5" xfId="10776"/>
    <cellStyle name="SAPBEXstdItem 5 5 2" xfId="10777"/>
    <cellStyle name="SAPBEXstdItem 5 5 2 2" xfId="10778"/>
    <cellStyle name="SAPBEXstdItem 5 5 2 2 2" xfId="10779"/>
    <cellStyle name="SAPBEXstdItem 5 5 2 3" xfId="10780"/>
    <cellStyle name="SAPBEXstdItem 5 5 3" xfId="10781"/>
    <cellStyle name="SAPBEXstdItem 5 5 3 2" xfId="10782"/>
    <cellStyle name="SAPBEXstdItem 5 5 3 2 2" xfId="10783"/>
    <cellStyle name="SAPBEXstdItem 5 5 3 3" xfId="10784"/>
    <cellStyle name="SAPBEXstdItem 5 5 4" xfId="10785"/>
    <cellStyle name="SAPBEXstdItem 5 5 4 2" xfId="10786"/>
    <cellStyle name="SAPBEXstdItem 5 5 5" xfId="10787"/>
    <cellStyle name="SAPBEXstdItem 5 5 5 2" xfId="10788"/>
    <cellStyle name="SAPBEXstdItem 5 5 6" xfId="10789"/>
    <cellStyle name="SAPBEXstdItem 5 5 6 2" xfId="10790"/>
    <cellStyle name="SAPBEXstdItem 5 5 7" xfId="10791"/>
    <cellStyle name="SAPBEXstdItem 5 5 7 2" xfId="10792"/>
    <cellStyle name="SAPBEXstdItem 5 5 8" xfId="10793"/>
    <cellStyle name="SAPBEXstdItem 5 6" xfId="10794"/>
    <cellStyle name="SAPBEXstdItem 5 6 2" xfId="10795"/>
    <cellStyle name="SAPBEXstdItem 5 6 2 2" xfId="10796"/>
    <cellStyle name="SAPBEXstdItem 5 6 2 2 2" xfId="10797"/>
    <cellStyle name="SAPBEXstdItem 5 6 2 3" xfId="10798"/>
    <cellStyle name="SAPBEXstdItem 5 6 3" xfId="10799"/>
    <cellStyle name="SAPBEXstdItem 5 6 3 2" xfId="10800"/>
    <cellStyle name="SAPBEXstdItem 5 6 3 2 2" xfId="10801"/>
    <cellStyle name="SAPBEXstdItem 5 6 3 3" xfId="10802"/>
    <cellStyle name="SAPBEXstdItem 5 6 4" xfId="10803"/>
    <cellStyle name="SAPBEXstdItem 5 6 4 2" xfId="10804"/>
    <cellStyle name="SAPBEXstdItem 5 6 5" xfId="10805"/>
    <cellStyle name="SAPBEXstdItem 5 6 5 2" xfId="10806"/>
    <cellStyle name="SAPBEXstdItem 5 6 6" xfId="10807"/>
    <cellStyle name="SAPBEXstdItem 5 6 6 2" xfId="10808"/>
    <cellStyle name="SAPBEXstdItem 5 6 7" xfId="10809"/>
    <cellStyle name="SAPBEXstdItem 5 6 7 2" xfId="10810"/>
    <cellStyle name="SAPBEXstdItem 5 6 8" xfId="10811"/>
    <cellStyle name="SAPBEXstdItem 5 7" xfId="10812"/>
    <cellStyle name="SAPBEXstdItem 5 7 2" xfId="10813"/>
    <cellStyle name="SAPBEXstdItem 5 7 2 2" xfId="10814"/>
    <cellStyle name="SAPBEXstdItem 5 7 3" xfId="10815"/>
    <cellStyle name="SAPBEXstdItem 5 8" xfId="10816"/>
    <cellStyle name="SAPBEXstdItem 5 8 2" xfId="10817"/>
    <cellStyle name="SAPBEXstdItem 5 9" xfId="10818"/>
    <cellStyle name="SAPBEXstdItem 5 9 2" xfId="10819"/>
    <cellStyle name="SAPBEXstdItem 6" xfId="10820"/>
    <cellStyle name="SAPBEXstdItem 6 10" xfId="10821"/>
    <cellStyle name="SAPBEXstdItem 6 10 2" xfId="10822"/>
    <cellStyle name="SAPBEXstdItem 6 11" xfId="10823"/>
    <cellStyle name="SAPBEXstdItem 6 2" xfId="10824"/>
    <cellStyle name="SAPBEXstdItem 6 2 2" xfId="10825"/>
    <cellStyle name="SAPBEXstdItem 6 2 2 2" xfId="10826"/>
    <cellStyle name="SAPBEXstdItem 6 2 3" xfId="10827"/>
    <cellStyle name="SAPBEXstdItem 6 3" xfId="10828"/>
    <cellStyle name="SAPBEXstdItem 6 3 2" xfId="10829"/>
    <cellStyle name="SAPBEXstdItem 6 4" xfId="10830"/>
    <cellStyle name="SAPBEXstdItem 6 4 2" xfId="10831"/>
    <cellStyle name="SAPBEXstdItem 6 5" xfId="10832"/>
    <cellStyle name="SAPBEXstdItem 6 5 2" xfId="10833"/>
    <cellStyle name="SAPBEXstdItem 6 6" xfId="10834"/>
    <cellStyle name="SAPBEXstdItem 6 6 2" xfId="10835"/>
    <cellStyle name="SAPBEXstdItem 6 7" xfId="10836"/>
    <cellStyle name="SAPBEXstdItem 6 7 2" xfId="10837"/>
    <cellStyle name="SAPBEXstdItem 6 8" xfId="10838"/>
    <cellStyle name="SAPBEXstdItem 6 8 2" xfId="10839"/>
    <cellStyle name="SAPBEXstdItem 6 9" xfId="10840"/>
    <cellStyle name="SAPBEXstdItem 6 9 2" xfId="10841"/>
    <cellStyle name="SAPBEXstdItem 7" xfId="10842"/>
    <cellStyle name="SAPBEXstdItem 7 2" xfId="10843"/>
    <cellStyle name="SAPBEXstdItem 7 2 2" xfId="10844"/>
    <cellStyle name="SAPBEXstdItem 7 3" xfId="10845"/>
    <cellStyle name="SAPBEXstdItem 8" xfId="10846"/>
    <cellStyle name="SAPBEXstdItem 8 2" xfId="10847"/>
    <cellStyle name="SAPBEXstdItem 9" xfId="10848"/>
    <cellStyle name="SAPBEXstdItem 9 2" xfId="10849"/>
    <cellStyle name="SAPBEXstdItem_Copy of xSAPtemp5457" xfId="10850"/>
    <cellStyle name="SAPBEXstdItemX" xfId="697"/>
    <cellStyle name="SAPBEXstdItemX 2" xfId="10851"/>
    <cellStyle name="SAPBEXstdItemX 2 10" xfId="10852"/>
    <cellStyle name="SAPBEXstdItemX 2 10 2" xfId="10853"/>
    <cellStyle name="SAPBEXstdItemX 2 11" xfId="10854"/>
    <cellStyle name="SAPBEXstdItemX 2 11 2" xfId="10855"/>
    <cellStyle name="SAPBEXstdItemX 2 12" xfId="10856"/>
    <cellStyle name="SAPBEXstdItemX 2 12 2" xfId="10857"/>
    <cellStyle name="SAPBEXstdItemX 2 13" xfId="10858"/>
    <cellStyle name="SAPBEXstdItemX 2 2" xfId="10859"/>
    <cellStyle name="SAPBEXstdItemX 2 2 2" xfId="10860"/>
    <cellStyle name="SAPBEXstdItemX 2 2 2 2" xfId="10861"/>
    <cellStyle name="SAPBEXstdItemX 2 2 2 2 2" xfId="10862"/>
    <cellStyle name="SAPBEXstdItemX 2 2 2 3" xfId="10863"/>
    <cellStyle name="SAPBEXstdItemX 2 2 3" xfId="10864"/>
    <cellStyle name="SAPBEXstdItemX 2 2 3 2" xfId="10865"/>
    <cellStyle name="SAPBEXstdItemX 2 2 3 2 2" xfId="10866"/>
    <cellStyle name="SAPBEXstdItemX 2 2 3 3" xfId="10867"/>
    <cellStyle name="SAPBEXstdItemX 2 2 4" xfId="10868"/>
    <cellStyle name="SAPBEXstdItemX 2 2 4 2" xfId="10869"/>
    <cellStyle name="SAPBEXstdItemX 2 2 5" xfId="10870"/>
    <cellStyle name="SAPBEXstdItemX 2 2 5 2" xfId="10871"/>
    <cellStyle name="SAPBEXstdItemX 2 2 6" xfId="10872"/>
    <cellStyle name="SAPBEXstdItemX 2 2 6 2" xfId="10873"/>
    <cellStyle name="SAPBEXstdItemX 2 2 7" xfId="10874"/>
    <cellStyle name="SAPBEXstdItemX 2 2 7 2" xfId="10875"/>
    <cellStyle name="SAPBEXstdItemX 2 2 8" xfId="10876"/>
    <cellStyle name="SAPBEXstdItemX 2 3" xfId="10877"/>
    <cellStyle name="SAPBEXstdItemX 2 3 10" xfId="10878"/>
    <cellStyle name="SAPBEXstdItemX 2 3 10 2" xfId="10879"/>
    <cellStyle name="SAPBEXstdItemX 2 3 11" xfId="10880"/>
    <cellStyle name="SAPBEXstdItemX 2 3 2" xfId="10881"/>
    <cellStyle name="SAPBEXstdItemX 2 3 2 2" xfId="10882"/>
    <cellStyle name="SAPBEXstdItemX 2 3 2 2 2" xfId="10883"/>
    <cellStyle name="SAPBEXstdItemX 2 3 2 3" xfId="10884"/>
    <cellStyle name="SAPBEXstdItemX 2 3 3" xfId="10885"/>
    <cellStyle name="SAPBEXstdItemX 2 3 3 2" xfId="10886"/>
    <cellStyle name="SAPBEXstdItemX 2 3 4" xfId="10887"/>
    <cellStyle name="SAPBEXstdItemX 2 3 4 2" xfId="10888"/>
    <cellStyle name="SAPBEXstdItemX 2 3 5" xfId="10889"/>
    <cellStyle name="SAPBEXstdItemX 2 3 5 2" xfId="10890"/>
    <cellStyle name="SAPBEXstdItemX 2 3 6" xfId="10891"/>
    <cellStyle name="SAPBEXstdItemX 2 3 6 2" xfId="10892"/>
    <cellStyle name="SAPBEXstdItemX 2 3 7" xfId="10893"/>
    <cellStyle name="SAPBEXstdItemX 2 3 7 2" xfId="10894"/>
    <cellStyle name="SAPBEXstdItemX 2 3 8" xfId="10895"/>
    <cellStyle name="SAPBEXstdItemX 2 3 8 2" xfId="10896"/>
    <cellStyle name="SAPBEXstdItemX 2 3 9" xfId="10897"/>
    <cellStyle name="SAPBEXstdItemX 2 3 9 2" xfId="10898"/>
    <cellStyle name="SAPBEXstdItemX 2 4" xfId="10899"/>
    <cellStyle name="SAPBEXstdItemX 2 4 10" xfId="10900"/>
    <cellStyle name="SAPBEXstdItemX 2 4 10 2" xfId="10901"/>
    <cellStyle name="SAPBEXstdItemX 2 4 11" xfId="10902"/>
    <cellStyle name="SAPBEXstdItemX 2 4 2" xfId="10903"/>
    <cellStyle name="SAPBEXstdItemX 2 4 2 2" xfId="10904"/>
    <cellStyle name="SAPBEXstdItemX 2 4 2 2 2" xfId="10905"/>
    <cellStyle name="SAPBEXstdItemX 2 4 2 3" xfId="10906"/>
    <cellStyle name="SAPBEXstdItemX 2 4 3" xfId="10907"/>
    <cellStyle name="SAPBEXstdItemX 2 4 3 2" xfId="10908"/>
    <cellStyle name="SAPBEXstdItemX 2 4 4" xfId="10909"/>
    <cellStyle name="SAPBEXstdItemX 2 4 4 2" xfId="10910"/>
    <cellStyle name="SAPBEXstdItemX 2 4 5" xfId="10911"/>
    <cellStyle name="SAPBEXstdItemX 2 4 5 2" xfId="10912"/>
    <cellStyle name="SAPBEXstdItemX 2 4 6" xfId="10913"/>
    <cellStyle name="SAPBEXstdItemX 2 4 6 2" xfId="10914"/>
    <cellStyle name="SAPBEXstdItemX 2 4 7" xfId="10915"/>
    <cellStyle name="SAPBEXstdItemX 2 4 7 2" xfId="10916"/>
    <cellStyle name="SAPBEXstdItemX 2 4 8" xfId="10917"/>
    <cellStyle name="SAPBEXstdItemX 2 4 8 2" xfId="10918"/>
    <cellStyle name="SAPBEXstdItemX 2 4 9" xfId="10919"/>
    <cellStyle name="SAPBEXstdItemX 2 4 9 2" xfId="10920"/>
    <cellStyle name="SAPBEXstdItemX 2 5" xfId="10921"/>
    <cellStyle name="SAPBEXstdItemX 2 5 10" xfId="10922"/>
    <cellStyle name="SAPBEXstdItemX 2 5 10 2" xfId="10923"/>
    <cellStyle name="SAPBEXstdItemX 2 5 11" xfId="10924"/>
    <cellStyle name="SAPBEXstdItemX 2 5 2" xfId="10925"/>
    <cellStyle name="SAPBEXstdItemX 2 5 2 2" xfId="10926"/>
    <cellStyle name="SAPBEXstdItemX 2 5 2 2 2" xfId="10927"/>
    <cellStyle name="SAPBEXstdItemX 2 5 2 3" xfId="10928"/>
    <cellStyle name="SAPBEXstdItemX 2 5 3" xfId="10929"/>
    <cellStyle name="SAPBEXstdItemX 2 5 3 2" xfId="10930"/>
    <cellStyle name="SAPBEXstdItemX 2 5 4" xfId="10931"/>
    <cellStyle name="SAPBEXstdItemX 2 5 4 2" xfId="10932"/>
    <cellStyle name="SAPBEXstdItemX 2 5 5" xfId="10933"/>
    <cellStyle name="SAPBEXstdItemX 2 5 5 2" xfId="10934"/>
    <cellStyle name="SAPBEXstdItemX 2 5 6" xfId="10935"/>
    <cellStyle name="SAPBEXstdItemX 2 5 6 2" xfId="10936"/>
    <cellStyle name="SAPBEXstdItemX 2 5 7" xfId="10937"/>
    <cellStyle name="SAPBEXstdItemX 2 5 7 2" xfId="10938"/>
    <cellStyle name="SAPBEXstdItemX 2 5 8" xfId="10939"/>
    <cellStyle name="SAPBEXstdItemX 2 5 8 2" xfId="10940"/>
    <cellStyle name="SAPBEXstdItemX 2 5 9" xfId="10941"/>
    <cellStyle name="SAPBEXstdItemX 2 5 9 2" xfId="10942"/>
    <cellStyle name="SAPBEXstdItemX 2 6" xfId="10943"/>
    <cellStyle name="SAPBEXstdItemX 2 6 10" xfId="10944"/>
    <cellStyle name="SAPBEXstdItemX 2 6 10 2" xfId="10945"/>
    <cellStyle name="SAPBEXstdItemX 2 6 11" xfId="10946"/>
    <cellStyle name="SAPBEXstdItemX 2 6 2" xfId="10947"/>
    <cellStyle name="SAPBEXstdItemX 2 6 2 2" xfId="10948"/>
    <cellStyle name="SAPBEXstdItemX 2 6 2 2 2" xfId="10949"/>
    <cellStyle name="SAPBEXstdItemX 2 6 2 3" xfId="10950"/>
    <cellStyle name="SAPBEXstdItemX 2 6 3" xfId="10951"/>
    <cellStyle name="SAPBEXstdItemX 2 6 3 2" xfId="10952"/>
    <cellStyle name="SAPBEXstdItemX 2 6 4" xfId="10953"/>
    <cellStyle name="SAPBEXstdItemX 2 6 4 2" xfId="10954"/>
    <cellStyle name="SAPBEXstdItemX 2 6 5" xfId="10955"/>
    <cellStyle name="SAPBEXstdItemX 2 6 5 2" xfId="10956"/>
    <cellStyle name="SAPBEXstdItemX 2 6 6" xfId="10957"/>
    <cellStyle name="SAPBEXstdItemX 2 6 6 2" xfId="10958"/>
    <cellStyle name="SAPBEXstdItemX 2 6 7" xfId="10959"/>
    <cellStyle name="SAPBEXstdItemX 2 6 7 2" xfId="10960"/>
    <cellStyle name="SAPBEXstdItemX 2 6 8" xfId="10961"/>
    <cellStyle name="SAPBEXstdItemX 2 6 8 2" xfId="10962"/>
    <cellStyle name="SAPBEXstdItemX 2 6 9" xfId="10963"/>
    <cellStyle name="SAPBEXstdItemX 2 6 9 2" xfId="10964"/>
    <cellStyle name="SAPBEXstdItemX 2 7" xfId="10965"/>
    <cellStyle name="SAPBEXstdItemX 2 7 2" xfId="10966"/>
    <cellStyle name="SAPBEXstdItemX 2 7 2 2" xfId="10967"/>
    <cellStyle name="SAPBEXstdItemX 2 7 3" xfId="10968"/>
    <cellStyle name="SAPBEXstdItemX 2 8" xfId="10969"/>
    <cellStyle name="SAPBEXstdItemX 2 8 2" xfId="10970"/>
    <cellStyle name="SAPBEXstdItemX 2 9" xfId="10971"/>
    <cellStyle name="SAPBEXstdItemX 2 9 2" xfId="10972"/>
    <cellStyle name="SAPBEXstdItemX 3" xfId="10973"/>
    <cellStyle name="SAPBEXstdItemX 3 10" xfId="10974"/>
    <cellStyle name="SAPBEXstdItemX 3 10 2" xfId="10975"/>
    <cellStyle name="SAPBEXstdItemX 3 11" xfId="10976"/>
    <cellStyle name="SAPBEXstdItemX 3 11 2" xfId="10977"/>
    <cellStyle name="SAPBEXstdItemX 3 12" xfId="10978"/>
    <cellStyle name="SAPBEXstdItemX 3 12 2" xfId="10979"/>
    <cellStyle name="SAPBEXstdItemX 3 13" xfId="10980"/>
    <cellStyle name="SAPBEXstdItemX 3 2" xfId="10981"/>
    <cellStyle name="SAPBEXstdItemX 3 2 2" xfId="10982"/>
    <cellStyle name="SAPBEXstdItemX 3 2 2 2" xfId="10983"/>
    <cellStyle name="SAPBEXstdItemX 3 2 2 2 2" xfId="10984"/>
    <cellStyle name="SAPBEXstdItemX 3 2 2 3" xfId="10985"/>
    <cellStyle name="SAPBEXstdItemX 3 2 3" xfId="10986"/>
    <cellStyle name="SAPBEXstdItemX 3 2 3 2" xfId="10987"/>
    <cellStyle name="SAPBEXstdItemX 3 2 3 2 2" xfId="10988"/>
    <cellStyle name="SAPBEXstdItemX 3 2 3 3" xfId="10989"/>
    <cellStyle name="SAPBEXstdItemX 3 2 4" xfId="10990"/>
    <cellStyle name="SAPBEXstdItemX 3 2 4 2" xfId="10991"/>
    <cellStyle name="SAPBEXstdItemX 3 2 5" xfId="10992"/>
    <cellStyle name="SAPBEXstdItemX 3 2 5 2" xfId="10993"/>
    <cellStyle name="SAPBEXstdItemX 3 2 6" xfId="10994"/>
    <cellStyle name="SAPBEXstdItemX 3 2 6 2" xfId="10995"/>
    <cellStyle name="SAPBEXstdItemX 3 2 7" xfId="10996"/>
    <cellStyle name="SAPBEXstdItemX 3 2 7 2" xfId="10997"/>
    <cellStyle name="SAPBEXstdItemX 3 2 8" xfId="10998"/>
    <cellStyle name="SAPBEXstdItemX 3 3" xfId="10999"/>
    <cellStyle name="SAPBEXstdItemX 3 3 10" xfId="11000"/>
    <cellStyle name="SAPBEXstdItemX 3 3 10 2" xfId="11001"/>
    <cellStyle name="SAPBEXstdItemX 3 3 11" xfId="11002"/>
    <cellStyle name="SAPBEXstdItemX 3 3 2" xfId="11003"/>
    <cellStyle name="SAPBEXstdItemX 3 3 2 2" xfId="11004"/>
    <cellStyle name="SAPBEXstdItemX 3 3 2 2 2" xfId="11005"/>
    <cellStyle name="SAPBEXstdItemX 3 3 2 3" xfId="11006"/>
    <cellStyle name="SAPBEXstdItemX 3 3 3" xfId="11007"/>
    <cellStyle name="SAPBEXstdItemX 3 3 3 2" xfId="11008"/>
    <cellStyle name="SAPBEXstdItemX 3 3 4" xfId="11009"/>
    <cellStyle name="SAPBEXstdItemX 3 3 4 2" xfId="11010"/>
    <cellStyle name="SAPBEXstdItemX 3 3 5" xfId="11011"/>
    <cellStyle name="SAPBEXstdItemX 3 3 5 2" xfId="11012"/>
    <cellStyle name="SAPBEXstdItemX 3 3 6" xfId="11013"/>
    <cellStyle name="SAPBEXstdItemX 3 3 6 2" xfId="11014"/>
    <cellStyle name="SAPBEXstdItemX 3 3 7" xfId="11015"/>
    <cellStyle name="SAPBEXstdItemX 3 3 7 2" xfId="11016"/>
    <cellStyle name="SAPBEXstdItemX 3 3 8" xfId="11017"/>
    <cellStyle name="SAPBEXstdItemX 3 3 8 2" xfId="11018"/>
    <cellStyle name="SAPBEXstdItemX 3 3 9" xfId="11019"/>
    <cellStyle name="SAPBEXstdItemX 3 3 9 2" xfId="11020"/>
    <cellStyle name="SAPBEXstdItemX 3 4" xfId="11021"/>
    <cellStyle name="SAPBEXstdItemX 3 4 10" xfId="11022"/>
    <cellStyle name="SAPBEXstdItemX 3 4 10 2" xfId="11023"/>
    <cellStyle name="SAPBEXstdItemX 3 4 11" xfId="11024"/>
    <cellStyle name="SAPBEXstdItemX 3 4 2" xfId="11025"/>
    <cellStyle name="SAPBEXstdItemX 3 4 2 2" xfId="11026"/>
    <cellStyle name="SAPBEXstdItemX 3 4 2 2 2" xfId="11027"/>
    <cellStyle name="SAPBEXstdItemX 3 4 2 3" xfId="11028"/>
    <cellStyle name="SAPBEXstdItemX 3 4 3" xfId="11029"/>
    <cellStyle name="SAPBEXstdItemX 3 4 3 2" xfId="11030"/>
    <cellStyle name="SAPBEXstdItemX 3 4 4" xfId="11031"/>
    <cellStyle name="SAPBEXstdItemX 3 4 4 2" xfId="11032"/>
    <cellStyle name="SAPBEXstdItemX 3 4 5" xfId="11033"/>
    <cellStyle name="SAPBEXstdItemX 3 4 5 2" xfId="11034"/>
    <cellStyle name="SAPBEXstdItemX 3 4 6" xfId="11035"/>
    <cellStyle name="SAPBEXstdItemX 3 4 6 2" xfId="11036"/>
    <cellStyle name="SAPBEXstdItemX 3 4 7" xfId="11037"/>
    <cellStyle name="SAPBEXstdItemX 3 4 7 2" xfId="11038"/>
    <cellStyle name="SAPBEXstdItemX 3 4 8" xfId="11039"/>
    <cellStyle name="SAPBEXstdItemX 3 4 8 2" xfId="11040"/>
    <cellStyle name="SAPBEXstdItemX 3 4 9" xfId="11041"/>
    <cellStyle name="SAPBEXstdItemX 3 4 9 2" xfId="11042"/>
    <cellStyle name="SAPBEXstdItemX 3 5" xfId="11043"/>
    <cellStyle name="SAPBEXstdItemX 3 5 10" xfId="11044"/>
    <cellStyle name="SAPBEXstdItemX 3 5 10 2" xfId="11045"/>
    <cellStyle name="SAPBEXstdItemX 3 5 11" xfId="11046"/>
    <cellStyle name="SAPBEXstdItemX 3 5 2" xfId="11047"/>
    <cellStyle name="SAPBEXstdItemX 3 5 2 2" xfId="11048"/>
    <cellStyle name="SAPBEXstdItemX 3 5 2 2 2" xfId="11049"/>
    <cellStyle name="SAPBEXstdItemX 3 5 2 3" xfId="11050"/>
    <cellStyle name="SAPBEXstdItemX 3 5 3" xfId="11051"/>
    <cellStyle name="SAPBEXstdItemX 3 5 3 2" xfId="11052"/>
    <cellStyle name="SAPBEXstdItemX 3 5 4" xfId="11053"/>
    <cellStyle name="SAPBEXstdItemX 3 5 4 2" xfId="11054"/>
    <cellStyle name="SAPBEXstdItemX 3 5 5" xfId="11055"/>
    <cellStyle name="SAPBEXstdItemX 3 5 5 2" xfId="11056"/>
    <cellStyle name="SAPBEXstdItemX 3 5 6" xfId="11057"/>
    <cellStyle name="SAPBEXstdItemX 3 5 6 2" xfId="11058"/>
    <cellStyle name="SAPBEXstdItemX 3 5 7" xfId="11059"/>
    <cellStyle name="SAPBEXstdItemX 3 5 7 2" xfId="11060"/>
    <cellStyle name="SAPBEXstdItemX 3 5 8" xfId="11061"/>
    <cellStyle name="SAPBEXstdItemX 3 5 8 2" xfId="11062"/>
    <cellStyle name="SAPBEXstdItemX 3 5 9" xfId="11063"/>
    <cellStyle name="SAPBEXstdItemX 3 5 9 2" xfId="11064"/>
    <cellStyle name="SAPBEXstdItemX 3 6" xfId="11065"/>
    <cellStyle name="SAPBEXstdItemX 3 6 10" xfId="11066"/>
    <cellStyle name="SAPBEXstdItemX 3 6 10 2" xfId="11067"/>
    <cellStyle name="SAPBEXstdItemX 3 6 11" xfId="11068"/>
    <cellStyle name="SAPBEXstdItemX 3 6 2" xfId="11069"/>
    <cellStyle name="SAPBEXstdItemX 3 6 2 2" xfId="11070"/>
    <cellStyle name="SAPBEXstdItemX 3 6 2 2 2" xfId="11071"/>
    <cellStyle name="SAPBEXstdItemX 3 6 2 3" xfId="11072"/>
    <cellStyle name="SAPBEXstdItemX 3 6 3" xfId="11073"/>
    <cellStyle name="SAPBEXstdItemX 3 6 3 2" xfId="11074"/>
    <cellStyle name="SAPBEXstdItemX 3 6 4" xfId="11075"/>
    <cellStyle name="SAPBEXstdItemX 3 6 4 2" xfId="11076"/>
    <cellStyle name="SAPBEXstdItemX 3 6 5" xfId="11077"/>
    <cellStyle name="SAPBEXstdItemX 3 6 5 2" xfId="11078"/>
    <cellStyle name="SAPBEXstdItemX 3 6 6" xfId="11079"/>
    <cellStyle name="SAPBEXstdItemX 3 6 6 2" xfId="11080"/>
    <cellStyle name="SAPBEXstdItemX 3 6 7" xfId="11081"/>
    <cellStyle name="SAPBEXstdItemX 3 6 7 2" xfId="11082"/>
    <cellStyle name="SAPBEXstdItemX 3 6 8" xfId="11083"/>
    <cellStyle name="SAPBEXstdItemX 3 6 8 2" xfId="11084"/>
    <cellStyle name="SAPBEXstdItemX 3 6 9" xfId="11085"/>
    <cellStyle name="SAPBEXstdItemX 3 6 9 2" xfId="11086"/>
    <cellStyle name="SAPBEXstdItemX 3 7" xfId="11087"/>
    <cellStyle name="SAPBEXstdItemX 3 7 2" xfId="11088"/>
    <cellStyle name="SAPBEXstdItemX 3 7 2 2" xfId="11089"/>
    <cellStyle name="SAPBEXstdItemX 3 7 3" xfId="11090"/>
    <cellStyle name="SAPBEXstdItemX 3 8" xfId="11091"/>
    <cellStyle name="SAPBEXstdItemX 3 8 2" xfId="11092"/>
    <cellStyle name="SAPBEXstdItemX 3 9" xfId="11093"/>
    <cellStyle name="SAPBEXstdItemX 3 9 2" xfId="11094"/>
    <cellStyle name="SAPBEXstdItemX 4" xfId="11095"/>
    <cellStyle name="SAPBEXstdItemX 4 10" xfId="11096"/>
    <cellStyle name="SAPBEXstdItemX 4 10 2" xfId="11097"/>
    <cellStyle name="SAPBEXstdItemX 4 11" xfId="11098"/>
    <cellStyle name="SAPBEXstdItemX 4 2" xfId="11099"/>
    <cellStyle name="SAPBEXstdItemX 4 2 2" xfId="11100"/>
    <cellStyle name="SAPBEXstdItemX 4 2 2 2" xfId="11101"/>
    <cellStyle name="SAPBEXstdItemX 4 2 3" xfId="11102"/>
    <cellStyle name="SAPBEXstdItemX 4 3" xfId="11103"/>
    <cellStyle name="SAPBEXstdItemX 4 3 2" xfId="11104"/>
    <cellStyle name="SAPBEXstdItemX 4 4" xfId="11105"/>
    <cellStyle name="SAPBEXstdItemX 4 4 2" xfId="11106"/>
    <cellStyle name="SAPBEXstdItemX 4 5" xfId="11107"/>
    <cellStyle name="SAPBEXstdItemX 4 5 2" xfId="11108"/>
    <cellStyle name="SAPBEXstdItemX 4 6" xfId="11109"/>
    <cellStyle name="SAPBEXstdItemX 4 6 2" xfId="11110"/>
    <cellStyle name="SAPBEXstdItemX 4 7" xfId="11111"/>
    <cellStyle name="SAPBEXstdItemX 4 7 2" xfId="11112"/>
    <cellStyle name="SAPBEXstdItemX 4 8" xfId="11113"/>
    <cellStyle name="SAPBEXstdItemX 4 8 2" xfId="11114"/>
    <cellStyle name="SAPBEXstdItemX 4 9" xfId="11115"/>
    <cellStyle name="SAPBEXstdItemX 4 9 2" xfId="11116"/>
    <cellStyle name="SAPBEXstdItemX 5" xfId="11117"/>
    <cellStyle name="SAPBEXstdItemX 5 2" xfId="11118"/>
    <cellStyle name="SAPBEXstdItemX 5 2 2" xfId="11119"/>
    <cellStyle name="SAPBEXstdItemX 5 3" xfId="11120"/>
    <cellStyle name="SAPBEXstdItemX 6" xfId="11121"/>
    <cellStyle name="SAPBEXstdItemX 6 2" xfId="11122"/>
    <cellStyle name="SAPBEXstdItemX 7" xfId="11123"/>
    <cellStyle name="SAPBEXstdItemX 7 2" xfId="11124"/>
    <cellStyle name="SAPBEXstdItemX 8" xfId="11125"/>
    <cellStyle name="SAPBEXstdItemX 9" xfId="11126"/>
    <cellStyle name="SAPBEXstdItemX_Copy of xSAPtemp5457" xfId="11127"/>
    <cellStyle name="SAPBEXtitle" xfId="11128"/>
    <cellStyle name="SAPBEXtitle 2" xfId="11129"/>
    <cellStyle name="SAPBEXtitle 3" xfId="11130"/>
    <cellStyle name="SAPBEXtitle 4" xfId="11131"/>
    <cellStyle name="SAPBEXtitle 5" xfId="11132"/>
    <cellStyle name="SAPBEXtitle 6" xfId="11133"/>
    <cellStyle name="SAPBEXtitle 7" xfId="11134"/>
    <cellStyle name="SAPBEXtitle_Copy of xSAPtemp5457" xfId="11135"/>
    <cellStyle name="SAPBEXundefined" xfId="11136"/>
    <cellStyle name="SECTION" xfId="698"/>
    <cellStyle name="Style 1" xfId="699"/>
    <cellStyle name="Style 1 10" xfId="700"/>
    <cellStyle name="Style 1 10 2" xfId="701"/>
    <cellStyle name="Style 1 10 2 2" xfId="702"/>
    <cellStyle name="Style 1 10 3" xfId="703"/>
    <cellStyle name="Style 1 11" xfId="704"/>
    <cellStyle name="Style 1 11 2" xfId="705"/>
    <cellStyle name="Style 1 11 2 2" xfId="706"/>
    <cellStyle name="Style 1 11 3" xfId="707"/>
    <cellStyle name="Style 1 12" xfId="708"/>
    <cellStyle name="Style 1 12 2" xfId="709"/>
    <cellStyle name="Style 1 12 2 2" xfId="710"/>
    <cellStyle name="Style 1 12 3" xfId="711"/>
    <cellStyle name="Style 1 13" xfId="712"/>
    <cellStyle name="Style 1 13 2" xfId="713"/>
    <cellStyle name="Style 1 2" xfId="714"/>
    <cellStyle name="Style 1 2 2" xfId="715"/>
    <cellStyle name="Style 1 2 2 2" xfId="716"/>
    <cellStyle name="Style 1 2 3" xfId="717"/>
    <cellStyle name="Style 1 3" xfId="718"/>
    <cellStyle name="Style 1 3 2" xfId="719"/>
    <cellStyle name="Style 1 3 2 2" xfId="720"/>
    <cellStyle name="Style 1 3 3" xfId="721"/>
    <cellStyle name="Style 1 4" xfId="722"/>
    <cellStyle name="Style 1 4 2" xfId="723"/>
    <cellStyle name="Style 1 4 2 2" xfId="724"/>
    <cellStyle name="Style 1 4 3" xfId="725"/>
    <cellStyle name="Style 1 5" xfId="726"/>
    <cellStyle name="Style 1 5 2" xfId="727"/>
    <cellStyle name="Style 1 5 2 2" xfId="728"/>
    <cellStyle name="Style 1 5 3" xfId="729"/>
    <cellStyle name="Style 1 6" xfId="730"/>
    <cellStyle name="Style 1 6 2" xfId="731"/>
    <cellStyle name="Style 1 6 2 2" xfId="732"/>
    <cellStyle name="Style 1 6 3" xfId="733"/>
    <cellStyle name="Style 1 7" xfId="734"/>
    <cellStyle name="Style 1 7 2" xfId="735"/>
    <cellStyle name="Style 1 7 2 2" xfId="736"/>
    <cellStyle name="Style 1 7 3" xfId="737"/>
    <cellStyle name="Style 1 8" xfId="738"/>
    <cellStyle name="Style 1 8 2" xfId="739"/>
    <cellStyle name="Style 1 8 2 2" xfId="740"/>
    <cellStyle name="Style 1 8 3" xfId="741"/>
    <cellStyle name="Style 1 9" xfId="742"/>
    <cellStyle name="Style 1 9 2" xfId="743"/>
    <cellStyle name="Style 1 9 2 2" xfId="744"/>
    <cellStyle name="Style 1 9 3" xfId="745"/>
    <cellStyle name="Style 1_FERC General Taxes" xfId="746"/>
    <cellStyle name="Style 27" xfId="11137"/>
    <cellStyle name="Style 35" xfId="11138"/>
    <cellStyle name="Style 36" xfId="11139"/>
    <cellStyle name="System Defined" xfId="747"/>
    <cellStyle name="Tickmark" xfId="748"/>
    <cellStyle name="Times New Roman" xfId="749"/>
    <cellStyle name="Title 2" xfId="750"/>
    <cellStyle name="Titles" xfId="11140"/>
    <cellStyle name="Total 2" xfId="751"/>
    <cellStyle name="Total 2 10" xfId="11141"/>
    <cellStyle name="Total 2 10 2" xfId="11142"/>
    <cellStyle name="Total 2 11" xfId="11143"/>
    <cellStyle name="Total 2 11 2" xfId="11144"/>
    <cellStyle name="Total 2 12" xfId="11145"/>
    <cellStyle name="Total 2 12 2" xfId="11146"/>
    <cellStyle name="Total 2 13" xfId="11147"/>
    <cellStyle name="Total 2 2" xfId="11148"/>
    <cellStyle name="Total 2 2 2" xfId="11149"/>
    <cellStyle name="Total 2 2 2 2" xfId="11150"/>
    <cellStyle name="Total 2 2 2 2 2" xfId="11151"/>
    <cellStyle name="Total 2 2 2 3" xfId="11152"/>
    <cellStyle name="Total 2 2 3" xfId="11153"/>
    <cellStyle name="Total 2 2 3 2" xfId="11154"/>
    <cellStyle name="Total 2 2 3 2 2" xfId="11155"/>
    <cellStyle name="Total 2 2 3 3" xfId="11156"/>
    <cellStyle name="Total 2 2 4" xfId="11157"/>
    <cellStyle name="Total 2 2 4 2" xfId="11158"/>
    <cellStyle name="Total 2 2 5" xfId="11159"/>
    <cellStyle name="Total 2 2 5 2" xfId="11160"/>
    <cellStyle name="Total 2 2 6" xfId="11161"/>
    <cellStyle name="Total 2 2 6 2" xfId="11162"/>
    <cellStyle name="Total 2 2 7" xfId="11163"/>
    <cellStyle name="Total 2 2 7 2" xfId="11164"/>
    <cellStyle name="Total 2 2 8" xfId="11165"/>
    <cellStyle name="Total 2 3" xfId="11166"/>
    <cellStyle name="Total 2 3 10" xfId="11167"/>
    <cellStyle name="Total 2 3 10 2" xfId="11168"/>
    <cellStyle name="Total 2 3 11" xfId="11169"/>
    <cellStyle name="Total 2 3 2" xfId="11170"/>
    <cellStyle name="Total 2 3 2 2" xfId="11171"/>
    <cellStyle name="Total 2 3 2 2 2" xfId="11172"/>
    <cellStyle name="Total 2 3 2 3" xfId="11173"/>
    <cellStyle name="Total 2 3 3" xfId="11174"/>
    <cellStyle name="Total 2 3 3 2" xfId="11175"/>
    <cellStyle name="Total 2 3 4" xfId="11176"/>
    <cellStyle name="Total 2 3 4 2" xfId="11177"/>
    <cellStyle name="Total 2 3 5" xfId="11178"/>
    <cellStyle name="Total 2 3 5 2" xfId="11179"/>
    <cellStyle name="Total 2 3 6" xfId="11180"/>
    <cellStyle name="Total 2 3 6 2" xfId="11181"/>
    <cellStyle name="Total 2 3 7" xfId="11182"/>
    <cellStyle name="Total 2 3 7 2" xfId="11183"/>
    <cellStyle name="Total 2 3 8" xfId="11184"/>
    <cellStyle name="Total 2 3 8 2" xfId="11185"/>
    <cellStyle name="Total 2 3 9" xfId="11186"/>
    <cellStyle name="Total 2 3 9 2" xfId="11187"/>
    <cellStyle name="Total 2 4" xfId="11188"/>
    <cellStyle name="Total 2 4 10" xfId="11189"/>
    <cellStyle name="Total 2 4 10 2" xfId="11190"/>
    <cellStyle name="Total 2 4 11" xfId="11191"/>
    <cellStyle name="Total 2 4 2" xfId="11192"/>
    <cellStyle name="Total 2 4 2 2" xfId="11193"/>
    <cellStyle name="Total 2 4 2 2 2" xfId="11194"/>
    <cellStyle name="Total 2 4 2 3" xfId="11195"/>
    <cellStyle name="Total 2 4 3" xfId="11196"/>
    <cellStyle name="Total 2 4 3 2" xfId="11197"/>
    <cellStyle name="Total 2 4 4" xfId="11198"/>
    <cellStyle name="Total 2 4 4 2" xfId="11199"/>
    <cellStyle name="Total 2 4 5" xfId="11200"/>
    <cellStyle name="Total 2 4 5 2" xfId="11201"/>
    <cellStyle name="Total 2 4 6" xfId="11202"/>
    <cellStyle name="Total 2 4 6 2" xfId="11203"/>
    <cellStyle name="Total 2 4 7" xfId="11204"/>
    <cellStyle name="Total 2 4 7 2" xfId="11205"/>
    <cellStyle name="Total 2 4 8" xfId="11206"/>
    <cellStyle name="Total 2 4 8 2" xfId="11207"/>
    <cellStyle name="Total 2 4 9" xfId="11208"/>
    <cellStyle name="Total 2 4 9 2" xfId="11209"/>
    <cellStyle name="Total 2 5" xfId="11210"/>
    <cellStyle name="Total 2 5 10" xfId="11211"/>
    <cellStyle name="Total 2 5 10 2" xfId="11212"/>
    <cellStyle name="Total 2 5 11" xfId="11213"/>
    <cellStyle name="Total 2 5 2" xfId="11214"/>
    <cellStyle name="Total 2 5 2 2" xfId="11215"/>
    <cellStyle name="Total 2 5 2 2 2" xfId="11216"/>
    <cellStyle name="Total 2 5 2 3" xfId="11217"/>
    <cellStyle name="Total 2 5 3" xfId="11218"/>
    <cellStyle name="Total 2 5 3 2" xfId="11219"/>
    <cellStyle name="Total 2 5 4" xfId="11220"/>
    <cellStyle name="Total 2 5 4 2" xfId="11221"/>
    <cellStyle name="Total 2 5 5" xfId="11222"/>
    <cellStyle name="Total 2 5 5 2" xfId="11223"/>
    <cellStyle name="Total 2 5 6" xfId="11224"/>
    <cellStyle name="Total 2 5 6 2" xfId="11225"/>
    <cellStyle name="Total 2 5 7" xfId="11226"/>
    <cellStyle name="Total 2 5 7 2" xfId="11227"/>
    <cellStyle name="Total 2 5 8" xfId="11228"/>
    <cellStyle name="Total 2 5 8 2" xfId="11229"/>
    <cellStyle name="Total 2 5 9" xfId="11230"/>
    <cellStyle name="Total 2 5 9 2" xfId="11231"/>
    <cellStyle name="Total 2 6" xfId="11232"/>
    <cellStyle name="Total 2 6 10" xfId="11233"/>
    <cellStyle name="Total 2 6 10 2" xfId="11234"/>
    <cellStyle name="Total 2 6 11" xfId="11235"/>
    <cellStyle name="Total 2 6 2" xfId="11236"/>
    <cellStyle name="Total 2 6 2 2" xfId="11237"/>
    <cellStyle name="Total 2 6 2 2 2" xfId="11238"/>
    <cellStyle name="Total 2 6 2 3" xfId="11239"/>
    <cellStyle name="Total 2 6 3" xfId="11240"/>
    <cellStyle name="Total 2 6 3 2" xfId="11241"/>
    <cellStyle name="Total 2 6 4" xfId="11242"/>
    <cellStyle name="Total 2 6 4 2" xfId="11243"/>
    <cellStyle name="Total 2 6 5" xfId="11244"/>
    <cellStyle name="Total 2 6 5 2" xfId="11245"/>
    <cellStyle name="Total 2 6 6" xfId="11246"/>
    <cellStyle name="Total 2 6 6 2" xfId="11247"/>
    <cellStyle name="Total 2 6 7" xfId="11248"/>
    <cellStyle name="Total 2 6 7 2" xfId="11249"/>
    <cellStyle name="Total 2 6 8" xfId="11250"/>
    <cellStyle name="Total 2 6 8 2" xfId="11251"/>
    <cellStyle name="Total 2 6 9" xfId="11252"/>
    <cellStyle name="Total 2 6 9 2" xfId="11253"/>
    <cellStyle name="Total 2 7" xfId="11254"/>
    <cellStyle name="Total 2 7 2" xfId="11255"/>
    <cellStyle name="Total 2 7 2 2" xfId="11256"/>
    <cellStyle name="Total 2 7 3" xfId="11257"/>
    <cellStyle name="Total 2 8" xfId="11258"/>
    <cellStyle name="Total 2 8 2" xfId="11259"/>
    <cellStyle name="Total 2 9" xfId="11260"/>
    <cellStyle name="Total 2 9 2" xfId="11261"/>
    <cellStyle name="Unprot" xfId="11262"/>
    <cellStyle name="Unprot$" xfId="11263"/>
    <cellStyle name="Unprotect" xfId="11264"/>
    <cellStyle name="Warning Text 2" xfId="75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808000"/>
      <rgbColor rgb="00FF00FF"/>
      <rgbColor rgb="0000FFFF"/>
      <rgbColor rgb="00800000"/>
      <rgbColor rgb="00008000"/>
      <rgbColor rgb="00000080"/>
      <rgbColor rgb="00FFFF86"/>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mruColors>
      <color rgb="FFFFCCFF"/>
      <color rgb="FF66FFFF"/>
      <color rgb="FFFFFFCC"/>
      <color rgb="FFFFFF99"/>
      <color rgb="FFFFFF66"/>
      <color rgb="FFFF9999"/>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8.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externalLink" Target="externalLinks/externalLink6.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externalLink" Target="externalLinks/externalLink9.xml"/><Relationship Id="rId48"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xdr:col>
      <xdr:colOff>0</xdr:colOff>
      <xdr:row>68</xdr:row>
      <xdr:rowOff>0</xdr:rowOff>
    </xdr:from>
    <xdr:ext cx="184731" cy="264560"/>
    <xdr:sp macro="" textlink="">
      <xdr:nvSpPr>
        <xdr:cNvPr id="2" name="TextBox 1"/>
        <xdr:cNvSpPr txBox="1"/>
      </xdr:nvSpPr>
      <xdr:spPr>
        <a:xfrm>
          <a:off x="4396740" y="124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68</xdr:row>
      <xdr:rowOff>0</xdr:rowOff>
    </xdr:from>
    <xdr:ext cx="184731" cy="264560"/>
    <xdr:sp macro="" textlink="">
      <xdr:nvSpPr>
        <xdr:cNvPr id="3" name="TextBox 2"/>
        <xdr:cNvSpPr txBox="1"/>
      </xdr:nvSpPr>
      <xdr:spPr>
        <a:xfrm>
          <a:off x="0" y="87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38100</xdr:colOff>
      <xdr:row>59</xdr:row>
      <xdr:rowOff>139700</xdr:rowOff>
    </xdr:from>
    <xdr:ext cx="184731" cy="264560"/>
    <xdr:sp macro="" textlink="">
      <xdr:nvSpPr>
        <xdr:cNvPr id="4" name="TextBox 3"/>
        <xdr:cNvSpPr txBox="1"/>
      </xdr:nvSpPr>
      <xdr:spPr>
        <a:xfrm>
          <a:off x="6469380" y="1072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68</xdr:row>
      <xdr:rowOff>0</xdr:rowOff>
    </xdr:from>
    <xdr:ext cx="184731" cy="264560"/>
    <xdr:sp macro="" textlink="">
      <xdr:nvSpPr>
        <xdr:cNvPr id="5" name="TextBox 4"/>
        <xdr:cNvSpPr txBox="1"/>
      </xdr:nvSpPr>
      <xdr:spPr>
        <a:xfrm>
          <a:off x="6393873" y="12171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38100</xdr:colOff>
      <xdr:row>59</xdr:row>
      <xdr:rowOff>139700</xdr:rowOff>
    </xdr:from>
    <xdr:ext cx="184731" cy="264560"/>
    <xdr:sp macro="" textlink="">
      <xdr:nvSpPr>
        <xdr:cNvPr id="6" name="TextBox 5"/>
        <xdr:cNvSpPr txBox="1"/>
      </xdr:nvSpPr>
      <xdr:spPr>
        <a:xfrm>
          <a:off x="6431973" y="80298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68</xdr:row>
      <xdr:rowOff>0</xdr:rowOff>
    </xdr:from>
    <xdr:ext cx="184731" cy="264560"/>
    <xdr:sp macro="" textlink="">
      <xdr:nvSpPr>
        <xdr:cNvPr id="7" name="TextBox 6"/>
        <xdr:cNvSpPr txBox="1"/>
      </xdr:nvSpPr>
      <xdr:spPr>
        <a:xfrm>
          <a:off x="6393873" y="12171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38100</xdr:colOff>
      <xdr:row>59</xdr:row>
      <xdr:rowOff>139700</xdr:rowOff>
    </xdr:from>
    <xdr:ext cx="184731" cy="264560"/>
    <xdr:sp macro="" textlink="">
      <xdr:nvSpPr>
        <xdr:cNvPr id="8" name="TextBox 7"/>
        <xdr:cNvSpPr txBox="1"/>
      </xdr:nvSpPr>
      <xdr:spPr>
        <a:xfrm>
          <a:off x="6431973" y="80298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38100</xdr:colOff>
      <xdr:row>59</xdr:row>
      <xdr:rowOff>139700</xdr:rowOff>
    </xdr:from>
    <xdr:ext cx="184731" cy="264560"/>
    <xdr:sp macro="" textlink="">
      <xdr:nvSpPr>
        <xdr:cNvPr id="9" name="TextBox 8"/>
        <xdr:cNvSpPr txBox="1"/>
      </xdr:nvSpPr>
      <xdr:spPr>
        <a:xfrm>
          <a:off x="6400800" y="9306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38100</xdr:colOff>
      <xdr:row>75</xdr:row>
      <xdr:rowOff>139700</xdr:rowOff>
    </xdr:from>
    <xdr:ext cx="184731" cy="264560"/>
    <xdr:sp macro="" textlink="">
      <xdr:nvSpPr>
        <xdr:cNvPr id="3" name="TextBox 2"/>
        <xdr:cNvSpPr txBox="1"/>
      </xdr:nvSpPr>
      <xdr:spPr>
        <a:xfrm>
          <a:off x="5248275" y="1121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71</xdr:row>
      <xdr:rowOff>0</xdr:rowOff>
    </xdr:from>
    <xdr:ext cx="184731" cy="264560"/>
    <xdr:sp macro="" textlink="">
      <xdr:nvSpPr>
        <xdr:cNvPr id="2" name="TextBox 1"/>
        <xdr:cNvSpPr txBox="1"/>
      </xdr:nvSpPr>
      <xdr:spPr>
        <a:xfrm>
          <a:off x="4076700" y="1021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54</xdr:row>
      <xdr:rowOff>139700</xdr:rowOff>
    </xdr:from>
    <xdr:ext cx="184731" cy="264560"/>
    <xdr:sp macro="" textlink="">
      <xdr:nvSpPr>
        <xdr:cNvPr id="3" name="TextBox 2"/>
        <xdr:cNvSpPr txBox="1"/>
      </xdr:nvSpPr>
      <xdr:spPr>
        <a:xfrm>
          <a:off x="4389120" y="9641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38100</xdr:colOff>
      <xdr:row>61</xdr:row>
      <xdr:rowOff>139700</xdr:rowOff>
    </xdr:from>
    <xdr:ext cx="184731" cy="264560"/>
    <xdr:sp macro="" textlink="">
      <xdr:nvSpPr>
        <xdr:cNvPr id="5" name="TextBox 4"/>
        <xdr:cNvSpPr txBox="1"/>
      </xdr:nvSpPr>
      <xdr:spPr>
        <a:xfrm>
          <a:off x="4385982" y="9812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0</xdr:colOff>
      <xdr:row>61</xdr:row>
      <xdr:rowOff>0</xdr:rowOff>
    </xdr:from>
    <xdr:ext cx="184731" cy="264560"/>
    <xdr:sp macro="" textlink="">
      <xdr:nvSpPr>
        <xdr:cNvPr id="2" name="TextBox 1"/>
        <xdr:cNvSpPr txBox="1"/>
      </xdr:nvSpPr>
      <xdr:spPr>
        <a:xfrm>
          <a:off x="3055620" y="10988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45</xdr:row>
      <xdr:rowOff>139700</xdr:rowOff>
    </xdr:from>
    <xdr:ext cx="184731" cy="264560"/>
    <xdr:sp macro="" textlink="">
      <xdr:nvSpPr>
        <xdr:cNvPr id="3" name="TextBox 2"/>
        <xdr:cNvSpPr txBox="1"/>
      </xdr:nvSpPr>
      <xdr:spPr>
        <a:xfrm>
          <a:off x="0" y="844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52</xdr:row>
      <xdr:rowOff>0</xdr:rowOff>
    </xdr:from>
    <xdr:ext cx="184731" cy="264560"/>
    <xdr:sp macro="" textlink="">
      <xdr:nvSpPr>
        <xdr:cNvPr id="4" name="TextBox 3"/>
        <xdr:cNvSpPr txBox="1"/>
      </xdr:nvSpPr>
      <xdr:spPr>
        <a:xfrm>
          <a:off x="5021580" y="9479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52</xdr:row>
      <xdr:rowOff>0</xdr:rowOff>
    </xdr:from>
    <xdr:ext cx="184731" cy="264560"/>
    <xdr:sp macro="" textlink="">
      <xdr:nvSpPr>
        <xdr:cNvPr id="5" name="TextBox 4"/>
        <xdr:cNvSpPr txBox="1"/>
      </xdr:nvSpPr>
      <xdr:spPr>
        <a:xfrm>
          <a:off x="1950720" y="9479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40</xdr:row>
      <xdr:rowOff>139700</xdr:rowOff>
    </xdr:from>
    <xdr:ext cx="184731" cy="264560"/>
    <xdr:sp macro="" textlink="">
      <xdr:nvSpPr>
        <xdr:cNvPr id="6" name="TextBox 5"/>
        <xdr:cNvSpPr txBox="1"/>
      </xdr:nvSpPr>
      <xdr:spPr>
        <a:xfrm>
          <a:off x="0" y="760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38100</xdr:colOff>
      <xdr:row>47</xdr:row>
      <xdr:rowOff>139700</xdr:rowOff>
    </xdr:from>
    <xdr:ext cx="184731" cy="264560"/>
    <xdr:sp macro="" textlink="">
      <xdr:nvSpPr>
        <xdr:cNvPr id="7" name="TextBox 6"/>
        <xdr:cNvSpPr txBox="1"/>
      </xdr:nvSpPr>
      <xdr:spPr>
        <a:xfrm>
          <a:off x="3992880" y="8780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38100</xdr:colOff>
      <xdr:row>4</xdr:row>
      <xdr:rowOff>0</xdr:rowOff>
    </xdr:from>
    <xdr:ext cx="184731" cy="264560"/>
    <xdr:sp macro="" textlink="">
      <xdr:nvSpPr>
        <xdr:cNvPr id="8" name="TextBox 7"/>
        <xdr:cNvSpPr txBox="1"/>
      </xdr:nvSpPr>
      <xdr:spPr>
        <a:xfrm>
          <a:off x="5059680" y="670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37</xdr:row>
      <xdr:rowOff>0</xdr:rowOff>
    </xdr:from>
    <xdr:ext cx="184731" cy="264560"/>
    <xdr:sp macro="" textlink="">
      <xdr:nvSpPr>
        <xdr:cNvPr id="9" name="TextBox 8"/>
        <xdr:cNvSpPr txBox="1"/>
      </xdr:nvSpPr>
      <xdr:spPr>
        <a:xfrm>
          <a:off x="3055620" y="6964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31</xdr:row>
      <xdr:rowOff>0</xdr:rowOff>
    </xdr:from>
    <xdr:ext cx="184731" cy="264560"/>
    <xdr:sp macro="" textlink="">
      <xdr:nvSpPr>
        <xdr:cNvPr id="10" name="TextBox 9"/>
        <xdr:cNvSpPr txBox="1"/>
      </xdr:nvSpPr>
      <xdr:spPr>
        <a:xfrm>
          <a:off x="0" y="5958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31</xdr:row>
      <xdr:rowOff>0</xdr:rowOff>
    </xdr:from>
    <xdr:ext cx="184731" cy="264560"/>
    <xdr:sp macro="" textlink="">
      <xdr:nvSpPr>
        <xdr:cNvPr id="11" name="TextBox 10"/>
        <xdr:cNvSpPr txBox="1"/>
      </xdr:nvSpPr>
      <xdr:spPr>
        <a:xfrm>
          <a:off x="5021580" y="5958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31</xdr:row>
      <xdr:rowOff>0</xdr:rowOff>
    </xdr:from>
    <xdr:ext cx="184731" cy="264560"/>
    <xdr:sp macro="" textlink="">
      <xdr:nvSpPr>
        <xdr:cNvPr id="12" name="TextBox 11"/>
        <xdr:cNvSpPr txBox="1"/>
      </xdr:nvSpPr>
      <xdr:spPr>
        <a:xfrm>
          <a:off x="1950720" y="5958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31</xdr:row>
      <xdr:rowOff>0</xdr:rowOff>
    </xdr:from>
    <xdr:ext cx="184731" cy="264560"/>
    <xdr:sp macro="" textlink="">
      <xdr:nvSpPr>
        <xdr:cNvPr id="13" name="TextBox 12"/>
        <xdr:cNvSpPr txBox="1"/>
      </xdr:nvSpPr>
      <xdr:spPr>
        <a:xfrm>
          <a:off x="0" y="5958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38100</xdr:colOff>
      <xdr:row>31</xdr:row>
      <xdr:rowOff>0</xdr:rowOff>
    </xdr:from>
    <xdr:ext cx="184731" cy="264560"/>
    <xdr:sp macro="" textlink="">
      <xdr:nvSpPr>
        <xdr:cNvPr id="14" name="TextBox 13"/>
        <xdr:cNvSpPr txBox="1"/>
      </xdr:nvSpPr>
      <xdr:spPr>
        <a:xfrm>
          <a:off x="3992880" y="5958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38100</xdr:colOff>
      <xdr:row>3</xdr:row>
      <xdr:rowOff>0</xdr:rowOff>
    </xdr:from>
    <xdr:ext cx="184731" cy="264560"/>
    <xdr:sp macro="" textlink="">
      <xdr:nvSpPr>
        <xdr:cNvPr id="15" name="TextBox 14"/>
        <xdr:cNvSpPr txBox="1"/>
      </xdr:nvSpPr>
      <xdr:spPr>
        <a:xfrm>
          <a:off x="5059680" y="502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25</xdr:row>
      <xdr:rowOff>0</xdr:rowOff>
    </xdr:from>
    <xdr:ext cx="184731" cy="264560"/>
    <xdr:sp macro="" textlink="">
      <xdr:nvSpPr>
        <xdr:cNvPr id="16" name="TextBox 15"/>
        <xdr:cNvSpPr txBox="1"/>
      </xdr:nvSpPr>
      <xdr:spPr>
        <a:xfrm>
          <a:off x="0" y="4236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28</xdr:row>
      <xdr:rowOff>0</xdr:rowOff>
    </xdr:from>
    <xdr:ext cx="184731" cy="264560"/>
    <xdr:sp macro="" textlink="">
      <xdr:nvSpPr>
        <xdr:cNvPr id="17" name="TextBox 16"/>
        <xdr:cNvSpPr txBox="1"/>
      </xdr:nvSpPr>
      <xdr:spPr>
        <a:xfrm>
          <a:off x="5021580" y="5288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28</xdr:row>
      <xdr:rowOff>0</xdr:rowOff>
    </xdr:from>
    <xdr:ext cx="184731" cy="264560"/>
    <xdr:sp macro="" textlink="">
      <xdr:nvSpPr>
        <xdr:cNvPr id="18" name="TextBox 17"/>
        <xdr:cNvSpPr txBox="1"/>
      </xdr:nvSpPr>
      <xdr:spPr>
        <a:xfrm>
          <a:off x="1950720" y="5288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25</xdr:row>
      <xdr:rowOff>0</xdr:rowOff>
    </xdr:from>
    <xdr:ext cx="184731" cy="264560"/>
    <xdr:sp macro="" textlink="">
      <xdr:nvSpPr>
        <xdr:cNvPr id="19" name="TextBox 18"/>
        <xdr:cNvSpPr txBox="1"/>
      </xdr:nvSpPr>
      <xdr:spPr>
        <a:xfrm>
          <a:off x="0" y="4236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38100</xdr:colOff>
      <xdr:row>25</xdr:row>
      <xdr:rowOff>0</xdr:rowOff>
    </xdr:from>
    <xdr:ext cx="184731" cy="264560"/>
    <xdr:sp macro="" textlink="">
      <xdr:nvSpPr>
        <xdr:cNvPr id="20" name="TextBox 19"/>
        <xdr:cNvSpPr txBox="1"/>
      </xdr:nvSpPr>
      <xdr:spPr>
        <a:xfrm>
          <a:off x="3992880" y="4236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28</xdr:row>
      <xdr:rowOff>0</xdr:rowOff>
    </xdr:from>
    <xdr:ext cx="184731" cy="264560"/>
    <xdr:sp macro="" textlink="">
      <xdr:nvSpPr>
        <xdr:cNvPr id="21" name="TextBox 20"/>
        <xdr:cNvSpPr txBox="1"/>
      </xdr:nvSpPr>
      <xdr:spPr>
        <a:xfrm>
          <a:off x="5021580" y="5288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28</xdr:row>
      <xdr:rowOff>0</xdr:rowOff>
    </xdr:from>
    <xdr:ext cx="184731" cy="264560"/>
    <xdr:sp macro="" textlink="">
      <xdr:nvSpPr>
        <xdr:cNvPr id="22" name="TextBox 21"/>
        <xdr:cNvSpPr txBox="1"/>
      </xdr:nvSpPr>
      <xdr:spPr>
        <a:xfrm>
          <a:off x="1950720" y="5288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28</xdr:row>
      <xdr:rowOff>0</xdr:rowOff>
    </xdr:from>
    <xdr:ext cx="184731" cy="264560"/>
    <xdr:sp macro="" textlink="">
      <xdr:nvSpPr>
        <xdr:cNvPr id="23" name="TextBox 22"/>
        <xdr:cNvSpPr txBox="1"/>
      </xdr:nvSpPr>
      <xdr:spPr>
        <a:xfrm>
          <a:off x="5021580" y="5288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28</xdr:row>
      <xdr:rowOff>0</xdr:rowOff>
    </xdr:from>
    <xdr:ext cx="184731" cy="264560"/>
    <xdr:sp macro="" textlink="">
      <xdr:nvSpPr>
        <xdr:cNvPr id="24" name="TextBox 23"/>
        <xdr:cNvSpPr txBox="1"/>
      </xdr:nvSpPr>
      <xdr:spPr>
        <a:xfrm>
          <a:off x="1950720" y="5288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28</xdr:row>
      <xdr:rowOff>0</xdr:rowOff>
    </xdr:from>
    <xdr:ext cx="184731" cy="264560"/>
    <xdr:sp macro="" textlink="">
      <xdr:nvSpPr>
        <xdr:cNvPr id="25" name="TextBox 24"/>
        <xdr:cNvSpPr txBox="1"/>
      </xdr:nvSpPr>
      <xdr:spPr>
        <a:xfrm>
          <a:off x="5021580" y="5288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28</xdr:row>
      <xdr:rowOff>0</xdr:rowOff>
    </xdr:from>
    <xdr:ext cx="184731" cy="264560"/>
    <xdr:sp macro="" textlink="">
      <xdr:nvSpPr>
        <xdr:cNvPr id="26" name="TextBox 25"/>
        <xdr:cNvSpPr txBox="1"/>
      </xdr:nvSpPr>
      <xdr:spPr>
        <a:xfrm>
          <a:off x="1950720" y="5288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29</xdr:row>
      <xdr:rowOff>0</xdr:rowOff>
    </xdr:from>
    <xdr:ext cx="184731" cy="264560"/>
    <xdr:sp macro="" textlink="">
      <xdr:nvSpPr>
        <xdr:cNvPr id="27" name="TextBox 26"/>
        <xdr:cNvSpPr txBox="1"/>
      </xdr:nvSpPr>
      <xdr:spPr>
        <a:xfrm>
          <a:off x="5021580" y="5455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29</xdr:row>
      <xdr:rowOff>0</xdr:rowOff>
    </xdr:from>
    <xdr:ext cx="184731" cy="264560"/>
    <xdr:sp macro="" textlink="">
      <xdr:nvSpPr>
        <xdr:cNvPr id="28" name="TextBox 27"/>
        <xdr:cNvSpPr txBox="1"/>
      </xdr:nvSpPr>
      <xdr:spPr>
        <a:xfrm>
          <a:off x="1950720" y="5455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38100</xdr:colOff>
      <xdr:row>4</xdr:row>
      <xdr:rowOff>0</xdr:rowOff>
    </xdr:from>
    <xdr:ext cx="184731" cy="264560"/>
    <xdr:sp macro="" textlink="">
      <xdr:nvSpPr>
        <xdr:cNvPr id="29" name="TextBox 28"/>
        <xdr:cNvSpPr txBox="1"/>
      </xdr:nvSpPr>
      <xdr:spPr>
        <a:xfrm>
          <a:off x="5059680" y="670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38100</xdr:colOff>
      <xdr:row>3</xdr:row>
      <xdr:rowOff>0</xdr:rowOff>
    </xdr:from>
    <xdr:ext cx="184731" cy="264560"/>
    <xdr:sp macro="" textlink="">
      <xdr:nvSpPr>
        <xdr:cNvPr id="30" name="TextBox 29"/>
        <xdr:cNvSpPr txBox="1"/>
      </xdr:nvSpPr>
      <xdr:spPr>
        <a:xfrm>
          <a:off x="5059680" y="502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38100</xdr:colOff>
      <xdr:row>3</xdr:row>
      <xdr:rowOff>0</xdr:rowOff>
    </xdr:from>
    <xdr:ext cx="184731" cy="264560"/>
    <xdr:sp macro="" textlink="">
      <xdr:nvSpPr>
        <xdr:cNvPr id="31" name="TextBox 30"/>
        <xdr:cNvSpPr txBox="1"/>
      </xdr:nvSpPr>
      <xdr:spPr>
        <a:xfrm>
          <a:off x="5669280" y="502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38100</xdr:colOff>
      <xdr:row>3</xdr:row>
      <xdr:rowOff>0</xdr:rowOff>
    </xdr:from>
    <xdr:ext cx="184731" cy="264560"/>
    <xdr:sp macro="" textlink="">
      <xdr:nvSpPr>
        <xdr:cNvPr id="32" name="TextBox 31"/>
        <xdr:cNvSpPr txBox="1"/>
      </xdr:nvSpPr>
      <xdr:spPr>
        <a:xfrm>
          <a:off x="5059680" y="502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bailey/Local%20Settings/Temporary%20Internet%20Files/OLKA/JE%20130111%20August%202003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ElecRate/Info%20from%20Previous%20Cases/COS/W&amp;S%20Adj.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09%20transmission%20rate%20case/Last%20File%20Schedules%20(version%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09%20transmission%20rate%20case\Last%20File%20Schedules%20(version%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GSUPP/FERC/FERC%20-%20OATT/RS1081%20Rate%20Filings/2013%20(2012%20TY)%20ER13-1623/Model%20&amp;%20Filing/Model%20RevReq%202013%20OATT%20-%20Final%20As%20Fil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ta%20(D)/1-Projects/1-%20Projects-Pending/PacifiCorp/Post%20settlement%20Formula%20runs/Issued%20Copy%20of%202013_Projection__Variance_Analysi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heathas6-xp\cos0699%20case%203137\EXCEL\TGSgas\WP%20AA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oatioasis.com/TEMP/FERCFAC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Kraft/Special%20Projects/OATT/2001/2001%20OATT%20Rates%20TD%20OMadj.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EGSUPP/FERC/MISO/MISO%20OATT%20Tariff/OpCos%20Attmnt%20O%2010-25-201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ata"/>
      <sheetName val="Data Entry"/>
      <sheetName val="Temp Data"/>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amp;S Adj"/>
      <sheetName val="W&amp;S Nonsj"/>
      <sheetName val="W&amp;S sj"/>
      <sheetName val="W&amp;S by group"/>
      <sheetName val="RengOu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A.2 PTP"/>
      <sheetName val="B.1"/>
      <sheetName val="B.1.1"/>
      <sheetName val="B.2 NITS "/>
      <sheetName val="B.3.1 "/>
      <sheetName val="B.3.2  "/>
      <sheetName val="C. Input"/>
      <sheetName val="D.1 Cost of Capital"/>
      <sheetName val="D.12.1 TREV"/>
      <sheetName val="D.15 Demands"/>
      <sheetName val="D.16.1 Table B SUM"/>
      <sheetName val="D.16.1.1 Table B 2003"/>
      <sheetName val="D.16.1.2 Table B 2004"/>
      <sheetName val="D.16.1.3 Table B 2005"/>
      <sheetName val="D.16.1.4 Table B 2006"/>
      <sheetName val="D.16.1.5 Table B 2007"/>
      <sheetName val="D.16.1.6 Table B 2008"/>
      <sheetName val="D.16.1.7 Table B 2009"/>
      <sheetName val="D.16.1.8 Table B 2010"/>
      <sheetName val="D.16.1.9 Table B 2011"/>
      <sheetName val="D.16.1.10 Table B 2012"/>
      <sheetName val="D.16.2.1"/>
      <sheetName val="D.16.2.2"/>
      <sheetName val="D.16.2.3"/>
      <sheetName val="D.16.2.4"/>
      <sheetName val="D.16.3.1"/>
      <sheetName val="D.16.3.2"/>
      <sheetName val="D.16.3.3"/>
      <sheetName val="D.16.3.4"/>
      <sheetName val="D.16.3.5"/>
      <sheetName val="D.16.3.6"/>
      <sheetName val="D.16.3.7"/>
      <sheetName val="D.16.3.8"/>
      <sheetName val="D.16.3.9"/>
      <sheetName val="D.16.3.10"/>
      <sheetName val="D.16.3.11"/>
      <sheetName val="D.16.3.12"/>
      <sheetName val="D.17.1"/>
      <sheetName val="D.17.2"/>
      <sheetName val="D.17.3"/>
      <sheetName val="PrintModule"/>
    </sheetNames>
    <sheetDataSet>
      <sheetData sheetId="0" refreshError="1"/>
      <sheetData sheetId="1" refreshError="1"/>
      <sheetData sheetId="2" refreshError="1"/>
      <sheetData sheetId="3">
        <row r="31">
          <cell r="P31">
            <v>0.62</v>
          </cell>
        </row>
        <row r="33">
          <cell r="P33">
            <v>0.11559999999999999</v>
          </cell>
        </row>
        <row r="55">
          <cell r="P55">
            <v>4594652900</v>
          </cell>
        </row>
        <row r="75">
          <cell r="P75">
            <v>0.17199999999999999</v>
          </cell>
        </row>
        <row r="91">
          <cell r="P91">
            <v>8.9499999999999996E-2</v>
          </cell>
        </row>
        <row r="111">
          <cell r="P111">
            <v>618198437</v>
          </cell>
        </row>
        <row r="129">
          <cell r="P129">
            <v>7.3000000000000001E-3</v>
          </cell>
        </row>
        <row r="165">
          <cell r="P165">
            <v>2534608822</v>
          </cell>
        </row>
        <row r="212">
          <cell r="P212">
            <v>310773442</v>
          </cell>
        </row>
        <row r="230">
          <cell r="P230">
            <v>1.642979</v>
          </cell>
        </row>
        <row r="276">
          <cell r="P276">
            <v>1.7050134952130698</v>
          </cell>
        </row>
        <row r="282">
          <cell r="P282">
            <v>0.39346465274147763</v>
          </cell>
        </row>
        <row r="288">
          <cell r="P288">
            <v>7.8692930548295528E-2</v>
          </cell>
        </row>
        <row r="294">
          <cell r="P294">
            <v>5.6055238198785856E-2</v>
          </cell>
        </row>
        <row r="332">
          <cell r="P332">
            <v>4.9183081592684705E-3</v>
          </cell>
        </row>
        <row r="333">
          <cell r="P333">
            <v>2.3356349249494105E-3</v>
          </cell>
        </row>
      </sheetData>
      <sheetData sheetId="4" refreshError="1"/>
      <sheetData sheetId="5" refreshError="1"/>
      <sheetData sheetId="6">
        <row r="220">
          <cell r="P220">
            <v>607090822.76530898</v>
          </cell>
        </row>
      </sheetData>
      <sheetData sheetId="7" refreshError="1"/>
      <sheetData sheetId="8" refreshError="1"/>
      <sheetData sheetId="9">
        <row r="23">
          <cell r="F23">
            <v>0.49540000000000001</v>
          </cell>
        </row>
        <row r="25">
          <cell r="F25">
            <v>1.7399999999999999E-2</v>
          </cell>
        </row>
        <row r="27">
          <cell r="F27">
            <v>0.48719999999999997</v>
          </cell>
        </row>
        <row r="33">
          <cell r="F33">
            <v>5.5300000000000002E-2</v>
          </cell>
          <cell r="I33">
            <v>4.9599999999999998E-2</v>
          </cell>
          <cell r="L33">
            <v>5.74E-2</v>
          </cell>
          <cell r="R33">
            <v>5.3600000000000002E-2</v>
          </cell>
          <cell r="X33">
            <v>6.7100000000000007E-2</v>
          </cell>
        </row>
        <row r="35">
          <cell r="F35">
            <v>6.3899999999999998E-2</v>
          </cell>
          <cell r="I35">
            <v>5.9900000000000002E-2</v>
          </cell>
          <cell r="L35">
            <v>8.7099999999999997E-2</v>
          </cell>
          <cell r="O35">
            <v>7.4899999999999994E-2</v>
          </cell>
          <cell r="R35">
            <v>5.6899999999999999E-2</v>
          </cell>
          <cell r="X35">
            <v>0</v>
          </cell>
        </row>
        <row r="37">
          <cell r="F37">
            <v>0.11</v>
          </cell>
          <cell r="I37">
            <v>0.11</v>
          </cell>
          <cell r="L37">
            <v>0.11</v>
          </cell>
          <cell r="O37">
            <v>0.11</v>
          </cell>
          <cell r="R37">
            <v>0.11</v>
          </cell>
          <cell r="X37">
            <v>0.11</v>
          </cell>
        </row>
        <row r="72">
          <cell r="F72">
            <v>0.35</v>
          </cell>
        </row>
        <row r="76">
          <cell r="F76">
            <v>4.6199999999999998E-2</v>
          </cell>
        </row>
        <row r="144">
          <cell r="F144">
            <v>4594652900</v>
          </cell>
        </row>
        <row r="146">
          <cell r="F146">
            <v>0</v>
          </cell>
        </row>
        <row r="152">
          <cell r="F152">
            <v>14660147037</v>
          </cell>
        </row>
        <row r="161">
          <cell r="F161">
            <v>5119727758</v>
          </cell>
        </row>
        <row r="164">
          <cell r="F164">
            <v>5021648755</v>
          </cell>
        </row>
        <row r="166">
          <cell r="F166">
            <v>9181026660</v>
          </cell>
        </row>
        <row r="168">
          <cell r="F168">
            <v>802043191</v>
          </cell>
        </row>
        <row r="178">
          <cell r="F178">
            <v>43270862</v>
          </cell>
        </row>
        <row r="185">
          <cell r="F185">
            <v>483240817</v>
          </cell>
        </row>
        <row r="201">
          <cell r="F201">
            <v>634673266</v>
          </cell>
        </row>
        <row r="203">
          <cell r="F203">
            <v>442905</v>
          </cell>
        </row>
        <row r="205">
          <cell r="F205">
            <v>1451423</v>
          </cell>
        </row>
        <row r="207">
          <cell r="F207">
            <v>14580501</v>
          </cell>
        </row>
        <row r="215">
          <cell r="F215">
            <v>400332158</v>
          </cell>
        </row>
        <row r="220">
          <cell r="F220">
            <v>41406988</v>
          </cell>
        </row>
        <row r="222">
          <cell r="F222">
            <v>143057846</v>
          </cell>
        </row>
        <row r="234">
          <cell r="F234">
            <v>1870733615</v>
          </cell>
        </row>
        <row r="237">
          <cell r="F237">
            <v>161697644</v>
          </cell>
        </row>
        <row r="242">
          <cell r="F242">
            <v>459137456</v>
          </cell>
        </row>
        <row r="244">
          <cell r="F244">
            <v>34364287</v>
          </cell>
        </row>
        <row r="270">
          <cell r="F270">
            <v>108721514</v>
          </cell>
        </row>
        <row r="277">
          <cell r="F277">
            <v>18874886</v>
          </cell>
        </row>
        <row r="287">
          <cell r="F287">
            <v>23369818</v>
          </cell>
        </row>
        <row r="295">
          <cell r="F295">
            <v>0</v>
          </cell>
        </row>
        <row r="304">
          <cell r="F304">
            <v>115061400</v>
          </cell>
        </row>
        <row r="309">
          <cell r="F309">
            <v>60611928</v>
          </cell>
        </row>
        <row r="325">
          <cell r="F325">
            <v>8869408</v>
          </cell>
        </row>
        <row r="330">
          <cell r="F330">
            <v>30792170</v>
          </cell>
        </row>
        <row r="337">
          <cell r="F337">
            <v>19365303</v>
          </cell>
        </row>
        <row r="343">
          <cell r="F343">
            <v>4031948</v>
          </cell>
        </row>
        <row r="349">
          <cell r="F349">
            <v>20369012</v>
          </cell>
        </row>
        <row r="353">
          <cell r="F353">
            <v>11719743</v>
          </cell>
        </row>
        <row r="357">
          <cell r="F357">
            <v>2516885</v>
          </cell>
        </row>
      </sheetData>
      <sheetData sheetId="10" refreshError="1"/>
      <sheetData sheetId="11" refreshError="1"/>
      <sheetData sheetId="12" refreshError="1"/>
      <sheetData sheetId="13" refreshError="1"/>
      <sheetData sheetId="14" refreshError="1"/>
      <sheetData sheetId="15">
        <row r="24">
          <cell r="A24">
            <v>37986</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C25">
            <v>118568.8</v>
          </cell>
          <cell r="D25">
            <v>0</v>
          </cell>
          <cell r="E25">
            <v>0</v>
          </cell>
          <cell r="F25">
            <v>19420.7</v>
          </cell>
          <cell r="G25">
            <v>0</v>
          </cell>
          <cell r="H25">
            <v>0</v>
          </cell>
          <cell r="I25">
            <v>64529</v>
          </cell>
          <cell r="J25">
            <v>0</v>
          </cell>
          <cell r="K25">
            <v>0</v>
          </cell>
          <cell r="L25">
            <v>0</v>
          </cell>
          <cell r="M25">
            <v>0</v>
          </cell>
          <cell r="N25">
            <v>0</v>
          </cell>
          <cell r="O25">
            <v>25885.3</v>
          </cell>
          <cell r="P25">
            <v>0</v>
          </cell>
          <cell r="Q25">
            <v>0</v>
          </cell>
          <cell r="R25">
            <v>0</v>
          </cell>
          <cell r="S25">
            <v>0</v>
          </cell>
          <cell r="T25">
            <v>0</v>
          </cell>
          <cell r="U25">
            <v>8733.7999999999993</v>
          </cell>
        </row>
        <row r="26">
          <cell r="A26">
            <v>38717</v>
          </cell>
          <cell r="C26">
            <v>118568.8</v>
          </cell>
          <cell r="D26">
            <v>0</v>
          </cell>
          <cell r="E26">
            <v>0</v>
          </cell>
          <cell r="F26">
            <v>19420.7</v>
          </cell>
          <cell r="G26">
            <v>0</v>
          </cell>
          <cell r="H26">
            <v>0</v>
          </cell>
          <cell r="I26">
            <v>64529</v>
          </cell>
          <cell r="J26">
            <v>0</v>
          </cell>
          <cell r="K26">
            <v>0</v>
          </cell>
          <cell r="L26">
            <v>0</v>
          </cell>
          <cell r="M26">
            <v>0</v>
          </cell>
          <cell r="N26">
            <v>0</v>
          </cell>
          <cell r="O26">
            <v>25885.3</v>
          </cell>
          <cell r="P26">
            <v>0</v>
          </cell>
          <cell r="Q26">
            <v>0</v>
          </cell>
          <cell r="R26">
            <v>0</v>
          </cell>
          <cell r="S26">
            <v>0</v>
          </cell>
          <cell r="T26">
            <v>0</v>
          </cell>
          <cell r="U26">
            <v>8733.7999999999993</v>
          </cell>
        </row>
        <row r="27">
          <cell r="A27">
            <v>39082</v>
          </cell>
          <cell r="C27">
            <v>118568.8</v>
          </cell>
          <cell r="D27">
            <v>0</v>
          </cell>
          <cell r="E27">
            <v>0</v>
          </cell>
          <cell r="F27">
            <v>19420.7</v>
          </cell>
          <cell r="G27">
            <v>0</v>
          </cell>
          <cell r="H27">
            <v>0</v>
          </cell>
          <cell r="I27">
            <v>64529</v>
          </cell>
          <cell r="J27">
            <v>0</v>
          </cell>
          <cell r="K27">
            <v>0</v>
          </cell>
          <cell r="L27">
            <v>0</v>
          </cell>
          <cell r="M27">
            <v>0</v>
          </cell>
          <cell r="N27">
            <v>0</v>
          </cell>
          <cell r="O27">
            <v>25885.3</v>
          </cell>
          <cell r="P27">
            <v>0</v>
          </cell>
          <cell r="Q27">
            <v>0</v>
          </cell>
          <cell r="R27">
            <v>0</v>
          </cell>
          <cell r="S27">
            <v>0</v>
          </cell>
          <cell r="T27">
            <v>0</v>
          </cell>
          <cell r="U27">
            <v>8733.7999999999993</v>
          </cell>
        </row>
        <row r="28">
          <cell r="A28">
            <v>39447</v>
          </cell>
          <cell r="C28">
            <v>118568.8</v>
          </cell>
          <cell r="D28">
            <v>0</v>
          </cell>
          <cell r="E28">
            <v>0</v>
          </cell>
          <cell r="F28">
            <v>19420.7</v>
          </cell>
          <cell r="G28">
            <v>0</v>
          </cell>
          <cell r="H28">
            <v>0</v>
          </cell>
          <cell r="I28">
            <v>64529</v>
          </cell>
          <cell r="J28">
            <v>0</v>
          </cell>
          <cell r="K28">
            <v>0</v>
          </cell>
          <cell r="L28">
            <v>0</v>
          </cell>
          <cell r="M28">
            <v>0</v>
          </cell>
          <cell r="N28">
            <v>0</v>
          </cell>
          <cell r="O28">
            <v>25885.3</v>
          </cell>
          <cell r="P28">
            <v>0</v>
          </cell>
          <cell r="Q28">
            <v>0</v>
          </cell>
          <cell r="R28">
            <v>0</v>
          </cell>
          <cell r="S28">
            <v>0</v>
          </cell>
          <cell r="T28">
            <v>0</v>
          </cell>
          <cell r="U28">
            <v>8733.7999999999993</v>
          </cell>
        </row>
        <row r="29">
          <cell r="A29">
            <v>39813</v>
          </cell>
          <cell r="C29">
            <v>118568.8</v>
          </cell>
          <cell r="D29">
            <v>0</v>
          </cell>
          <cell r="E29">
            <v>0</v>
          </cell>
          <cell r="F29">
            <v>19420.7</v>
          </cell>
          <cell r="G29">
            <v>0</v>
          </cell>
          <cell r="H29">
            <v>0</v>
          </cell>
          <cell r="I29">
            <v>64529</v>
          </cell>
          <cell r="J29">
            <v>0</v>
          </cell>
          <cell r="K29">
            <v>0</v>
          </cell>
          <cell r="L29">
            <v>0</v>
          </cell>
          <cell r="M29">
            <v>0</v>
          </cell>
          <cell r="N29">
            <v>0</v>
          </cell>
          <cell r="O29">
            <v>25885.3</v>
          </cell>
          <cell r="P29">
            <v>0</v>
          </cell>
          <cell r="Q29">
            <v>0</v>
          </cell>
          <cell r="R29">
            <v>0</v>
          </cell>
          <cell r="S29">
            <v>0</v>
          </cell>
          <cell r="T29">
            <v>0</v>
          </cell>
          <cell r="U29">
            <v>8733.7999999999993</v>
          </cell>
        </row>
        <row r="30">
          <cell r="A30">
            <v>40178</v>
          </cell>
          <cell r="C30">
            <v>118568.8</v>
          </cell>
          <cell r="D30">
            <v>0</v>
          </cell>
          <cell r="E30">
            <v>0</v>
          </cell>
          <cell r="F30">
            <v>19420.7</v>
          </cell>
          <cell r="G30">
            <v>0</v>
          </cell>
          <cell r="H30">
            <v>0</v>
          </cell>
          <cell r="I30">
            <v>64529</v>
          </cell>
          <cell r="J30">
            <v>0</v>
          </cell>
          <cell r="K30">
            <v>0</v>
          </cell>
          <cell r="L30">
            <v>0</v>
          </cell>
          <cell r="M30">
            <v>0</v>
          </cell>
          <cell r="N30">
            <v>0</v>
          </cell>
          <cell r="O30">
            <v>25885.3</v>
          </cell>
          <cell r="P30">
            <v>0</v>
          </cell>
          <cell r="Q30">
            <v>0</v>
          </cell>
          <cell r="R30">
            <v>0</v>
          </cell>
          <cell r="S30">
            <v>0</v>
          </cell>
          <cell r="T30">
            <v>0</v>
          </cell>
          <cell r="U30">
            <v>8733.7999999999993</v>
          </cell>
        </row>
        <row r="31">
          <cell r="A31">
            <v>40543</v>
          </cell>
          <cell r="C31">
            <v>118568.8</v>
          </cell>
          <cell r="D31">
            <v>0</v>
          </cell>
          <cell r="E31">
            <v>0</v>
          </cell>
          <cell r="F31">
            <v>19420.7</v>
          </cell>
          <cell r="G31">
            <v>0</v>
          </cell>
          <cell r="H31">
            <v>0</v>
          </cell>
          <cell r="I31">
            <v>64529</v>
          </cell>
          <cell r="J31">
            <v>0</v>
          </cell>
          <cell r="K31">
            <v>0</v>
          </cell>
          <cell r="L31">
            <v>0</v>
          </cell>
          <cell r="M31">
            <v>0</v>
          </cell>
          <cell r="N31">
            <v>0</v>
          </cell>
          <cell r="O31">
            <v>25885.3</v>
          </cell>
          <cell r="P31">
            <v>0</v>
          </cell>
          <cell r="Q31">
            <v>0</v>
          </cell>
          <cell r="R31">
            <v>0</v>
          </cell>
          <cell r="S31">
            <v>0</v>
          </cell>
          <cell r="T31">
            <v>0</v>
          </cell>
          <cell r="U31">
            <v>8733.7999999999993</v>
          </cell>
        </row>
        <row r="32">
          <cell r="A32">
            <v>40908</v>
          </cell>
          <cell r="C32">
            <v>118568.8</v>
          </cell>
          <cell r="D32">
            <v>0</v>
          </cell>
          <cell r="E32">
            <v>0</v>
          </cell>
          <cell r="F32">
            <v>19420.7</v>
          </cell>
          <cell r="G32">
            <v>0</v>
          </cell>
          <cell r="H32">
            <v>0</v>
          </cell>
          <cell r="I32">
            <v>64529</v>
          </cell>
          <cell r="J32">
            <v>0</v>
          </cell>
          <cell r="K32">
            <v>0</v>
          </cell>
          <cell r="L32">
            <v>0</v>
          </cell>
          <cell r="M32">
            <v>0</v>
          </cell>
          <cell r="N32">
            <v>0</v>
          </cell>
          <cell r="O32">
            <v>25885.3</v>
          </cell>
          <cell r="P32">
            <v>0</v>
          </cell>
          <cell r="Q32">
            <v>0</v>
          </cell>
          <cell r="R32">
            <v>0</v>
          </cell>
          <cell r="S32">
            <v>0</v>
          </cell>
          <cell r="T32">
            <v>0</v>
          </cell>
          <cell r="U32">
            <v>8733.7999999999993</v>
          </cell>
        </row>
        <row r="33">
          <cell r="A33">
            <v>41274</v>
          </cell>
          <cell r="C33">
            <v>118568.8</v>
          </cell>
          <cell r="D33">
            <v>0</v>
          </cell>
          <cell r="E33">
            <v>0</v>
          </cell>
          <cell r="F33">
            <v>19420.7</v>
          </cell>
          <cell r="G33">
            <v>0</v>
          </cell>
          <cell r="H33">
            <v>0</v>
          </cell>
          <cell r="I33">
            <v>64529</v>
          </cell>
          <cell r="J33">
            <v>0</v>
          </cell>
          <cell r="K33">
            <v>0</v>
          </cell>
          <cell r="L33">
            <v>0</v>
          </cell>
          <cell r="M33">
            <v>0</v>
          </cell>
          <cell r="N33">
            <v>0</v>
          </cell>
          <cell r="O33">
            <v>25885.3</v>
          </cell>
          <cell r="P33">
            <v>0</v>
          </cell>
          <cell r="Q33">
            <v>0</v>
          </cell>
          <cell r="R33">
            <v>0</v>
          </cell>
          <cell r="S33">
            <v>0</v>
          </cell>
          <cell r="T33">
            <v>0</v>
          </cell>
          <cell r="U33">
            <v>8733.7999999999993</v>
          </cell>
        </row>
        <row r="34">
          <cell r="A34">
            <v>41639</v>
          </cell>
          <cell r="C34">
            <v>118568.8</v>
          </cell>
          <cell r="D34">
            <v>0</v>
          </cell>
          <cell r="E34">
            <v>0</v>
          </cell>
          <cell r="F34">
            <v>19420.7</v>
          </cell>
          <cell r="G34">
            <v>0</v>
          </cell>
          <cell r="H34">
            <v>0</v>
          </cell>
          <cell r="I34">
            <v>64529</v>
          </cell>
          <cell r="J34">
            <v>0</v>
          </cell>
          <cell r="K34">
            <v>0</v>
          </cell>
          <cell r="L34">
            <v>0</v>
          </cell>
          <cell r="M34">
            <v>0</v>
          </cell>
          <cell r="N34">
            <v>0</v>
          </cell>
          <cell r="O34">
            <v>25885.3</v>
          </cell>
          <cell r="P34">
            <v>0</v>
          </cell>
          <cell r="Q34">
            <v>0</v>
          </cell>
          <cell r="R34">
            <v>0</v>
          </cell>
          <cell r="S34">
            <v>0</v>
          </cell>
          <cell r="T34">
            <v>0</v>
          </cell>
          <cell r="U34">
            <v>8733.7999999999993</v>
          </cell>
        </row>
        <row r="35">
          <cell r="A35">
            <v>42004</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9">
          <cell r="A39">
            <v>37986</v>
          </cell>
          <cell r="C39">
            <v>0</v>
          </cell>
        </row>
        <row r="40">
          <cell r="A40">
            <v>38352</v>
          </cell>
          <cell r="C40">
            <v>1126403.6000000001</v>
          </cell>
          <cell r="F40">
            <v>184496.65</v>
          </cell>
          <cell r="I40">
            <v>613025.5</v>
          </cell>
          <cell r="L40">
            <v>0</v>
          </cell>
          <cell r="O40">
            <v>245910.35</v>
          </cell>
          <cell r="R40">
            <v>0</v>
          </cell>
          <cell r="U40">
            <v>82971.100000000006</v>
          </cell>
        </row>
        <row r="41">
          <cell r="A41">
            <v>38717</v>
          </cell>
          <cell r="C41">
            <v>1007834.8</v>
          </cell>
          <cell r="F41">
            <v>165075.94999999998</v>
          </cell>
          <cell r="I41">
            <v>548496.5</v>
          </cell>
          <cell r="L41">
            <v>0</v>
          </cell>
          <cell r="O41">
            <v>220025.05000000002</v>
          </cell>
          <cell r="R41">
            <v>0</v>
          </cell>
          <cell r="U41">
            <v>74237.3</v>
          </cell>
        </row>
        <row r="42">
          <cell r="A42">
            <v>39082</v>
          </cell>
          <cell r="C42">
            <v>889266</v>
          </cell>
          <cell r="F42">
            <v>145655.24999999997</v>
          </cell>
          <cell r="I42">
            <v>483967.5</v>
          </cell>
          <cell r="L42">
            <v>0</v>
          </cell>
          <cell r="O42">
            <v>194139.75000000003</v>
          </cell>
          <cell r="R42">
            <v>0</v>
          </cell>
          <cell r="U42">
            <v>65503.5</v>
          </cell>
        </row>
        <row r="43">
          <cell r="A43">
            <v>39447</v>
          </cell>
          <cell r="C43">
            <v>770697.2</v>
          </cell>
          <cell r="F43">
            <v>126234.54999999997</v>
          </cell>
          <cell r="I43">
            <v>419438.5</v>
          </cell>
          <cell r="L43">
            <v>0</v>
          </cell>
          <cell r="O43">
            <v>168254.45000000004</v>
          </cell>
          <cell r="R43">
            <v>0</v>
          </cell>
          <cell r="U43">
            <v>56769.7</v>
          </cell>
        </row>
        <row r="44">
          <cell r="A44">
            <v>39813</v>
          </cell>
          <cell r="C44">
            <v>652128.4</v>
          </cell>
          <cell r="F44">
            <v>106813.84999999998</v>
          </cell>
          <cell r="I44">
            <v>354909.5</v>
          </cell>
          <cell r="L44">
            <v>0</v>
          </cell>
          <cell r="O44">
            <v>142369.15000000005</v>
          </cell>
          <cell r="R44">
            <v>0</v>
          </cell>
          <cell r="U44">
            <v>48035.899999999994</v>
          </cell>
        </row>
        <row r="45">
          <cell r="A45">
            <v>40178</v>
          </cell>
          <cell r="C45">
            <v>533559.6</v>
          </cell>
          <cell r="F45">
            <v>87393.14999999998</v>
          </cell>
          <cell r="I45">
            <v>290380.5</v>
          </cell>
          <cell r="L45">
            <v>0</v>
          </cell>
          <cell r="O45">
            <v>116483.85000000005</v>
          </cell>
          <cell r="R45">
            <v>0</v>
          </cell>
          <cell r="U45">
            <v>39302.099999999991</v>
          </cell>
        </row>
        <row r="46">
          <cell r="A46">
            <v>40543</v>
          </cell>
          <cell r="C46">
            <v>414990.8</v>
          </cell>
          <cell r="F46">
            <v>67972.449999999983</v>
          </cell>
          <cell r="I46">
            <v>225851.5</v>
          </cell>
          <cell r="L46">
            <v>0</v>
          </cell>
          <cell r="O46">
            <v>90598.550000000047</v>
          </cell>
          <cell r="R46">
            <v>0</v>
          </cell>
          <cell r="U46">
            <v>30568.299999999992</v>
          </cell>
        </row>
        <row r="47">
          <cell r="A47">
            <v>40908</v>
          </cell>
          <cell r="C47">
            <v>296422.00000000006</v>
          </cell>
          <cell r="F47">
            <v>48551.749999999985</v>
          </cell>
          <cell r="I47">
            <v>161322.5</v>
          </cell>
          <cell r="L47">
            <v>0</v>
          </cell>
          <cell r="O47">
            <v>64713.250000000044</v>
          </cell>
          <cell r="R47">
            <v>0</v>
          </cell>
          <cell r="U47">
            <v>21834.499999999993</v>
          </cell>
        </row>
        <row r="48">
          <cell r="A48">
            <v>41274</v>
          </cell>
          <cell r="C48">
            <v>177853.2</v>
          </cell>
          <cell r="F48">
            <v>29131.049999999985</v>
          </cell>
          <cell r="I48">
            <v>96793.5</v>
          </cell>
          <cell r="L48">
            <v>0</v>
          </cell>
          <cell r="O48">
            <v>38827.950000000041</v>
          </cell>
          <cell r="R48">
            <v>0</v>
          </cell>
          <cell r="U48">
            <v>13100.699999999993</v>
          </cell>
        </row>
        <row r="49">
          <cell r="A49">
            <v>41639</v>
          </cell>
          <cell r="C49">
            <v>59284.400000000023</v>
          </cell>
          <cell r="F49">
            <v>9710.349999999984</v>
          </cell>
          <cell r="I49">
            <v>32264.5</v>
          </cell>
          <cell r="L49">
            <v>0</v>
          </cell>
          <cell r="O49">
            <v>12942.650000000041</v>
          </cell>
          <cell r="R49">
            <v>0</v>
          </cell>
          <cell r="U49">
            <v>4366.8999999999942</v>
          </cell>
        </row>
        <row r="50">
          <cell r="A50">
            <v>42004</v>
          </cell>
          <cell r="C50">
            <v>0</v>
          </cell>
          <cell r="F50">
            <v>0</v>
          </cell>
          <cell r="I50">
            <v>0</v>
          </cell>
          <cell r="L50">
            <v>0</v>
          </cell>
          <cell r="O50">
            <v>0</v>
          </cell>
          <cell r="R50">
            <v>0</v>
          </cell>
          <cell r="U50">
            <v>0</v>
          </cell>
        </row>
      </sheetData>
      <sheetData sheetId="16">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493058</v>
          </cell>
          <cell r="D26">
            <v>0</v>
          </cell>
          <cell r="E26">
            <v>0</v>
          </cell>
          <cell r="F26">
            <v>105651</v>
          </cell>
          <cell r="G26">
            <v>0</v>
          </cell>
          <cell r="H26">
            <v>0</v>
          </cell>
          <cell r="I26">
            <v>132275.9</v>
          </cell>
          <cell r="J26">
            <v>0</v>
          </cell>
          <cell r="K26">
            <v>0</v>
          </cell>
          <cell r="L26">
            <v>172663.2</v>
          </cell>
          <cell r="M26">
            <v>0</v>
          </cell>
          <cell r="N26">
            <v>0</v>
          </cell>
          <cell r="O26">
            <v>18353</v>
          </cell>
          <cell r="P26">
            <v>0</v>
          </cell>
          <cell r="Q26">
            <v>0</v>
          </cell>
          <cell r="R26">
            <v>0</v>
          </cell>
          <cell r="S26">
            <v>0</v>
          </cell>
          <cell r="T26">
            <v>0</v>
          </cell>
          <cell r="U26">
            <v>64114.9</v>
          </cell>
        </row>
        <row r="27">
          <cell r="A27">
            <v>39082</v>
          </cell>
          <cell r="B27">
            <v>0</v>
          </cell>
          <cell r="C27">
            <v>493058</v>
          </cell>
          <cell r="D27">
            <v>0</v>
          </cell>
          <cell r="E27">
            <v>0</v>
          </cell>
          <cell r="F27">
            <v>105651</v>
          </cell>
          <cell r="G27">
            <v>0</v>
          </cell>
          <cell r="H27">
            <v>0</v>
          </cell>
          <cell r="I27">
            <v>132275.9</v>
          </cell>
          <cell r="J27">
            <v>0</v>
          </cell>
          <cell r="K27">
            <v>0</v>
          </cell>
          <cell r="L27">
            <v>172663.2</v>
          </cell>
          <cell r="M27">
            <v>0</v>
          </cell>
          <cell r="N27">
            <v>0</v>
          </cell>
          <cell r="O27">
            <v>18353</v>
          </cell>
          <cell r="P27">
            <v>0</v>
          </cell>
          <cell r="Q27">
            <v>0</v>
          </cell>
          <cell r="R27">
            <v>0</v>
          </cell>
          <cell r="S27">
            <v>0</v>
          </cell>
          <cell r="T27">
            <v>0</v>
          </cell>
          <cell r="U27">
            <v>64114.9</v>
          </cell>
        </row>
        <row r="28">
          <cell r="A28">
            <v>39447</v>
          </cell>
          <cell r="B28">
            <v>0</v>
          </cell>
          <cell r="C28">
            <v>493058</v>
          </cell>
          <cell r="D28">
            <v>0</v>
          </cell>
          <cell r="E28">
            <v>0</v>
          </cell>
          <cell r="F28">
            <v>105651</v>
          </cell>
          <cell r="G28">
            <v>0</v>
          </cell>
          <cell r="H28">
            <v>0</v>
          </cell>
          <cell r="I28">
            <v>132275.9</v>
          </cell>
          <cell r="J28">
            <v>0</v>
          </cell>
          <cell r="K28">
            <v>0</v>
          </cell>
          <cell r="L28">
            <v>172663.2</v>
          </cell>
          <cell r="M28">
            <v>0</v>
          </cell>
          <cell r="N28">
            <v>0</v>
          </cell>
          <cell r="O28">
            <v>18353</v>
          </cell>
          <cell r="P28">
            <v>0</v>
          </cell>
          <cell r="Q28">
            <v>0</v>
          </cell>
          <cell r="R28">
            <v>0</v>
          </cell>
          <cell r="S28">
            <v>0</v>
          </cell>
          <cell r="T28">
            <v>0</v>
          </cell>
          <cell r="U28">
            <v>64114.9</v>
          </cell>
        </row>
        <row r="29">
          <cell r="A29">
            <v>39813</v>
          </cell>
          <cell r="B29">
            <v>0</v>
          </cell>
          <cell r="C29">
            <v>493058</v>
          </cell>
          <cell r="D29">
            <v>0</v>
          </cell>
          <cell r="E29">
            <v>0</v>
          </cell>
          <cell r="F29">
            <v>105651</v>
          </cell>
          <cell r="G29">
            <v>0</v>
          </cell>
          <cell r="H29">
            <v>0</v>
          </cell>
          <cell r="I29">
            <v>132275.9</v>
          </cell>
          <cell r="J29">
            <v>0</v>
          </cell>
          <cell r="K29">
            <v>0</v>
          </cell>
          <cell r="L29">
            <v>172663.2</v>
          </cell>
          <cell r="M29">
            <v>0</v>
          </cell>
          <cell r="N29">
            <v>0</v>
          </cell>
          <cell r="O29">
            <v>18353</v>
          </cell>
          <cell r="P29">
            <v>0</v>
          </cell>
          <cell r="Q29">
            <v>0</v>
          </cell>
          <cell r="R29">
            <v>0</v>
          </cell>
          <cell r="S29">
            <v>0</v>
          </cell>
          <cell r="T29">
            <v>0</v>
          </cell>
          <cell r="U29">
            <v>64114.9</v>
          </cell>
        </row>
        <row r="30">
          <cell r="A30">
            <v>40178</v>
          </cell>
          <cell r="B30">
            <v>0</v>
          </cell>
          <cell r="C30">
            <v>493058</v>
          </cell>
          <cell r="D30">
            <v>0</v>
          </cell>
          <cell r="E30">
            <v>0</v>
          </cell>
          <cell r="F30">
            <v>105651</v>
          </cell>
          <cell r="G30">
            <v>0</v>
          </cell>
          <cell r="H30">
            <v>0</v>
          </cell>
          <cell r="I30">
            <v>132275.9</v>
          </cell>
          <cell r="J30">
            <v>0</v>
          </cell>
          <cell r="K30">
            <v>0</v>
          </cell>
          <cell r="L30">
            <v>172663.2</v>
          </cell>
          <cell r="M30">
            <v>0</v>
          </cell>
          <cell r="N30">
            <v>0</v>
          </cell>
          <cell r="O30">
            <v>18353</v>
          </cell>
          <cell r="P30">
            <v>0</v>
          </cell>
          <cell r="Q30">
            <v>0</v>
          </cell>
          <cell r="R30">
            <v>0</v>
          </cell>
          <cell r="S30">
            <v>0</v>
          </cell>
          <cell r="T30">
            <v>0</v>
          </cell>
          <cell r="U30">
            <v>64114.9</v>
          </cell>
        </row>
        <row r="31">
          <cell r="A31">
            <v>40543</v>
          </cell>
          <cell r="B31">
            <v>0</v>
          </cell>
          <cell r="C31">
            <v>493058</v>
          </cell>
          <cell r="D31">
            <v>0</v>
          </cell>
          <cell r="E31">
            <v>0</v>
          </cell>
          <cell r="F31">
            <v>105651</v>
          </cell>
          <cell r="G31">
            <v>0</v>
          </cell>
          <cell r="H31">
            <v>0</v>
          </cell>
          <cell r="I31">
            <v>132275.9</v>
          </cell>
          <cell r="J31">
            <v>0</v>
          </cell>
          <cell r="K31">
            <v>0</v>
          </cell>
          <cell r="L31">
            <v>172663.2</v>
          </cell>
          <cell r="M31">
            <v>0</v>
          </cell>
          <cell r="N31">
            <v>0</v>
          </cell>
          <cell r="O31">
            <v>18353</v>
          </cell>
          <cell r="P31">
            <v>0</v>
          </cell>
          <cell r="Q31">
            <v>0</v>
          </cell>
          <cell r="R31">
            <v>0</v>
          </cell>
          <cell r="S31">
            <v>0</v>
          </cell>
          <cell r="T31">
            <v>0</v>
          </cell>
          <cell r="U31">
            <v>64114.9</v>
          </cell>
        </row>
        <row r="32">
          <cell r="A32">
            <v>40908</v>
          </cell>
          <cell r="B32">
            <v>0</v>
          </cell>
          <cell r="C32">
            <v>493058</v>
          </cell>
          <cell r="D32">
            <v>0</v>
          </cell>
          <cell r="E32">
            <v>0</v>
          </cell>
          <cell r="F32">
            <v>105651</v>
          </cell>
          <cell r="G32">
            <v>0</v>
          </cell>
          <cell r="H32">
            <v>0</v>
          </cell>
          <cell r="I32">
            <v>132275.9</v>
          </cell>
          <cell r="J32">
            <v>0</v>
          </cell>
          <cell r="K32">
            <v>0</v>
          </cell>
          <cell r="L32">
            <v>172663.2</v>
          </cell>
          <cell r="M32">
            <v>0</v>
          </cell>
          <cell r="N32">
            <v>0</v>
          </cell>
          <cell r="O32">
            <v>18353</v>
          </cell>
          <cell r="P32">
            <v>0</v>
          </cell>
          <cell r="Q32">
            <v>0</v>
          </cell>
          <cell r="R32">
            <v>0</v>
          </cell>
          <cell r="S32">
            <v>0</v>
          </cell>
          <cell r="T32">
            <v>0</v>
          </cell>
          <cell r="U32">
            <v>64114.9</v>
          </cell>
        </row>
        <row r="33">
          <cell r="A33">
            <v>41274</v>
          </cell>
          <cell r="B33">
            <v>0</v>
          </cell>
          <cell r="C33">
            <v>493058</v>
          </cell>
          <cell r="D33">
            <v>0</v>
          </cell>
          <cell r="E33">
            <v>0</v>
          </cell>
          <cell r="F33">
            <v>105651</v>
          </cell>
          <cell r="G33">
            <v>0</v>
          </cell>
          <cell r="H33">
            <v>0</v>
          </cell>
          <cell r="I33">
            <v>132275.9</v>
          </cell>
          <cell r="J33">
            <v>0</v>
          </cell>
          <cell r="K33">
            <v>0</v>
          </cell>
          <cell r="L33">
            <v>172663.2</v>
          </cell>
          <cell r="M33">
            <v>0</v>
          </cell>
          <cell r="N33">
            <v>0</v>
          </cell>
          <cell r="O33">
            <v>18353</v>
          </cell>
          <cell r="P33">
            <v>0</v>
          </cell>
          <cell r="Q33">
            <v>0</v>
          </cell>
          <cell r="R33">
            <v>0</v>
          </cell>
          <cell r="S33">
            <v>0</v>
          </cell>
          <cell r="T33">
            <v>0</v>
          </cell>
          <cell r="U33">
            <v>64114.9</v>
          </cell>
        </row>
        <row r="34">
          <cell r="A34">
            <v>41639</v>
          </cell>
          <cell r="B34">
            <v>0</v>
          </cell>
          <cell r="C34">
            <v>493058</v>
          </cell>
          <cell r="D34">
            <v>0</v>
          </cell>
          <cell r="E34">
            <v>0</v>
          </cell>
          <cell r="F34">
            <v>105651</v>
          </cell>
          <cell r="G34">
            <v>0</v>
          </cell>
          <cell r="H34">
            <v>0</v>
          </cell>
          <cell r="I34">
            <v>132275.9</v>
          </cell>
          <cell r="J34">
            <v>0</v>
          </cell>
          <cell r="K34">
            <v>0</v>
          </cell>
          <cell r="L34">
            <v>172663.2</v>
          </cell>
          <cell r="M34">
            <v>0</v>
          </cell>
          <cell r="N34">
            <v>0</v>
          </cell>
          <cell r="O34">
            <v>18353</v>
          </cell>
          <cell r="P34">
            <v>0</v>
          </cell>
          <cell r="Q34">
            <v>0</v>
          </cell>
          <cell r="R34">
            <v>0</v>
          </cell>
          <cell r="S34">
            <v>0</v>
          </cell>
          <cell r="T34">
            <v>0</v>
          </cell>
          <cell r="U34">
            <v>64114.9</v>
          </cell>
        </row>
        <row r="35">
          <cell r="A35">
            <v>42004</v>
          </cell>
          <cell r="B35">
            <v>0</v>
          </cell>
          <cell r="C35">
            <v>493058</v>
          </cell>
          <cell r="D35">
            <v>0</v>
          </cell>
          <cell r="E35">
            <v>0</v>
          </cell>
          <cell r="F35">
            <v>105651</v>
          </cell>
          <cell r="G35">
            <v>0</v>
          </cell>
          <cell r="H35">
            <v>0</v>
          </cell>
          <cell r="I35">
            <v>132275.9</v>
          </cell>
          <cell r="J35">
            <v>0</v>
          </cell>
          <cell r="K35">
            <v>0</v>
          </cell>
          <cell r="L35">
            <v>172663.2</v>
          </cell>
          <cell r="M35">
            <v>0</v>
          </cell>
          <cell r="N35">
            <v>0</v>
          </cell>
          <cell r="O35">
            <v>18353</v>
          </cell>
          <cell r="P35">
            <v>0</v>
          </cell>
          <cell r="Q35">
            <v>0</v>
          </cell>
          <cell r="R35">
            <v>0</v>
          </cell>
          <cell r="S35">
            <v>0</v>
          </cell>
          <cell r="T35">
            <v>0</v>
          </cell>
          <cell r="U35">
            <v>64114.9</v>
          </cell>
        </row>
        <row r="36">
          <cell r="A36">
            <v>42369</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40">
          <cell r="A40">
            <v>37986</v>
          </cell>
          <cell r="B40">
            <v>0</v>
          </cell>
          <cell r="C40">
            <v>0</v>
          </cell>
        </row>
        <row r="41">
          <cell r="A41">
            <v>38352</v>
          </cell>
          <cell r="B41">
            <v>0</v>
          </cell>
          <cell r="C41">
            <v>0</v>
          </cell>
        </row>
        <row r="42">
          <cell r="A42">
            <v>38717</v>
          </cell>
          <cell r="B42">
            <v>0</v>
          </cell>
          <cell r="C42">
            <v>4684051</v>
          </cell>
          <cell r="F42">
            <v>1003684.5</v>
          </cell>
          <cell r="I42">
            <v>1256621.05</v>
          </cell>
          <cell r="L42">
            <v>1640300.4</v>
          </cell>
          <cell r="O42">
            <v>174353.5</v>
          </cell>
          <cell r="R42">
            <v>0</v>
          </cell>
          <cell r="U42">
            <v>609091.55000000005</v>
          </cell>
        </row>
        <row r="43">
          <cell r="A43">
            <v>39082</v>
          </cell>
          <cell r="B43">
            <v>0</v>
          </cell>
          <cell r="C43">
            <v>4190993</v>
          </cell>
          <cell r="F43">
            <v>898033.5</v>
          </cell>
          <cell r="I43">
            <v>1124345.1500000001</v>
          </cell>
          <cell r="L43">
            <v>1467637.2</v>
          </cell>
          <cell r="O43">
            <v>156000.5</v>
          </cell>
          <cell r="R43">
            <v>0</v>
          </cell>
          <cell r="U43">
            <v>544976.65</v>
          </cell>
        </row>
        <row r="44">
          <cell r="A44">
            <v>39447</v>
          </cell>
          <cell r="B44">
            <v>0</v>
          </cell>
          <cell r="C44">
            <v>3697935</v>
          </cell>
          <cell r="F44">
            <v>792382.5</v>
          </cell>
          <cell r="I44">
            <v>992069.25000000012</v>
          </cell>
          <cell r="L44">
            <v>1294974</v>
          </cell>
          <cell r="O44">
            <v>137647.5</v>
          </cell>
          <cell r="R44">
            <v>0</v>
          </cell>
          <cell r="U44">
            <v>480861.75</v>
          </cell>
        </row>
        <row r="45">
          <cell r="A45">
            <v>39813</v>
          </cell>
          <cell r="B45">
            <v>0</v>
          </cell>
          <cell r="C45">
            <v>3204877.0000000005</v>
          </cell>
          <cell r="F45">
            <v>686731.5</v>
          </cell>
          <cell r="I45">
            <v>859793.35000000009</v>
          </cell>
          <cell r="L45">
            <v>1122310.8</v>
          </cell>
          <cell r="O45">
            <v>119294.5</v>
          </cell>
          <cell r="R45">
            <v>0</v>
          </cell>
          <cell r="U45">
            <v>416746.85</v>
          </cell>
        </row>
        <row r="46">
          <cell r="A46">
            <v>40178</v>
          </cell>
          <cell r="B46">
            <v>0</v>
          </cell>
          <cell r="C46">
            <v>2711819</v>
          </cell>
          <cell r="F46">
            <v>581080.5</v>
          </cell>
          <cell r="I46">
            <v>727517.45000000007</v>
          </cell>
          <cell r="L46">
            <v>949647.60000000009</v>
          </cell>
          <cell r="O46">
            <v>100941.5</v>
          </cell>
          <cell r="R46">
            <v>0</v>
          </cell>
          <cell r="U46">
            <v>352631.94999999995</v>
          </cell>
        </row>
        <row r="47">
          <cell r="A47">
            <v>40543</v>
          </cell>
          <cell r="B47">
            <v>0</v>
          </cell>
          <cell r="C47">
            <v>2218761</v>
          </cell>
          <cell r="F47">
            <v>475429.5</v>
          </cell>
          <cell r="I47">
            <v>595241.55000000005</v>
          </cell>
          <cell r="L47">
            <v>776984.40000000014</v>
          </cell>
          <cell r="O47">
            <v>82588.5</v>
          </cell>
          <cell r="R47">
            <v>0</v>
          </cell>
          <cell r="U47">
            <v>288517.04999999993</v>
          </cell>
        </row>
        <row r="48">
          <cell r="A48">
            <v>40908</v>
          </cell>
          <cell r="B48">
            <v>0</v>
          </cell>
          <cell r="C48">
            <v>1725703</v>
          </cell>
          <cell r="F48">
            <v>369778.5</v>
          </cell>
          <cell r="I48">
            <v>462965.65</v>
          </cell>
          <cell r="L48">
            <v>604321.20000000019</v>
          </cell>
          <cell r="O48">
            <v>64235.5</v>
          </cell>
          <cell r="R48">
            <v>0</v>
          </cell>
          <cell r="U48">
            <v>224402.14999999994</v>
          </cell>
        </row>
        <row r="49">
          <cell r="A49">
            <v>41274</v>
          </cell>
          <cell r="B49">
            <v>0</v>
          </cell>
          <cell r="C49">
            <v>1232645.0000000002</v>
          </cell>
          <cell r="F49">
            <v>264127.5</v>
          </cell>
          <cell r="I49">
            <v>330689.75</v>
          </cell>
          <cell r="L49">
            <v>431658.00000000017</v>
          </cell>
          <cell r="O49">
            <v>45882.5</v>
          </cell>
          <cell r="R49">
            <v>0</v>
          </cell>
          <cell r="U49">
            <v>160287.24999999994</v>
          </cell>
        </row>
        <row r="50">
          <cell r="A50">
            <v>41639</v>
          </cell>
          <cell r="B50">
            <v>0</v>
          </cell>
          <cell r="C50">
            <v>739587.00000000012</v>
          </cell>
          <cell r="F50">
            <v>158476.5</v>
          </cell>
          <cell r="I50">
            <v>198413.85</v>
          </cell>
          <cell r="L50">
            <v>258994.80000000016</v>
          </cell>
          <cell r="O50">
            <v>27529.5</v>
          </cell>
          <cell r="R50">
            <v>0</v>
          </cell>
          <cell r="U50">
            <v>96172.349999999948</v>
          </cell>
        </row>
        <row r="51">
          <cell r="A51">
            <v>42004</v>
          </cell>
          <cell r="B51">
            <v>0</v>
          </cell>
          <cell r="C51">
            <v>246529.00000000012</v>
          </cell>
          <cell r="F51">
            <v>52825.5</v>
          </cell>
          <cell r="I51">
            <v>66137.950000000012</v>
          </cell>
          <cell r="L51">
            <v>86331.600000000151</v>
          </cell>
          <cell r="O51">
            <v>9176.5</v>
          </cell>
          <cell r="R51">
            <v>0</v>
          </cell>
          <cell r="U51">
            <v>32057.449999999946</v>
          </cell>
        </row>
        <row r="52">
          <cell r="A52">
            <v>42369</v>
          </cell>
          <cell r="B52">
            <v>0</v>
          </cell>
          <cell r="C52">
            <v>0</v>
          </cell>
          <cell r="F52">
            <v>0</v>
          </cell>
          <cell r="I52">
            <v>0</v>
          </cell>
          <cell r="L52">
            <v>0</v>
          </cell>
          <cell r="O52">
            <v>0</v>
          </cell>
          <cell r="R52">
            <v>0</v>
          </cell>
          <cell r="U52">
            <v>0</v>
          </cell>
        </row>
      </sheetData>
      <sheetData sheetId="17">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606608.69999999995</v>
          </cell>
          <cell r="D27">
            <v>0</v>
          </cell>
          <cell r="E27">
            <v>0</v>
          </cell>
          <cell r="F27">
            <v>160173.1</v>
          </cell>
          <cell r="G27">
            <v>0</v>
          </cell>
          <cell r="H27">
            <v>0</v>
          </cell>
          <cell r="I27">
            <v>0</v>
          </cell>
          <cell r="J27">
            <v>0</v>
          </cell>
          <cell r="K27">
            <v>0</v>
          </cell>
          <cell r="L27">
            <v>175672.9</v>
          </cell>
          <cell r="M27">
            <v>0</v>
          </cell>
          <cell r="N27">
            <v>0</v>
          </cell>
          <cell r="O27">
            <v>60241.1</v>
          </cell>
          <cell r="P27">
            <v>0</v>
          </cell>
          <cell r="Q27">
            <v>0</v>
          </cell>
          <cell r="R27">
            <v>0</v>
          </cell>
          <cell r="S27">
            <v>0</v>
          </cell>
          <cell r="T27">
            <v>0</v>
          </cell>
          <cell r="U27">
            <v>210521.60000000001</v>
          </cell>
        </row>
        <row r="28">
          <cell r="A28">
            <v>39447</v>
          </cell>
          <cell r="B28">
            <v>0</v>
          </cell>
          <cell r="C28">
            <v>606608.69999999995</v>
          </cell>
          <cell r="D28">
            <v>0</v>
          </cell>
          <cell r="E28">
            <v>0</v>
          </cell>
          <cell r="F28">
            <v>160173.1</v>
          </cell>
          <cell r="G28">
            <v>0</v>
          </cell>
          <cell r="H28">
            <v>0</v>
          </cell>
          <cell r="I28">
            <v>0</v>
          </cell>
          <cell r="J28">
            <v>0</v>
          </cell>
          <cell r="K28">
            <v>0</v>
          </cell>
          <cell r="L28">
            <v>175672.9</v>
          </cell>
          <cell r="M28">
            <v>0</v>
          </cell>
          <cell r="N28">
            <v>0</v>
          </cell>
          <cell r="O28">
            <v>60241.1</v>
          </cell>
          <cell r="P28">
            <v>0</v>
          </cell>
          <cell r="Q28">
            <v>0</v>
          </cell>
          <cell r="R28">
            <v>0</v>
          </cell>
          <cell r="S28">
            <v>0</v>
          </cell>
          <cell r="T28">
            <v>0</v>
          </cell>
          <cell r="U28">
            <v>210521.60000000001</v>
          </cell>
        </row>
        <row r="29">
          <cell r="A29">
            <v>39813</v>
          </cell>
          <cell r="B29">
            <v>0</v>
          </cell>
          <cell r="C29">
            <v>606608.69999999995</v>
          </cell>
          <cell r="D29">
            <v>0</v>
          </cell>
          <cell r="E29">
            <v>0</v>
          </cell>
          <cell r="F29">
            <v>160173.1</v>
          </cell>
          <cell r="G29">
            <v>0</v>
          </cell>
          <cell r="H29">
            <v>0</v>
          </cell>
          <cell r="I29">
            <v>0</v>
          </cell>
          <cell r="J29">
            <v>0</v>
          </cell>
          <cell r="K29">
            <v>0</v>
          </cell>
          <cell r="L29">
            <v>175672.9</v>
          </cell>
          <cell r="M29">
            <v>0</v>
          </cell>
          <cell r="N29">
            <v>0</v>
          </cell>
          <cell r="O29">
            <v>60241.1</v>
          </cell>
          <cell r="P29">
            <v>0</v>
          </cell>
          <cell r="Q29">
            <v>0</v>
          </cell>
          <cell r="R29">
            <v>0</v>
          </cell>
          <cell r="S29">
            <v>0</v>
          </cell>
          <cell r="T29">
            <v>0</v>
          </cell>
          <cell r="U29">
            <v>210521.60000000001</v>
          </cell>
        </row>
        <row r="30">
          <cell r="A30">
            <v>40178</v>
          </cell>
          <cell r="B30">
            <v>0</v>
          </cell>
          <cell r="C30">
            <v>606608.69999999995</v>
          </cell>
          <cell r="D30">
            <v>0</v>
          </cell>
          <cell r="E30">
            <v>0</v>
          </cell>
          <cell r="F30">
            <v>160173.1</v>
          </cell>
          <cell r="G30">
            <v>0</v>
          </cell>
          <cell r="H30">
            <v>0</v>
          </cell>
          <cell r="I30">
            <v>0</v>
          </cell>
          <cell r="J30">
            <v>0</v>
          </cell>
          <cell r="K30">
            <v>0</v>
          </cell>
          <cell r="L30">
            <v>175672.9</v>
          </cell>
          <cell r="M30">
            <v>0</v>
          </cell>
          <cell r="N30">
            <v>0</v>
          </cell>
          <cell r="O30">
            <v>60241.1</v>
          </cell>
          <cell r="P30">
            <v>0</v>
          </cell>
          <cell r="Q30">
            <v>0</v>
          </cell>
          <cell r="R30">
            <v>0</v>
          </cell>
          <cell r="S30">
            <v>0</v>
          </cell>
          <cell r="T30">
            <v>0</v>
          </cell>
          <cell r="U30">
            <v>210521.60000000001</v>
          </cell>
        </row>
        <row r="31">
          <cell r="A31">
            <v>40543</v>
          </cell>
          <cell r="B31">
            <v>0</v>
          </cell>
          <cell r="C31">
            <v>606608.69999999995</v>
          </cell>
          <cell r="D31">
            <v>0</v>
          </cell>
          <cell r="E31">
            <v>0</v>
          </cell>
          <cell r="F31">
            <v>160173.1</v>
          </cell>
          <cell r="G31">
            <v>0</v>
          </cell>
          <cell r="H31">
            <v>0</v>
          </cell>
          <cell r="I31">
            <v>0</v>
          </cell>
          <cell r="J31">
            <v>0</v>
          </cell>
          <cell r="K31">
            <v>0</v>
          </cell>
          <cell r="L31">
            <v>175672.9</v>
          </cell>
          <cell r="M31">
            <v>0</v>
          </cell>
          <cell r="N31">
            <v>0</v>
          </cell>
          <cell r="O31">
            <v>60241.1</v>
          </cell>
          <cell r="P31">
            <v>0</v>
          </cell>
          <cell r="Q31">
            <v>0</v>
          </cell>
          <cell r="R31">
            <v>0</v>
          </cell>
          <cell r="S31">
            <v>0</v>
          </cell>
          <cell r="T31">
            <v>0</v>
          </cell>
          <cell r="U31">
            <v>210521.60000000001</v>
          </cell>
        </row>
        <row r="32">
          <cell r="A32">
            <v>40908</v>
          </cell>
          <cell r="B32">
            <v>0</v>
          </cell>
          <cell r="C32">
            <v>606608.69999999995</v>
          </cell>
          <cell r="D32">
            <v>0</v>
          </cell>
          <cell r="E32">
            <v>0</v>
          </cell>
          <cell r="F32">
            <v>160173.1</v>
          </cell>
          <cell r="G32">
            <v>0</v>
          </cell>
          <cell r="H32">
            <v>0</v>
          </cell>
          <cell r="I32">
            <v>0</v>
          </cell>
          <cell r="J32">
            <v>0</v>
          </cell>
          <cell r="K32">
            <v>0</v>
          </cell>
          <cell r="L32">
            <v>175672.9</v>
          </cell>
          <cell r="M32">
            <v>0</v>
          </cell>
          <cell r="N32">
            <v>0</v>
          </cell>
          <cell r="O32">
            <v>60241.1</v>
          </cell>
          <cell r="P32">
            <v>0</v>
          </cell>
          <cell r="Q32">
            <v>0</v>
          </cell>
          <cell r="R32">
            <v>0</v>
          </cell>
          <cell r="S32">
            <v>0</v>
          </cell>
          <cell r="T32">
            <v>0</v>
          </cell>
          <cell r="U32">
            <v>210521.60000000001</v>
          </cell>
        </row>
        <row r="33">
          <cell r="A33">
            <v>41274</v>
          </cell>
          <cell r="B33">
            <v>0</v>
          </cell>
          <cell r="C33">
            <v>606608.69999999995</v>
          </cell>
          <cell r="D33">
            <v>0</v>
          </cell>
          <cell r="E33">
            <v>0</v>
          </cell>
          <cell r="F33">
            <v>160173.1</v>
          </cell>
          <cell r="G33">
            <v>0</v>
          </cell>
          <cell r="H33">
            <v>0</v>
          </cell>
          <cell r="I33">
            <v>0</v>
          </cell>
          <cell r="J33">
            <v>0</v>
          </cell>
          <cell r="K33">
            <v>0</v>
          </cell>
          <cell r="L33">
            <v>175672.9</v>
          </cell>
          <cell r="M33">
            <v>0</v>
          </cell>
          <cell r="N33">
            <v>0</v>
          </cell>
          <cell r="O33">
            <v>60241.1</v>
          </cell>
          <cell r="P33">
            <v>0</v>
          </cell>
          <cell r="Q33">
            <v>0</v>
          </cell>
          <cell r="R33">
            <v>0</v>
          </cell>
          <cell r="S33">
            <v>0</v>
          </cell>
          <cell r="T33">
            <v>0</v>
          </cell>
          <cell r="U33">
            <v>210521.60000000001</v>
          </cell>
        </row>
        <row r="34">
          <cell r="A34">
            <v>41639</v>
          </cell>
          <cell r="B34">
            <v>0</v>
          </cell>
          <cell r="C34">
            <v>606608.69999999995</v>
          </cell>
          <cell r="D34">
            <v>0</v>
          </cell>
          <cell r="E34">
            <v>0</v>
          </cell>
          <cell r="F34">
            <v>160173.1</v>
          </cell>
          <cell r="G34">
            <v>0</v>
          </cell>
          <cell r="H34">
            <v>0</v>
          </cell>
          <cell r="I34">
            <v>0</v>
          </cell>
          <cell r="J34">
            <v>0</v>
          </cell>
          <cell r="K34">
            <v>0</v>
          </cell>
          <cell r="L34">
            <v>175672.9</v>
          </cell>
          <cell r="M34">
            <v>0</v>
          </cell>
          <cell r="N34">
            <v>0</v>
          </cell>
          <cell r="O34">
            <v>60241.1</v>
          </cell>
          <cell r="P34">
            <v>0</v>
          </cell>
          <cell r="Q34">
            <v>0</v>
          </cell>
          <cell r="R34">
            <v>0</v>
          </cell>
          <cell r="S34">
            <v>0</v>
          </cell>
          <cell r="T34">
            <v>0</v>
          </cell>
          <cell r="U34">
            <v>210521.60000000001</v>
          </cell>
        </row>
        <row r="35">
          <cell r="A35">
            <v>42004</v>
          </cell>
          <cell r="B35">
            <v>0</v>
          </cell>
          <cell r="C35">
            <v>606608.69999999995</v>
          </cell>
          <cell r="D35">
            <v>0</v>
          </cell>
          <cell r="E35">
            <v>0</v>
          </cell>
          <cell r="F35">
            <v>160173.1</v>
          </cell>
          <cell r="G35">
            <v>0</v>
          </cell>
          <cell r="H35">
            <v>0</v>
          </cell>
          <cell r="I35">
            <v>0</v>
          </cell>
          <cell r="J35">
            <v>0</v>
          </cell>
          <cell r="K35">
            <v>0</v>
          </cell>
          <cell r="L35">
            <v>175672.9</v>
          </cell>
          <cell r="M35">
            <v>0</v>
          </cell>
          <cell r="N35">
            <v>0</v>
          </cell>
          <cell r="O35">
            <v>60241.1</v>
          </cell>
          <cell r="P35">
            <v>0</v>
          </cell>
          <cell r="Q35">
            <v>0</v>
          </cell>
          <cell r="R35">
            <v>0</v>
          </cell>
          <cell r="S35">
            <v>0</v>
          </cell>
          <cell r="T35">
            <v>0</v>
          </cell>
          <cell r="U35">
            <v>210521.60000000001</v>
          </cell>
        </row>
        <row r="36">
          <cell r="A36">
            <v>42369</v>
          </cell>
          <cell r="B36">
            <v>0</v>
          </cell>
          <cell r="C36">
            <v>606608.69999999995</v>
          </cell>
          <cell r="D36">
            <v>0</v>
          </cell>
          <cell r="E36">
            <v>0</v>
          </cell>
          <cell r="F36">
            <v>160173.1</v>
          </cell>
          <cell r="G36">
            <v>0</v>
          </cell>
          <cell r="H36">
            <v>0</v>
          </cell>
          <cell r="I36">
            <v>0</v>
          </cell>
          <cell r="J36">
            <v>0</v>
          </cell>
          <cell r="K36">
            <v>0</v>
          </cell>
          <cell r="L36">
            <v>175672.9</v>
          </cell>
          <cell r="M36">
            <v>0</v>
          </cell>
          <cell r="N36">
            <v>0</v>
          </cell>
          <cell r="O36">
            <v>60241.1</v>
          </cell>
          <cell r="P36">
            <v>0</v>
          </cell>
          <cell r="Q36">
            <v>0</v>
          </cell>
          <cell r="R36">
            <v>0</v>
          </cell>
          <cell r="S36">
            <v>0</v>
          </cell>
          <cell r="T36">
            <v>0</v>
          </cell>
          <cell r="U36">
            <v>210521.60000000001</v>
          </cell>
        </row>
        <row r="37">
          <cell r="A37">
            <v>42735</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41">
          <cell r="A41">
            <v>37986</v>
          </cell>
          <cell r="B41">
            <v>0</v>
          </cell>
          <cell r="C41">
            <v>0</v>
          </cell>
        </row>
        <row r="42">
          <cell r="A42">
            <v>38352</v>
          </cell>
          <cell r="B42">
            <v>0</v>
          </cell>
          <cell r="C42">
            <v>0</v>
          </cell>
          <cell r="F42">
            <v>0</v>
          </cell>
        </row>
        <row r="43">
          <cell r="A43">
            <v>38717</v>
          </cell>
          <cell r="B43">
            <v>0</v>
          </cell>
          <cell r="C43">
            <v>0</v>
          </cell>
          <cell r="F43">
            <v>0</v>
          </cell>
          <cell r="I43">
            <v>0</v>
          </cell>
          <cell r="L43">
            <v>0</v>
          </cell>
          <cell r="O43">
            <v>0</v>
          </cell>
          <cell r="R43">
            <v>0</v>
          </cell>
          <cell r="U43">
            <v>0</v>
          </cell>
        </row>
        <row r="44">
          <cell r="A44">
            <v>39082</v>
          </cell>
          <cell r="B44">
            <v>0</v>
          </cell>
          <cell r="C44">
            <v>5762782.6500000004</v>
          </cell>
          <cell r="D44">
            <v>0</v>
          </cell>
          <cell r="E44">
            <v>0</v>
          </cell>
          <cell r="F44">
            <v>1521644.45</v>
          </cell>
          <cell r="G44">
            <v>0</v>
          </cell>
          <cell r="H44">
            <v>0</v>
          </cell>
          <cell r="I44">
            <v>0</v>
          </cell>
          <cell r="J44">
            <v>0</v>
          </cell>
          <cell r="K44">
            <v>0</v>
          </cell>
          <cell r="L44">
            <v>1668892.55</v>
          </cell>
          <cell r="M44">
            <v>0</v>
          </cell>
          <cell r="N44">
            <v>0</v>
          </cell>
          <cell r="O44">
            <v>572290.44999999995</v>
          </cell>
          <cell r="P44">
            <v>0</v>
          </cell>
          <cell r="Q44">
            <v>0</v>
          </cell>
          <cell r="R44">
            <v>0</v>
          </cell>
          <cell r="S44">
            <v>0</v>
          </cell>
          <cell r="T44">
            <v>0</v>
          </cell>
          <cell r="U44">
            <v>1999955.2</v>
          </cell>
        </row>
        <row r="45">
          <cell r="A45">
            <v>39447</v>
          </cell>
          <cell r="B45">
            <v>0</v>
          </cell>
          <cell r="C45">
            <v>5156173.95</v>
          </cell>
          <cell r="D45">
            <v>0</v>
          </cell>
          <cell r="E45">
            <v>0</v>
          </cell>
          <cell r="F45">
            <v>1361471.3499999999</v>
          </cell>
          <cell r="G45">
            <v>0</v>
          </cell>
          <cell r="H45">
            <v>0</v>
          </cell>
          <cell r="I45">
            <v>0</v>
          </cell>
          <cell r="J45">
            <v>0</v>
          </cell>
          <cell r="K45">
            <v>0</v>
          </cell>
          <cell r="L45">
            <v>1493219.6500000001</v>
          </cell>
          <cell r="M45">
            <v>0</v>
          </cell>
          <cell r="N45">
            <v>0</v>
          </cell>
          <cell r="O45">
            <v>512049.35</v>
          </cell>
          <cell r="P45">
            <v>0</v>
          </cell>
          <cell r="Q45">
            <v>0</v>
          </cell>
          <cell r="R45">
            <v>0</v>
          </cell>
          <cell r="S45">
            <v>0</v>
          </cell>
          <cell r="T45">
            <v>0</v>
          </cell>
          <cell r="U45">
            <v>1789433.5999999999</v>
          </cell>
        </row>
        <row r="46">
          <cell r="A46">
            <v>39813</v>
          </cell>
          <cell r="B46">
            <v>0</v>
          </cell>
          <cell r="C46">
            <v>4549565.25</v>
          </cell>
          <cell r="D46">
            <v>0</v>
          </cell>
          <cell r="E46">
            <v>0</v>
          </cell>
          <cell r="F46">
            <v>1201298.2499999998</v>
          </cell>
          <cell r="G46">
            <v>0</v>
          </cell>
          <cell r="H46">
            <v>0</v>
          </cell>
          <cell r="I46">
            <v>0</v>
          </cell>
          <cell r="J46">
            <v>0</v>
          </cell>
          <cell r="K46">
            <v>0</v>
          </cell>
          <cell r="L46">
            <v>1317546.7500000002</v>
          </cell>
          <cell r="M46">
            <v>0</v>
          </cell>
          <cell r="N46">
            <v>0</v>
          </cell>
          <cell r="O46">
            <v>451808.25</v>
          </cell>
          <cell r="P46">
            <v>0</v>
          </cell>
          <cell r="Q46">
            <v>0</v>
          </cell>
          <cell r="R46">
            <v>0</v>
          </cell>
          <cell r="S46">
            <v>0</v>
          </cell>
          <cell r="T46">
            <v>0</v>
          </cell>
          <cell r="U46">
            <v>1578911.9999999998</v>
          </cell>
        </row>
        <row r="47">
          <cell r="A47">
            <v>40178</v>
          </cell>
          <cell r="B47">
            <v>0</v>
          </cell>
          <cell r="C47">
            <v>3942956.55</v>
          </cell>
          <cell r="D47">
            <v>0</v>
          </cell>
          <cell r="E47">
            <v>0</v>
          </cell>
          <cell r="F47">
            <v>1041125.1499999998</v>
          </cell>
          <cell r="G47">
            <v>0</v>
          </cell>
          <cell r="H47">
            <v>0</v>
          </cell>
          <cell r="I47">
            <v>0</v>
          </cell>
          <cell r="J47">
            <v>0</v>
          </cell>
          <cell r="K47">
            <v>0</v>
          </cell>
          <cell r="L47">
            <v>1141873.8500000003</v>
          </cell>
          <cell r="M47">
            <v>0</v>
          </cell>
          <cell r="N47">
            <v>0</v>
          </cell>
          <cell r="O47">
            <v>391567.15</v>
          </cell>
          <cell r="P47">
            <v>0</v>
          </cell>
          <cell r="Q47">
            <v>0</v>
          </cell>
          <cell r="R47">
            <v>0</v>
          </cell>
          <cell r="S47">
            <v>0</v>
          </cell>
          <cell r="T47">
            <v>0</v>
          </cell>
          <cell r="U47">
            <v>1368390.3999999997</v>
          </cell>
        </row>
        <row r="48">
          <cell r="A48">
            <v>40543</v>
          </cell>
          <cell r="B48">
            <v>0</v>
          </cell>
          <cell r="C48">
            <v>3336347.8499999996</v>
          </cell>
          <cell r="D48">
            <v>0</v>
          </cell>
          <cell r="E48">
            <v>0</v>
          </cell>
          <cell r="F48">
            <v>880952.04999999981</v>
          </cell>
          <cell r="G48">
            <v>0</v>
          </cell>
          <cell r="H48">
            <v>0</v>
          </cell>
          <cell r="I48">
            <v>0</v>
          </cell>
          <cell r="J48">
            <v>0</v>
          </cell>
          <cell r="K48">
            <v>0</v>
          </cell>
          <cell r="L48">
            <v>966200.9500000003</v>
          </cell>
          <cell r="M48">
            <v>0</v>
          </cell>
          <cell r="N48">
            <v>0</v>
          </cell>
          <cell r="O48">
            <v>331326.05000000005</v>
          </cell>
          <cell r="P48">
            <v>0</v>
          </cell>
          <cell r="Q48">
            <v>0</v>
          </cell>
          <cell r="R48">
            <v>0</v>
          </cell>
          <cell r="S48">
            <v>0</v>
          </cell>
          <cell r="T48">
            <v>0</v>
          </cell>
          <cell r="U48">
            <v>1157868.7999999996</v>
          </cell>
        </row>
        <row r="49">
          <cell r="A49">
            <v>40908</v>
          </cell>
          <cell r="B49">
            <v>0</v>
          </cell>
          <cell r="C49">
            <v>2729739.15</v>
          </cell>
          <cell r="D49">
            <v>0</v>
          </cell>
          <cell r="E49">
            <v>0</v>
          </cell>
          <cell r="F49">
            <v>720778.94999999984</v>
          </cell>
          <cell r="G49">
            <v>0</v>
          </cell>
          <cell r="H49">
            <v>0</v>
          </cell>
          <cell r="I49">
            <v>0</v>
          </cell>
          <cell r="J49">
            <v>0</v>
          </cell>
          <cell r="K49">
            <v>0</v>
          </cell>
          <cell r="L49">
            <v>790528.05000000028</v>
          </cell>
          <cell r="M49">
            <v>0</v>
          </cell>
          <cell r="N49">
            <v>0</v>
          </cell>
          <cell r="O49">
            <v>271084.95000000007</v>
          </cell>
          <cell r="P49">
            <v>0</v>
          </cell>
          <cell r="Q49">
            <v>0</v>
          </cell>
          <cell r="R49">
            <v>0</v>
          </cell>
          <cell r="S49">
            <v>0</v>
          </cell>
          <cell r="T49">
            <v>0</v>
          </cell>
          <cell r="U49">
            <v>947347.1999999996</v>
          </cell>
        </row>
        <row r="50">
          <cell r="A50">
            <v>41274</v>
          </cell>
          <cell r="B50">
            <v>0</v>
          </cell>
          <cell r="C50">
            <v>2123130.4499999997</v>
          </cell>
          <cell r="D50">
            <v>0</v>
          </cell>
          <cell r="E50">
            <v>0</v>
          </cell>
          <cell r="F50">
            <v>560605.84999999986</v>
          </cell>
          <cell r="G50">
            <v>0</v>
          </cell>
          <cell r="H50">
            <v>0</v>
          </cell>
          <cell r="I50">
            <v>0</v>
          </cell>
          <cell r="J50">
            <v>0</v>
          </cell>
          <cell r="K50">
            <v>0</v>
          </cell>
          <cell r="L50">
            <v>614855.15000000026</v>
          </cell>
          <cell r="M50">
            <v>0</v>
          </cell>
          <cell r="N50">
            <v>0</v>
          </cell>
          <cell r="O50">
            <v>210843.85000000006</v>
          </cell>
          <cell r="P50">
            <v>0</v>
          </cell>
          <cell r="Q50">
            <v>0</v>
          </cell>
          <cell r="R50">
            <v>0</v>
          </cell>
          <cell r="S50">
            <v>0</v>
          </cell>
          <cell r="T50">
            <v>0</v>
          </cell>
          <cell r="U50">
            <v>736825.59999999963</v>
          </cell>
        </row>
        <row r="51">
          <cell r="A51">
            <v>41639</v>
          </cell>
          <cell r="B51">
            <v>0</v>
          </cell>
          <cell r="C51">
            <v>1516521.75</v>
          </cell>
          <cell r="D51">
            <v>0</v>
          </cell>
          <cell r="E51">
            <v>0</v>
          </cell>
          <cell r="F51">
            <v>400432.74999999988</v>
          </cell>
          <cell r="G51">
            <v>0</v>
          </cell>
          <cell r="H51">
            <v>0</v>
          </cell>
          <cell r="I51">
            <v>0</v>
          </cell>
          <cell r="J51">
            <v>0</v>
          </cell>
          <cell r="K51">
            <v>0</v>
          </cell>
          <cell r="L51">
            <v>439182.25000000023</v>
          </cell>
          <cell r="M51">
            <v>0</v>
          </cell>
          <cell r="N51">
            <v>0</v>
          </cell>
          <cell r="O51">
            <v>150602.75000000006</v>
          </cell>
          <cell r="P51">
            <v>0</v>
          </cell>
          <cell r="Q51">
            <v>0</v>
          </cell>
          <cell r="R51">
            <v>0</v>
          </cell>
          <cell r="S51">
            <v>0</v>
          </cell>
          <cell r="T51">
            <v>0</v>
          </cell>
          <cell r="U51">
            <v>526303.99999999965</v>
          </cell>
        </row>
        <row r="52">
          <cell r="A52">
            <v>42004</v>
          </cell>
          <cell r="B52">
            <v>0</v>
          </cell>
          <cell r="C52">
            <v>909913.04999999981</v>
          </cell>
          <cell r="D52">
            <v>0</v>
          </cell>
          <cell r="E52">
            <v>0</v>
          </cell>
          <cell r="F52">
            <v>240259.64999999988</v>
          </cell>
          <cell r="G52">
            <v>0</v>
          </cell>
          <cell r="H52">
            <v>0</v>
          </cell>
          <cell r="I52">
            <v>0</v>
          </cell>
          <cell r="J52">
            <v>0</v>
          </cell>
          <cell r="K52">
            <v>0</v>
          </cell>
          <cell r="L52">
            <v>263509.35000000021</v>
          </cell>
          <cell r="M52">
            <v>0</v>
          </cell>
          <cell r="N52">
            <v>0</v>
          </cell>
          <cell r="O52">
            <v>90361.650000000052</v>
          </cell>
          <cell r="P52">
            <v>0</v>
          </cell>
          <cell r="Q52">
            <v>0</v>
          </cell>
          <cell r="R52">
            <v>0</v>
          </cell>
          <cell r="S52">
            <v>0</v>
          </cell>
          <cell r="T52">
            <v>0</v>
          </cell>
          <cell r="U52">
            <v>315782.39999999967</v>
          </cell>
        </row>
        <row r="53">
          <cell r="A53">
            <v>42369</v>
          </cell>
          <cell r="B53">
            <v>0</v>
          </cell>
          <cell r="C53">
            <v>303304.3499999998</v>
          </cell>
          <cell r="D53">
            <v>0</v>
          </cell>
          <cell r="E53">
            <v>0</v>
          </cell>
          <cell r="F53">
            <v>80086.549999999872</v>
          </cell>
          <cell r="G53">
            <v>0</v>
          </cell>
          <cell r="H53">
            <v>0</v>
          </cell>
          <cell r="I53">
            <v>0</v>
          </cell>
          <cell r="J53">
            <v>0</v>
          </cell>
          <cell r="K53">
            <v>0</v>
          </cell>
          <cell r="L53">
            <v>87836.450000000215</v>
          </cell>
          <cell r="M53">
            <v>0</v>
          </cell>
          <cell r="N53">
            <v>0</v>
          </cell>
          <cell r="O53">
            <v>30120.550000000054</v>
          </cell>
          <cell r="P53">
            <v>0</v>
          </cell>
          <cell r="Q53">
            <v>0</v>
          </cell>
          <cell r="R53">
            <v>0</v>
          </cell>
          <cell r="S53">
            <v>0</v>
          </cell>
          <cell r="T53">
            <v>0</v>
          </cell>
          <cell r="U53">
            <v>105260.79999999967</v>
          </cell>
        </row>
        <row r="54">
          <cell r="A54">
            <v>42735</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row>
      </sheetData>
      <sheetData sheetId="18">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39447</v>
          </cell>
          <cell r="B28">
            <v>0</v>
          </cell>
          <cell r="C28">
            <v>1078545.8999999999</v>
          </cell>
          <cell r="D28">
            <v>0</v>
          </cell>
          <cell r="E28">
            <v>0</v>
          </cell>
          <cell r="F28">
            <v>372155.8</v>
          </cell>
          <cell r="G28">
            <v>0</v>
          </cell>
          <cell r="H28">
            <v>0</v>
          </cell>
          <cell r="I28">
            <v>0</v>
          </cell>
          <cell r="J28">
            <v>0</v>
          </cell>
          <cell r="K28">
            <v>0</v>
          </cell>
          <cell r="L28">
            <v>41299.9</v>
          </cell>
          <cell r="M28">
            <v>0</v>
          </cell>
          <cell r="N28">
            <v>0</v>
          </cell>
          <cell r="O28">
            <v>14941</v>
          </cell>
          <cell r="P28">
            <v>0</v>
          </cell>
          <cell r="Q28">
            <v>0</v>
          </cell>
          <cell r="R28">
            <v>0</v>
          </cell>
          <cell r="S28">
            <v>0</v>
          </cell>
          <cell r="T28">
            <v>0</v>
          </cell>
          <cell r="U28">
            <v>650149.19999999995</v>
          </cell>
        </row>
        <row r="29">
          <cell r="A29">
            <v>39813</v>
          </cell>
          <cell r="B29">
            <v>0</v>
          </cell>
          <cell r="C29">
            <v>1078545.8999999999</v>
          </cell>
          <cell r="D29">
            <v>0</v>
          </cell>
          <cell r="E29">
            <v>0</v>
          </cell>
          <cell r="F29">
            <v>372155.8</v>
          </cell>
          <cell r="G29">
            <v>0</v>
          </cell>
          <cell r="H29">
            <v>0</v>
          </cell>
          <cell r="I29">
            <v>0</v>
          </cell>
          <cell r="J29">
            <v>0</v>
          </cell>
          <cell r="K29">
            <v>0</v>
          </cell>
          <cell r="L29">
            <v>41299.9</v>
          </cell>
          <cell r="M29">
            <v>0</v>
          </cell>
          <cell r="N29">
            <v>0</v>
          </cell>
          <cell r="O29">
            <v>14941</v>
          </cell>
          <cell r="P29">
            <v>0</v>
          </cell>
          <cell r="Q29">
            <v>0</v>
          </cell>
          <cell r="R29">
            <v>0</v>
          </cell>
          <cell r="S29">
            <v>0</v>
          </cell>
          <cell r="T29">
            <v>0</v>
          </cell>
          <cell r="U29">
            <v>650149.19999999995</v>
          </cell>
        </row>
        <row r="30">
          <cell r="A30">
            <v>40178</v>
          </cell>
          <cell r="B30">
            <v>0</v>
          </cell>
          <cell r="C30">
            <v>1078545.8999999999</v>
          </cell>
          <cell r="D30">
            <v>0</v>
          </cell>
          <cell r="E30">
            <v>0</v>
          </cell>
          <cell r="F30">
            <v>372155.8</v>
          </cell>
          <cell r="G30">
            <v>0</v>
          </cell>
          <cell r="H30">
            <v>0</v>
          </cell>
          <cell r="I30">
            <v>0</v>
          </cell>
          <cell r="J30">
            <v>0</v>
          </cell>
          <cell r="K30">
            <v>0</v>
          </cell>
          <cell r="L30">
            <v>41299.9</v>
          </cell>
          <cell r="M30">
            <v>0</v>
          </cell>
          <cell r="N30">
            <v>0</v>
          </cell>
          <cell r="O30">
            <v>14941</v>
          </cell>
          <cell r="P30">
            <v>0</v>
          </cell>
          <cell r="Q30">
            <v>0</v>
          </cell>
          <cell r="R30">
            <v>0</v>
          </cell>
          <cell r="S30">
            <v>0</v>
          </cell>
          <cell r="T30">
            <v>0</v>
          </cell>
          <cell r="U30">
            <v>650149.19999999995</v>
          </cell>
        </row>
        <row r="31">
          <cell r="A31">
            <v>40543</v>
          </cell>
          <cell r="B31">
            <v>0</v>
          </cell>
          <cell r="C31">
            <v>1078545.8999999999</v>
          </cell>
          <cell r="D31">
            <v>0</v>
          </cell>
          <cell r="E31">
            <v>0</v>
          </cell>
          <cell r="F31">
            <v>372155.8</v>
          </cell>
          <cell r="G31">
            <v>0</v>
          </cell>
          <cell r="H31">
            <v>0</v>
          </cell>
          <cell r="I31">
            <v>0</v>
          </cell>
          <cell r="J31">
            <v>0</v>
          </cell>
          <cell r="K31">
            <v>0</v>
          </cell>
          <cell r="L31">
            <v>41299.9</v>
          </cell>
          <cell r="M31">
            <v>0</v>
          </cell>
          <cell r="N31">
            <v>0</v>
          </cell>
          <cell r="O31">
            <v>14941</v>
          </cell>
          <cell r="P31">
            <v>0</v>
          </cell>
          <cell r="Q31">
            <v>0</v>
          </cell>
          <cell r="R31">
            <v>0</v>
          </cell>
          <cell r="S31">
            <v>0</v>
          </cell>
          <cell r="T31">
            <v>0</v>
          </cell>
          <cell r="U31">
            <v>650149.19999999995</v>
          </cell>
        </row>
        <row r="32">
          <cell r="A32">
            <v>40908</v>
          </cell>
          <cell r="B32">
            <v>0</v>
          </cell>
          <cell r="C32">
            <v>1078545.8999999999</v>
          </cell>
          <cell r="D32">
            <v>0</v>
          </cell>
          <cell r="E32">
            <v>0</v>
          </cell>
          <cell r="F32">
            <v>372155.8</v>
          </cell>
          <cell r="G32">
            <v>0</v>
          </cell>
          <cell r="H32">
            <v>0</v>
          </cell>
          <cell r="I32">
            <v>0</v>
          </cell>
          <cell r="J32">
            <v>0</v>
          </cell>
          <cell r="K32">
            <v>0</v>
          </cell>
          <cell r="L32">
            <v>41299.9</v>
          </cell>
          <cell r="M32">
            <v>0</v>
          </cell>
          <cell r="N32">
            <v>0</v>
          </cell>
          <cell r="O32">
            <v>14941</v>
          </cell>
          <cell r="P32">
            <v>0</v>
          </cell>
          <cell r="Q32">
            <v>0</v>
          </cell>
          <cell r="R32">
            <v>0</v>
          </cell>
          <cell r="S32">
            <v>0</v>
          </cell>
          <cell r="T32">
            <v>0</v>
          </cell>
          <cell r="U32">
            <v>650149.19999999995</v>
          </cell>
        </row>
        <row r="33">
          <cell r="A33">
            <v>41274</v>
          </cell>
          <cell r="B33">
            <v>0</v>
          </cell>
          <cell r="C33">
            <v>1078545.8999999999</v>
          </cell>
          <cell r="D33">
            <v>0</v>
          </cell>
          <cell r="E33">
            <v>0</v>
          </cell>
          <cell r="F33">
            <v>372155.8</v>
          </cell>
          <cell r="G33">
            <v>0</v>
          </cell>
          <cell r="H33">
            <v>0</v>
          </cell>
          <cell r="I33">
            <v>0</v>
          </cell>
          <cell r="J33">
            <v>0</v>
          </cell>
          <cell r="K33">
            <v>0</v>
          </cell>
          <cell r="L33">
            <v>41299.9</v>
          </cell>
          <cell r="M33">
            <v>0</v>
          </cell>
          <cell r="N33">
            <v>0</v>
          </cell>
          <cell r="O33">
            <v>14941</v>
          </cell>
          <cell r="P33">
            <v>0</v>
          </cell>
          <cell r="Q33">
            <v>0</v>
          </cell>
          <cell r="R33">
            <v>0</v>
          </cell>
          <cell r="S33">
            <v>0</v>
          </cell>
          <cell r="T33">
            <v>0</v>
          </cell>
          <cell r="U33">
            <v>650149.19999999995</v>
          </cell>
        </row>
        <row r="34">
          <cell r="A34">
            <v>41639</v>
          </cell>
          <cell r="B34">
            <v>0</v>
          </cell>
          <cell r="C34">
            <v>1078545.8999999999</v>
          </cell>
          <cell r="D34">
            <v>0</v>
          </cell>
          <cell r="E34">
            <v>0</v>
          </cell>
          <cell r="F34">
            <v>372155.8</v>
          </cell>
          <cell r="G34">
            <v>0</v>
          </cell>
          <cell r="H34">
            <v>0</v>
          </cell>
          <cell r="I34">
            <v>0</v>
          </cell>
          <cell r="J34">
            <v>0</v>
          </cell>
          <cell r="K34">
            <v>0</v>
          </cell>
          <cell r="L34">
            <v>41299.9</v>
          </cell>
          <cell r="M34">
            <v>0</v>
          </cell>
          <cell r="N34">
            <v>0</v>
          </cell>
          <cell r="O34">
            <v>14941</v>
          </cell>
          <cell r="P34">
            <v>0</v>
          </cell>
          <cell r="Q34">
            <v>0</v>
          </cell>
          <cell r="R34">
            <v>0</v>
          </cell>
          <cell r="S34">
            <v>0</v>
          </cell>
          <cell r="T34">
            <v>0</v>
          </cell>
          <cell r="U34">
            <v>650149.19999999995</v>
          </cell>
        </row>
        <row r="35">
          <cell r="A35">
            <v>42004</v>
          </cell>
          <cell r="B35">
            <v>0</v>
          </cell>
          <cell r="C35">
            <v>1078545.8999999999</v>
          </cell>
          <cell r="D35">
            <v>0</v>
          </cell>
          <cell r="E35">
            <v>0</v>
          </cell>
          <cell r="F35">
            <v>372155.8</v>
          </cell>
          <cell r="G35">
            <v>0</v>
          </cell>
          <cell r="H35">
            <v>0</v>
          </cell>
          <cell r="I35">
            <v>0</v>
          </cell>
          <cell r="J35">
            <v>0</v>
          </cell>
          <cell r="K35">
            <v>0</v>
          </cell>
          <cell r="L35">
            <v>41299.9</v>
          </cell>
          <cell r="M35">
            <v>0</v>
          </cell>
          <cell r="N35">
            <v>0</v>
          </cell>
          <cell r="O35">
            <v>14941</v>
          </cell>
          <cell r="P35">
            <v>0</v>
          </cell>
          <cell r="Q35">
            <v>0</v>
          </cell>
          <cell r="R35">
            <v>0</v>
          </cell>
          <cell r="S35">
            <v>0</v>
          </cell>
          <cell r="T35">
            <v>0</v>
          </cell>
          <cell r="U35">
            <v>650149.19999999995</v>
          </cell>
        </row>
        <row r="36">
          <cell r="A36">
            <v>42369</v>
          </cell>
          <cell r="B36">
            <v>0</v>
          </cell>
          <cell r="C36">
            <v>1078545.8999999999</v>
          </cell>
          <cell r="D36">
            <v>0</v>
          </cell>
          <cell r="E36">
            <v>0</v>
          </cell>
          <cell r="F36">
            <v>372155.8</v>
          </cell>
          <cell r="G36">
            <v>0</v>
          </cell>
          <cell r="H36">
            <v>0</v>
          </cell>
          <cell r="I36">
            <v>0</v>
          </cell>
          <cell r="J36">
            <v>0</v>
          </cell>
          <cell r="K36">
            <v>0</v>
          </cell>
          <cell r="L36">
            <v>41299.9</v>
          </cell>
          <cell r="M36">
            <v>0</v>
          </cell>
          <cell r="N36">
            <v>0</v>
          </cell>
          <cell r="O36">
            <v>14941</v>
          </cell>
          <cell r="P36">
            <v>0</v>
          </cell>
          <cell r="Q36">
            <v>0</v>
          </cell>
          <cell r="R36">
            <v>0</v>
          </cell>
          <cell r="S36">
            <v>0</v>
          </cell>
          <cell r="T36">
            <v>0</v>
          </cell>
          <cell r="U36">
            <v>650149.19999999995</v>
          </cell>
        </row>
        <row r="37">
          <cell r="A37">
            <v>42735</v>
          </cell>
          <cell r="B37">
            <v>0</v>
          </cell>
          <cell r="C37">
            <v>1078545.8999999999</v>
          </cell>
          <cell r="D37">
            <v>0</v>
          </cell>
          <cell r="E37">
            <v>0</v>
          </cell>
          <cell r="F37">
            <v>372155.8</v>
          </cell>
          <cell r="G37">
            <v>0</v>
          </cell>
          <cell r="H37">
            <v>0</v>
          </cell>
          <cell r="I37">
            <v>0</v>
          </cell>
          <cell r="J37">
            <v>0</v>
          </cell>
          <cell r="K37">
            <v>0</v>
          </cell>
          <cell r="L37">
            <v>41299.9</v>
          </cell>
          <cell r="M37">
            <v>0</v>
          </cell>
          <cell r="N37">
            <v>0</v>
          </cell>
          <cell r="O37">
            <v>14941</v>
          </cell>
          <cell r="P37">
            <v>0</v>
          </cell>
          <cell r="Q37">
            <v>0</v>
          </cell>
          <cell r="R37">
            <v>0</v>
          </cell>
          <cell r="S37">
            <v>0</v>
          </cell>
          <cell r="T37">
            <v>0</v>
          </cell>
          <cell r="U37">
            <v>650149.19999999995</v>
          </cell>
        </row>
        <row r="38">
          <cell r="A38">
            <v>43100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42">
          <cell r="A42">
            <v>37986</v>
          </cell>
          <cell r="B42">
            <v>0</v>
          </cell>
          <cell r="C42">
            <v>0</v>
          </cell>
        </row>
        <row r="43">
          <cell r="A43">
            <v>38352</v>
          </cell>
          <cell r="B43">
            <v>0</v>
          </cell>
          <cell r="C43">
            <v>0</v>
          </cell>
          <cell r="F43">
            <v>0</v>
          </cell>
        </row>
        <row r="44">
          <cell r="A44">
            <v>38717</v>
          </cell>
          <cell r="B44">
            <v>0</v>
          </cell>
          <cell r="C44">
            <v>0</v>
          </cell>
          <cell r="F44">
            <v>0</v>
          </cell>
          <cell r="I44">
            <v>0</v>
          </cell>
          <cell r="L44">
            <v>0</v>
          </cell>
          <cell r="O44">
            <v>0</v>
          </cell>
          <cell r="R44">
            <v>0</v>
          </cell>
          <cell r="U44">
            <v>0</v>
          </cell>
        </row>
        <row r="45">
          <cell r="A45">
            <v>39082</v>
          </cell>
          <cell r="B45">
            <v>0</v>
          </cell>
          <cell r="C45">
            <v>0</v>
          </cell>
          <cell r="F45">
            <v>0</v>
          </cell>
          <cell r="I45">
            <v>0</v>
          </cell>
          <cell r="L45">
            <v>0</v>
          </cell>
          <cell r="O45">
            <v>0</v>
          </cell>
          <cell r="R45">
            <v>0</v>
          </cell>
          <cell r="U45">
            <v>0</v>
          </cell>
        </row>
        <row r="46">
          <cell r="A46">
            <v>39447</v>
          </cell>
          <cell r="B46">
            <v>0</v>
          </cell>
          <cell r="C46">
            <v>10246186.050000001</v>
          </cell>
          <cell r="F46">
            <v>3535480.1</v>
          </cell>
          <cell r="I46">
            <v>0</v>
          </cell>
          <cell r="L46">
            <v>392349.05</v>
          </cell>
          <cell r="O46">
            <v>141939.5</v>
          </cell>
          <cell r="R46">
            <v>0</v>
          </cell>
          <cell r="U46">
            <v>6176417.4000000004</v>
          </cell>
        </row>
        <row r="47">
          <cell r="A47">
            <v>39813</v>
          </cell>
          <cell r="B47">
            <v>0</v>
          </cell>
          <cell r="C47">
            <v>9167640.1500000004</v>
          </cell>
          <cell r="F47">
            <v>3163324.3000000003</v>
          </cell>
          <cell r="I47">
            <v>0</v>
          </cell>
          <cell r="L47">
            <v>351049.14999999997</v>
          </cell>
          <cell r="O47">
            <v>126998.5</v>
          </cell>
          <cell r="R47">
            <v>0</v>
          </cell>
          <cell r="U47">
            <v>5526268.2000000002</v>
          </cell>
        </row>
        <row r="48">
          <cell r="A48">
            <v>40178</v>
          </cell>
          <cell r="B48">
            <v>0</v>
          </cell>
          <cell r="C48">
            <v>8089094.25</v>
          </cell>
          <cell r="F48">
            <v>2791168.5000000005</v>
          </cell>
          <cell r="I48">
            <v>0</v>
          </cell>
          <cell r="L48">
            <v>309749.24999999994</v>
          </cell>
          <cell r="O48">
            <v>112057.5</v>
          </cell>
          <cell r="R48">
            <v>0</v>
          </cell>
          <cell r="U48">
            <v>4876119</v>
          </cell>
        </row>
        <row r="49">
          <cell r="A49">
            <v>40543</v>
          </cell>
          <cell r="B49">
            <v>0</v>
          </cell>
          <cell r="C49">
            <v>7010548.3500000006</v>
          </cell>
          <cell r="F49">
            <v>2419012.7000000007</v>
          </cell>
          <cell r="I49">
            <v>0</v>
          </cell>
          <cell r="L49">
            <v>268449.34999999992</v>
          </cell>
          <cell r="O49">
            <v>97116.5</v>
          </cell>
          <cell r="R49">
            <v>0</v>
          </cell>
          <cell r="U49">
            <v>4225969.8</v>
          </cell>
        </row>
        <row r="50">
          <cell r="A50">
            <v>40908</v>
          </cell>
          <cell r="B50">
            <v>0</v>
          </cell>
          <cell r="C50">
            <v>5932002.4500000002</v>
          </cell>
          <cell r="F50">
            <v>2046856.9000000006</v>
          </cell>
          <cell r="I50">
            <v>0</v>
          </cell>
          <cell r="L50">
            <v>227149.44999999992</v>
          </cell>
          <cell r="O50">
            <v>82175.5</v>
          </cell>
          <cell r="R50">
            <v>0</v>
          </cell>
          <cell r="U50">
            <v>3575820.5999999996</v>
          </cell>
        </row>
        <row r="51">
          <cell r="A51">
            <v>41274</v>
          </cell>
          <cell r="B51">
            <v>0</v>
          </cell>
          <cell r="C51">
            <v>4853456.55</v>
          </cell>
          <cell r="F51">
            <v>1674701.1000000006</v>
          </cell>
          <cell r="I51">
            <v>0</v>
          </cell>
          <cell r="L51">
            <v>185849.54999999993</v>
          </cell>
          <cell r="O51">
            <v>67234.5</v>
          </cell>
          <cell r="R51">
            <v>0</v>
          </cell>
          <cell r="U51">
            <v>2925671.3999999994</v>
          </cell>
        </row>
        <row r="52">
          <cell r="A52">
            <v>41639</v>
          </cell>
          <cell r="B52">
            <v>0</v>
          </cell>
          <cell r="C52">
            <v>3774910.6499999994</v>
          </cell>
          <cell r="F52">
            <v>1302545.3000000005</v>
          </cell>
          <cell r="I52">
            <v>0</v>
          </cell>
          <cell r="L52">
            <v>144549.64999999994</v>
          </cell>
          <cell r="O52">
            <v>52293.5</v>
          </cell>
          <cell r="R52">
            <v>0</v>
          </cell>
          <cell r="U52">
            <v>2275522.1999999993</v>
          </cell>
        </row>
        <row r="53">
          <cell r="A53">
            <v>42004</v>
          </cell>
          <cell r="B53">
            <v>0</v>
          </cell>
          <cell r="C53">
            <v>2696364.75</v>
          </cell>
          <cell r="F53">
            <v>930389.50000000047</v>
          </cell>
          <cell r="I53">
            <v>0</v>
          </cell>
          <cell r="L53">
            <v>103249.74999999994</v>
          </cell>
          <cell r="O53">
            <v>37352.5</v>
          </cell>
          <cell r="R53">
            <v>0</v>
          </cell>
          <cell r="U53">
            <v>1625372.9999999993</v>
          </cell>
        </row>
        <row r="54">
          <cell r="A54">
            <v>42369</v>
          </cell>
          <cell r="B54">
            <v>0</v>
          </cell>
          <cell r="C54">
            <v>1617818.8499999996</v>
          </cell>
          <cell r="F54">
            <v>558233.70000000042</v>
          </cell>
          <cell r="I54">
            <v>0</v>
          </cell>
          <cell r="L54">
            <v>61949.84999999994</v>
          </cell>
          <cell r="O54">
            <v>22411.5</v>
          </cell>
          <cell r="R54">
            <v>0</v>
          </cell>
          <cell r="U54">
            <v>975223.79999999935</v>
          </cell>
        </row>
        <row r="55">
          <cell r="A55">
            <v>42735</v>
          </cell>
          <cell r="B55">
            <v>0</v>
          </cell>
          <cell r="C55">
            <v>539272.94999999972</v>
          </cell>
          <cell r="F55">
            <v>186077.90000000043</v>
          </cell>
          <cell r="I55">
            <v>0</v>
          </cell>
          <cell r="L55">
            <v>20649.949999999939</v>
          </cell>
          <cell r="O55">
            <v>7470.5</v>
          </cell>
          <cell r="R55">
            <v>0</v>
          </cell>
          <cell r="U55">
            <v>325074.59999999939</v>
          </cell>
        </row>
        <row r="56">
          <cell r="A56">
            <v>43100</v>
          </cell>
          <cell r="B56">
            <v>0</v>
          </cell>
          <cell r="C56">
            <v>0</v>
          </cell>
          <cell r="F56">
            <v>0</v>
          </cell>
          <cell r="I56">
            <v>0</v>
          </cell>
          <cell r="L56">
            <v>0</v>
          </cell>
          <cell r="O56">
            <v>0</v>
          </cell>
          <cell r="R56">
            <v>0</v>
          </cell>
          <cell r="U56">
            <v>0</v>
          </cell>
        </row>
      </sheetData>
      <sheetData sheetId="19">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39447</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39813</v>
          </cell>
          <cell r="B29">
            <v>0</v>
          </cell>
          <cell r="C29">
            <v>913727.2</v>
          </cell>
          <cell r="D29">
            <v>0</v>
          </cell>
          <cell r="E29">
            <v>0</v>
          </cell>
          <cell r="F29">
            <v>304540</v>
          </cell>
          <cell r="G29">
            <v>0</v>
          </cell>
          <cell r="H29">
            <v>0</v>
          </cell>
          <cell r="I29">
            <v>0</v>
          </cell>
          <cell r="J29">
            <v>0</v>
          </cell>
          <cell r="K29">
            <v>0</v>
          </cell>
          <cell r="L29">
            <v>73606.8</v>
          </cell>
          <cell r="M29">
            <v>0</v>
          </cell>
          <cell r="N29">
            <v>0</v>
          </cell>
          <cell r="O29">
            <v>27164.6</v>
          </cell>
          <cell r="P29">
            <v>0</v>
          </cell>
          <cell r="Q29">
            <v>0</v>
          </cell>
          <cell r="R29">
            <v>0</v>
          </cell>
          <cell r="S29">
            <v>0</v>
          </cell>
          <cell r="T29">
            <v>0</v>
          </cell>
          <cell r="U29">
            <v>508415.8</v>
          </cell>
        </row>
        <row r="30">
          <cell r="A30">
            <v>40178</v>
          </cell>
          <cell r="B30">
            <v>0</v>
          </cell>
          <cell r="C30">
            <v>913727.2</v>
          </cell>
          <cell r="D30">
            <v>0</v>
          </cell>
          <cell r="E30">
            <v>0</v>
          </cell>
          <cell r="F30">
            <v>304540</v>
          </cell>
          <cell r="G30">
            <v>0</v>
          </cell>
          <cell r="H30">
            <v>0</v>
          </cell>
          <cell r="I30">
            <v>0</v>
          </cell>
          <cell r="J30">
            <v>0</v>
          </cell>
          <cell r="K30">
            <v>0</v>
          </cell>
          <cell r="L30">
            <v>73606.8</v>
          </cell>
          <cell r="M30">
            <v>0</v>
          </cell>
          <cell r="N30">
            <v>0</v>
          </cell>
          <cell r="O30">
            <v>27164.6</v>
          </cell>
          <cell r="P30">
            <v>0</v>
          </cell>
          <cell r="Q30">
            <v>0</v>
          </cell>
          <cell r="R30">
            <v>0</v>
          </cell>
          <cell r="S30">
            <v>0</v>
          </cell>
          <cell r="T30">
            <v>0</v>
          </cell>
          <cell r="U30">
            <v>508415.8</v>
          </cell>
        </row>
        <row r="31">
          <cell r="A31">
            <v>40543</v>
          </cell>
          <cell r="B31">
            <v>0</v>
          </cell>
          <cell r="C31">
            <v>913727.2</v>
          </cell>
          <cell r="D31">
            <v>0</v>
          </cell>
          <cell r="E31">
            <v>0</v>
          </cell>
          <cell r="F31">
            <v>304540</v>
          </cell>
          <cell r="G31">
            <v>0</v>
          </cell>
          <cell r="H31">
            <v>0</v>
          </cell>
          <cell r="I31">
            <v>0</v>
          </cell>
          <cell r="J31">
            <v>0</v>
          </cell>
          <cell r="K31">
            <v>0</v>
          </cell>
          <cell r="L31">
            <v>73606.8</v>
          </cell>
          <cell r="M31">
            <v>0</v>
          </cell>
          <cell r="N31">
            <v>0</v>
          </cell>
          <cell r="O31">
            <v>27164.6</v>
          </cell>
          <cell r="P31">
            <v>0</v>
          </cell>
          <cell r="Q31">
            <v>0</v>
          </cell>
          <cell r="R31">
            <v>0</v>
          </cell>
          <cell r="S31">
            <v>0</v>
          </cell>
          <cell r="T31">
            <v>0</v>
          </cell>
          <cell r="U31">
            <v>508415.8</v>
          </cell>
        </row>
        <row r="32">
          <cell r="A32">
            <v>40908</v>
          </cell>
          <cell r="B32">
            <v>0</v>
          </cell>
          <cell r="C32">
            <v>913727.2</v>
          </cell>
          <cell r="D32">
            <v>0</v>
          </cell>
          <cell r="E32">
            <v>0</v>
          </cell>
          <cell r="F32">
            <v>304540</v>
          </cell>
          <cell r="G32">
            <v>0</v>
          </cell>
          <cell r="H32">
            <v>0</v>
          </cell>
          <cell r="I32">
            <v>0</v>
          </cell>
          <cell r="J32">
            <v>0</v>
          </cell>
          <cell r="K32">
            <v>0</v>
          </cell>
          <cell r="L32">
            <v>73606.8</v>
          </cell>
          <cell r="M32">
            <v>0</v>
          </cell>
          <cell r="N32">
            <v>0</v>
          </cell>
          <cell r="O32">
            <v>27164.6</v>
          </cell>
          <cell r="P32">
            <v>0</v>
          </cell>
          <cell r="Q32">
            <v>0</v>
          </cell>
          <cell r="R32">
            <v>0</v>
          </cell>
          <cell r="S32">
            <v>0</v>
          </cell>
          <cell r="T32">
            <v>0</v>
          </cell>
          <cell r="U32">
            <v>508415.8</v>
          </cell>
        </row>
        <row r="33">
          <cell r="A33">
            <v>41274</v>
          </cell>
          <cell r="B33">
            <v>0</v>
          </cell>
          <cell r="C33">
            <v>913727.2</v>
          </cell>
          <cell r="D33">
            <v>0</v>
          </cell>
          <cell r="E33">
            <v>0</v>
          </cell>
          <cell r="F33">
            <v>304540</v>
          </cell>
          <cell r="G33">
            <v>0</v>
          </cell>
          <cell r="H33">
            <v>0</v>
          </cell>
          <cell r="I33">
            <v>0</v>
          </cell>
          <cell r="J33">
            <v>0</v>
          </cell>
          <cell r="K33">
            <v>0</v>
          </cell>
          <cell r="L33">
            <v>73606.8</v>
          </cell>
          <cell r="M33">
            <v>0</v>
          </cell>
          <cell r="N33">
            <v>0</v>
          </cell>
          <cell r="O33">
            <v>27164.6</v>
          </cell>
          <cell r="P33">
            <v>0</v>
          </cell>
          <cell r="Q33">
            <v>0</v>
          </cell>
          <cell r="R33">
            <v>0</v>
          </cell>
          <cell r="S33">
            <v>0</v>
          </cell>
          <cell r="T33">
            <v>0</v>
          </cell>
          <cell r="U33">
            <v>508415.8</v>
          </cell>
        </row>
        <row r="34">
          <cell r="A34">
            <v>41639</v>
          </cell>
          <cell r="B34">
            <v>0</v>
          </cell>
          <cell r="C34">
            <v>913727.2</v>
          </cell>
          <cell r="D34">
            <v>0</v>
          </cell>
          <cell r="E34">
            <v>0</v>
          </cell>
          <cell r="F34">
            <v>304540</v>
          </cell>
          <cell r="G34">
            <v>0</v>
          </cell>
          <cell r="H34">
            <v>0</v>
          </cell>
          <cell r="I34">
            <v>0</v>
          </cell>
          <cell r="J34">
            <v>0</v>
          </cell>
          <cell r="K34">
            <v>0</v>
          </cell>
          <cell r="L34">
            <v>73606.8</v>
          </cell>
          <cell r="M34">
            <v>0</v>
          </cell>
          <cell r="N34">
            <v>0</v>
          </cell>
          <cell r="O34">
            <v>27164.6</v>
          </cell>
          <cell r="P34">
            <v>0</v>
          </cell>
          <cell r="Q34">
            <v>0</v>
          </cell>
          <cell r="R34">
            <v>0</v>
          </cell>
          <cell r="S34">
            <v>0</v>
          </cell>
          <cell r="T34">
            <v>0</v>
          </cell>
          <cell r="U34">
            <v>508415.8</v>
          </cell>
        </row>
        <row r="35">
          <cell r="A35">
            <v>42004</v>
          </cell>
          <cell r="B35">
            <v>0</v>
          </cell>
          <cell r="C35">
            <v>913727.2</v>
          </cell>
          <cell r="D35">
            <v>0</v>
          </cell>
          <cell r="E35">
            <v>0</v>
          </cell>
          <cell r="F35">
            <v>304540</v>
          </cell>
          <cell r="G35">
            <v>0</v>
          </cell>
          <cell r="H35">
            <v>0</v>
          </cell>
          <cell r="I35">
            <v>0</v>
          </cell>
          <cell r="J35">
            <v>0</v>
          </cell>
          <cell r="K35">
            <v>0</v>
          </cell>
          <cell r="L35">
            <v>73606.8</v>
          </cell>
          <cell r="M35">
            <v>0</v>
          </cell>
          <cell r="N35">
            <v>0</v>
          </cell>
          <cell r="O35">
            <v>27164.6</v>
          </cell>
          <cell r="P35">
            <v>0</v>
          </cell>
          <cell r="Q35">
            <v>0</v>
          </cell>
          <cell r="R35">
            <v>0</v>
          </cell>
          <cell r="S35">
            <v>0</v>
          </cell>
          <cell r="T35">
            <v>0</v>
          </cell>
          <cell r="U35">
            <v>508415.8</v>
          </cell>
        </row>
        <row r="36">
          <cell r="A36">
            <v>42369</v>
          </cell>
          <cell r="B36">
            <v>0</v>
          </cell>
          <cell r="C36">
            <v>913727.2</v>
          </cell>
          <cell r="D36">
            <v>0</v>
          </cell>
          <cell r="E36">
            <v>0</v>
          </cell>
          <cell r="F36">
            <v>304540</v>
          </cell>
          <cell r="G36">
            <v>0</v>
          </cell>
          <cell r="H36">
            <v>0</v>
          </cell>
          <cell r="I36">
            <v>0</v>
          </cell>
          <cell r="J36">
            <v>0</v>
          </cell>
          <cell r="K36">
            <v>0</v>
          </cell>
          <cell r="L36">
            <v>73606.8</v>
          </cell>
          <cell r="M36">
            <v>0</v>
          </cell>
          <cell r="N36">
            <v>0</v>
          </cell>
          <cell r="O36">
            <v>27164.6</v>
          </cell>
          <cell r="P36">
            <v>0</v>
          </cell>
          <cell r="Q36">
            <v>0</v>
          </cell>
          <cell r="R36">
            <v>0</v>
          </cell>
          <cell r="S36">
            <v>0</v>
          </cell>
          <cell r="T36">
            <v>0</v>
          </cell>
          <cell r="U36">
            <v>508415.8</v>
          </cell>
        </row>
        <row r="37">
          <cell r="A37">
            <v>42735</v>
          </cell>
          <cell r="B37">
            <v>0</v>
          </cell>
          <cell r="C37">
            <v>913727.2</v>
          </cell>
          <cell r="D37">
            <v>0</v>
          </cell>
          <cell r="E37">
            <v>0</v>
          </cell>
          <cell r="F37">
            <v>304540</v>
          </cell>
          <cell r="G37">
            <v>0</v>
          </cell>
          <cell r="H37">
            <v>0</v>
          </cell>
          <cell r="I37">
            <v>0</v>
          </cell>
          <cell r="J37">
            <v>0</v>
          </cell>
          <cell r="K37">
            <v>0</v>
          </cell>
          <cell r="L37">
            <v>73606.8</v>
          </cell>
          <cell r="M37">
            <v>0</v>
          </cell>
          <cell r="N37">
            <v>0</v>
          </cell>
          <cell r="O37">
            <v>27164.6</v>
          </cell>
          <cell r="P37">
            <v>0</v>
          </cell>
          <cell r="Q37">
            <v>0</v>
          </cell>
          <cell r="R37">
            <v>0</v>
          </cell>
          <cell r="S37">
            <v>0</v>
          </cell>
          <cell r="T37">
            <v>0</v>
          </cell>
          <cell r="U37">
            <v>508415.8</v>
          </cell>
        </row>
        <row r="38">
          <cell r="A38">
            <v>43100</v>
          </cell>
          <cell r="B38">
            <v>0</v>
          </cell>
          <cell r="C38">
            <v>913727.2</v>
          </cell>
          <cell r="D38">
            <v>0</v>
          </cell>
          <cell r="E38">
            <v>0</v>
          </cell>
          <cell r="F38">
            <v>304540</v>
          </cell>
          <cell r="G38">
            <v>0</v>
          </cell>
          <cell r="H38">
            <v>0</v>
          </cell>
          <cell r="I38">
            <v>0</v>
          </cell>
          <cell r="J38">
            <v>0</v>
          </cell>
          <cell r="K38">
            <v>0</v>
          </cell>
          <cell r="L38">
            <v>73606.8</v>
          </cell>
          <cell r="M38">
            <v>0</v>
          </cell>
          <cell r="N38">
            <v>0</v>
          </cell>
          <cell r="O38">
            <v>27164.6</v>
          </cell>
          <cell r="P38">
            <v>0</v>
          </cell>
          <cell r="Q38">
            <v>0</v>
          </cell>
          <cell r="R38">
            <v>0</v>
          </cell>
          <cell r="S38">
            <v>0</v>
          </cell>
          <cell r="T38">
            <v>0</v>
          </cell>
          <cell r="U38">
            <v>508415.8</v>
          </cell>
        </row>
        <row r="39">
          <cell r="A39">
            <v>43465</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39447</v>
          </cell>
          <cell r="B47">
            <v>0</v>
          </cell>
          <cell r="C47">
            <v>0</v>
          </cell>
          <cell r="F47">
            <v>0</v>
          </cell>
          <cell r="I47">
            <v>0</v>
          </cell>
          <cell r="L47">
            <v>0</v>
          </cell>
          <cell r="O47">
            <v>0</v>
          </cell>
          <cell r="R47">
            <v>0</v>
          </cell>
          <cell r="U47">
            <v>0</v>
          </cell>
        </row>
        <row r="48">
          <cell r="A48">
            <v>39813</v>
          </cell>
          <cell r="B48">
            <v>0</v>
          </cell>
          <cell r="C48">
            <v>8680408.4000000004</v>
          </cell>
          <cell r="F48">
            <v>2893130</v>
          </cell>
          <cell r="I48">
            <v>0</v>
          </cell>
          <cell r="L48">
            <v>699264.6</v>
          </cell>
          <cell r="O48">
            <v>258063.7</v>
          </cell>
          <cell r="R48">
            <v>0</v>
          </cell>
          <cell r="U48">
            <v>4829950.0999999996</v>
          </cell>
        </row>
        <row r="49">
          <cell r="A49">
            <v>40178</v>
          </cell>
          <cell r="B49">
            <v>0</v>
          </cell>
          <cell r="C49">
            <v>7766681.1999999993</v>
          </cell>
          <cell r="F49">
            <v>2588590</v>
          </cell>
          <cell r="I49">
            <v>0</v>
          </cell>
          <cell r="L49">
            <v>625657.79999999993</v>
          </cell>
          <cell r="O49">
            <v>230899.1</v>
          </cell>
          <cell r="R49">
            <v>0</v>
          </cell>
          <cell r="U49">
            <v>4321534.3</v>
          </cell>
        </row>
        <row r="50">
          <cell r="A50">
            <v>40543</v>
          </cell>
          <cell r="B50">
            <v>0</v>
          </cell>
          <cell r="C50">
            <v>6852954</v>
          </cell>
          <cell r="F50">
            <v>2284050</v>
          </cell>
          <cell r="I50">
            <v>0</v>
          </cell>
          <cell r="L50">
            <v>552050.99999999988</v>
          </cell>
          <cell r="O50">
            <v>203734.5</v>
          </cell>
          <cell r="R50">
            <v>0</v>
          </cell>
          <cell r="U50">
            <v>3813118.5</v>
          </cell>
        </row>
        <row r="51">
          <cell r="A51">
            <v>40908</v>
          </cell>
          <cell r="B51">
            <v>0</v>
          </cell>
          <cell r="C51">
            <v>5939226.7999999998</v>
          </cell>
          <cell r="F51">
            <v>1979510</v>
          </cell>
          <cell r="I51">
            <v>0</v>
          </cell>
          <cell r="L51">
            <v>478444.1999999999</v>
          </cell>
          <cell r="O51">
            <v>176569.9</v>
          </cell>
          <cell r="R51">
            <v>0</v>
          </cell>
          <cell r="U51">
            <v>3304702.7</v>
          </cell>
        </row>
        <row r="52">
          <cell r="A52">
            <v>41274</v>
          </cell>
          <cell r="B52">
            <v>0</v>
          </cell>
          <cell r="C52">
            <v>5025499.5999999996</v>
          </cell>
          <cell r="F52">
            <v>1674970</v>
          </cell>
          <cell r="I52">
            <v>0</v>
          </cell>
          <cell r="L52">
            <v>404837.39999999991</v>
          </cell>
          <cell r="O52">
            <v>149405.29999999999</v>
          </cell>
          <cell r="R52">
            <v>0</v>
          </cell>
          <cell r="U52">
            <v>2796286.9000000004</v>
          </cell>
        </row>
        <row r="53">
          <cell r="A53">
            <v>41639</v>
          </cell>
          <cell r="B53">
            <v>0</v>
          </cell>
          <cell r="C53">
            <v>4111772.4000000004</v>
          </cell>
          <cell r="F53">
            <v>1370430</v>
          </cell>
          <cell r="I53">
            <v>0</v>
          </cell>
          <cell r="L53">
            <v>331230.59999999992</v>
          </cell>
          <cell r="O53">
            <v>122240.69999999998</v>
          </cell>
          <cell r="R53">
            <v>0</v>
          </cell>
          <cell r="U53">
            <v>2287871.1000000006</v>
          </cell>
        </row>
        <row r="54">
          <cell r="A54">
            <v>42004</v>
          </cell>
          <cell r="B54">
            <v>0</v>
          </cell>
          <cell r="C54">
            <v>3198045.2</v>
          </cell>
          <cell r="F54">
            <v>1065890</v>
          </cell>
          <cell r="I54">
            <v>0</v>
          </cell>
          <cell r="L54">
            <v>257623.79999999993</v>
          </cell>
          <cell r="O54">
            <v>95076.099999999977</v>
          </cell>
          <cell r="R54">
            <v>0</v>
          </cell>
          <cell r="U54">
            <v>1779455.3000000005</v>
          </cell>
        </row>
        <row r="55">
          <cell r="A55">
            <v>42369</v>
          </cell>
          <cell r="B55">
            <v>0</v>
          </cell>
          <cell r="C55">
            <v>2284318.0000000005</v>
          </cell>
          <cell r="F55">
            <v>761350</v>
          </cell>
          <cell r="I55">
            <v>0</v>
          </cell>
          <cell r="L55">
            <v>184016.99999999994</v>
          </cell>
          <cell r="O55">
            <v>67911.499999999971</v>
          </cell>
          <cell r="R55">
            <v>0</v>
          </cell>
          <cell r="U55">
            <v>1271039.5000000005</v>
          </cell>
        </row>
        <row r="56">
          <cell r="A56">
            <v>42735</v>
          </cell>
          <cell r="B56">
            <v>0</v>
          </cell>
          <cell r="C56">
            <v>1370590.8000000003</v>
          </cell>
          <cell r="F56">
            <v>456810</v>
          </cell>
          <cell r="I56">
            <v>0</v>
          </cell>
          <cell r="L56">
            <v>110410.19999999994</v>
          </cell>
          <cell r="O56">
            <v>40746.899999999972</v>
          </cell>
          <cell r="R56">
            <v>0</v>
          </cell>
          <cell r="U56">
            <v>762623.70000000042</v>
          </cell>
        </row>
        <row r="57">
          <cell r="A57">
            <v>43100</v>
          </cell>
          <cell r="B57">
            <v>0</v>
          </cell>
          <cell r="C57">
            <v>456863.60000000033</v>
          </cell>
          <cell r="F57">
            <v>152270</v>
          </cell>
          <cell r="I57">
            <v>0</v>
          </cell>
          <cell r="L57">
            <v>36803.399999999936</v>
          </cell>
          <cell r="O57">
            <v>13582.299999999974</v>
          </cell>
          <cell r="R57">
            <v>0</v>
          </cell>
          <cell r="U57">
            <v>254207.90000000043</v>
          </cell>
        </row>
        <row r="58">
          <cell r="A58">
            <v>43465</v>
          </cell>
          <cell r="B58">
            <v>0</v>
          </cell>
          <cell r="C58">
            <v>0</v>
          </cell>
          <cell r="F58">
            <v>0</v>
          </cell>
          <cell r="I58">
            <v>0</v>
          </cell>
          <cell r="L58">
            <v>0</v>
          </cell>
          <cell r="O58">
            <v>0</v>
          </cell>
          <cell r="R58">
            <v>0</v>
          </cell>
          <cell r="U58">
            <v>0</v>
          </cell>
        </row>
      </sheetData>
      <sheetData sheetId="20">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39813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40178</v>
          </cell>
          <cell r="B29">
            <v>0</v>
          </cell>
          <cell r="C29">
            <v>292197</v>
          </cell>
          <cell r="D29">
            <v>0</v>
          </cell>
          <cell r="E29">
            <v>0</v>
          </cell>
          <cell r="F29">
            <v>279959.8</v>
          </cell>
          <cell r="G29">
            <v>0</v>
          </cell>
          <cell r="H29">
            <v>0</v>
          </cell>
          <cell r="I29">
            <v>0</v>
          </cell>
          <cell r="J29">
            <v>0</v>
          </cell>
          <cell r="K29">
            <v>0</v>
          </cell>
          <cell r="L29">
            <v>0</v>
          </cell>
          <cell r="M29">
            <v>0</v>
          </cell>
          <cell r="N29">
            <v>0</v>
          </cell>
          <cell r="O29">
            <v>12237.2</v>
          </cell>
          <cell r="P29">
            <v>0</v>
          </cell>
          <cell r="Q29">
            <v>0</v>
          </cell>
          <cell r="R29">
            <v>0</v>
          </cell>
          <cell r="S29">
            <v>0</v>
          </cell>
          <cell r="T29">
            <v>0</v>
          </cell>
          <cell r="U29">
            <v>0</v>
          </cell>
        </row>
        <row r="30">
          <cell r="A30">
            <v>40543</v>
          </cell>
          <cell r="B30">
            <v>0</v>
          </cell>
          <cell r="C30">
            <v>292197</v>
          </cell>
          <cell r="D30">
            <v>0</v>
          </cell>
          <cell r="E30">
            <v>0</v>
          </cell>
          <cell r="F30">
            <v>279959.8</v>
          </cell>
          <cell r="G30">
            <v>0</v>
          </cell>
          <cell r="H30">
            <v>0</v>
          </cell>
          <cell r="I30">
            <v>0</v>
          </cell>
          <cell r="J30">
            <v>0</v>
          </cell>
          <cell r="K30">
            <v>0</v>
          </cell>
          <cell r="L30">
            <v>0</v>
          </cell>
          <cell r="M30">
            <v>0</v>
          </cell>
          <cell r="N30">
            <v>0</v>
          </cell>
          <cell r="O30">
            <v>12237.2</v>
          </cell>
          <cell r="P30">
            <v>0</v>
          </cell>
          <cell r="Q30">
            <v>0</v>
          </cell>
          <cell r="R30">
            <v>0</v>
          </cell>
          <cell r="S30">
            <v>0</v>
          </cell>
          <cell r="T30">
            <v>0</v>
          </cell>
          <cell r="U30">
            <v>0</v>
          </cell>
        </row>
        <row r="31">
          <cell r="A31">
            <v>40908</v>
          </cell>
          <cell r="B31">
            <v>0</v>
          </cell>
          <cell r="C31">
            <v>292197</v>
          </cell>
          <cell r="D31">
            <v>0</v>
          </cell>
          <cell r="E31">
            <v>0</v>
          </cell>
          <cell r="F31">
            <v>279959.8</v>
          </cell>
          <cell r="G31">
            <v>0</v>
          </cell>
          <cell r="H31">
            <v>0</v>
          </cell>
          <cell r="I31">
            <v>0</v>
          </cell>
          <cell r="J31">
            <v>0</v>
          </cell>
          <cell r="K31">
            <v>0</v>
          </cell>
          <cell r="L31">
            <v>0</v>
          </cell>
          <cell r="M31">
            <v>0</v>
          </cell>
          <cell r="N31">
            <v>0</v>
          </cell>
          <cell r="O31">
            <v>12237.2</v>
          </cell>
          <cell r="P31">
            <v>0</v>
          </cell>
          <cell r="Q31">
            <v>0</v>
          </cell>
          <cell r="R31">
            <v>0</v>
          </cell>
          <cell r="S31">
            <v>0</v>
          </cell>
          <cell r="T31">
            <v>0</v>
          </cell>
          <cell r="U31">
            <v>0</v>
          </cell>
        </row>
        <row r="32">
          <cell r="A32">
            <v>41274</v>
          </cell>
          <cell r="B32">
            <v>0</v>
          </cell>
          <cell r="C32">
            <v>292197</v>
          </cell>
          <cell r="D32">
            <v>0</v>
          </cell>
          <cell r="E32">
            <v>0</v>
          </cell>
          <cell r="F32">
            <v>279959.8</v>
          </cell>
          <cell r="G32">
            <v>0</v>
          </cell>
          <cell r="H32">
            <v>0</v>
          </cell>
          <cell r="I32">
            <v>0</v>
          </cell>
          <cell r="J32">
            <v>0</v>
          </cell>
          <cell r="K32">
            <v>0</v>
          </cell>
          <cell r="L32">
            <v>0</v>
          </cell>
          <cell r="M32">
            <v>0</v>
          </cell>
          <cell r="N32">
            <v>0</v>
          </cell>
          <cell r="O32">
            <v>12237.2</v>
          </cell>
          <cell r="P32">
            <v>0</v>
          </cell>
          <cell r="Q32">
            <v>0</v>
          </cell>
          <cell r="R32">
            <v>0</v>
          </cell>
          <cell r="S32">
            <v>0</v>
          </cell>
          <cell r="T32">
            <v>0</v>
          </cell>
          <cell r="U32">
            <v>0</v>
          </cell>
        </row>
        <row r="33">
          <cell r="A33">
            <v>41639</v>
          </cell>
          <cell r="B33">
            <v>0</v>
          </cell>
          <cell r="C33">
            <v>292197</v>
          </cell>
          <cell r="D33">
            <v>0</v>
          </cell>
          <cell r="E33">
            <v>0</v>
          </cell>
          <cell r="F33">
            <v>279959.8</v>
          </cell>
          <cell r="G33">
            <v>0</v>
          </cell>
          <cell r="H33">
            <v>0</v>
          </cell>
          <cell r="I33">
            <v>0</v>
          </cell>
          <cell r="J33">
            <v>0</v>
          </cell>
          <cell r="K33">
            <v>0</v>
          </cell>
          <cell r="L33">
            <v>0</v>
          </cell>
          <cell r="M33">
            <v>0</v>
          </cell>
          <cell r="N33">
            <v>0</v>
          </cell>
          <cell r="O33">
            <v>12237.2</v>
          </cell>
          <cell r="P33">
            <v>0</v>
          </cell>
          <cell r="Q33">
            <v>0</v>
          </cell>
          <cell r="R33">
            <v>0</v>
          </cell>
          <cell r="S33">
            <v>0</v>
          </cell>
          <cell r="T33">
            <v>0</v>
          </cell>
          <cell r="U33">
            <v>0</v>
          </cell>
        </row>
        <row r="34">
          <cell r="A34">
            <v>42004</v>
          </cell>
          <cell r="B34">
            <v>0</v>
          </cell>
          <cell r="C34">
            <v>292197</v>
          </cell>
          <cell r="D34">
            <v>0</v>
          </cell>
          <cell r="E34">
            <v>0</v>
          </cell>
          <cell r="F34">
            <v>279959.8</v>
          </cell>
          <cell r="G34">
            <v>0</v>
          </cell>
          <cell r="H34">
            <v>0</v>
          </cell>
          <cell r="I34">
            <v>0</v>
          </cell>
          <cell r="J34">
            <v>0</v>
          </cell>
          <cell r="K34">
            <v>0</v>
          </cell>
          <cell r="L34">
            <v>0</v>
          </cell>
          <cell r="M34">
            <v>0</v>
          </cell>
          <cell r="N34">
            <v>0</v>
          </cell>
          <cell r="O34">
            <v>12237.2</v>
          </cell>
          <cell r="P34">
            <v>0</v>
          </cell>
          <cell r="Q34">
            <v>0</v>
          </cell>
          <cell r="R34">
            <v>0</v>
          </cell>
          <cell r="S34">
            <v>0</v>
          </cell>
          <cell r="T34">
            <v>0</v>
          </cell>
          <cell r="U34">
            <v>0</v>
          </cell>
        </row>
        <row r="35">
          <cell r="A35">
            <v>42369</v>
          </cell>
          <cell r="B35">
            <v>0</v>
          </cell>
          <cell r="C35">
            <v>292197</v>
          </cell>
          <cell r="D35">
            <v>0</v>
          </cell>
          <cell r="E35">
            <v>0</v>
          </cell>
          <cell r="F35">
            <v>279959.8</v>
          </cell>
          <cell r="G35">
            <v>0</v>
          </cell>
          <cell r="H35">
            <v>0</v>
          </cell>
          <cell r="I35">
            <v>0</v>
          </cell>
          <cell r="J35">
            <v>0</v>
          </cell>
          <cell r="K35">
            <v>0</v>
          </cell>
          <cell r="L35">
            <v>0</v>
          </cell>
          <cell r="M35">
            <v>0</v>
          </cell>
          <cell r="N35">
            <v>0</v>
          </cell>
          <cell r="O35">
            <v>12237.2</v>
          </cell>
          <cell r="P35">
            <v>0</v>
          </cell>
          <cell r="Q35">
            <v>0</v>
          </cell>
          <cell r="R35">
            <v>0</v>
          </cell>
          <cell r="S35">
            <v>0</v>
          </cell>
          <cell r="T35">
            <v>0</v>
          </cell>
          <cell r="U35">
            <v>0</v>
          </cell>
        </row>
        <row r="36">
          <cell r="A36">
            <v>42735</v>
          </cell>
          <cell r="B36">
            <v>0</v>
          </cell>
          <cell r="C36">
            <v>292197</v>
          </cell>
          <cell r="D36">
            <v>0</v>
          </cell>
          <cell r="E36">
            <v>0</v>
          </cell>
          <cell r="F36">
            <v>279959.8</v>
          </cell>
          <cell r="G36">
            <v>0</v>
          </cell>
          <cell r="H36">
            <v>0</v>
          </cell>
          <cell r="I36">
            <v>0</v>
          </cell>
          <cell r="J36">
            <v>0</v>
          </cell>
          <cell r="K36">
            <v>0</v>
          </cell>
          <cell r="L36">
            <v>0</v>
          </cell>
          <cell r="M36">
            <v>0</v>
          </cell>
          <cell r="N36">
            <v>0</v>
          </cell>
          <cell r="O36">
            <v>12237.2</v>
          </cell>
          <cell r="P36">
            <v>0</v>
          </cell>
          <cell r="Q36">
            <v>0</v>
          </cell>
          <cell r="R36">
            <v>0</v>
          </cell>
          <cell r="S36">
            <v>0</v>
          </cell>
          <cell r="T36">
            <v>0</v>
          </cell>
          <cell r="U36">
            <v>0</v>
          </cell>
        </row>
        <row r="37">
          <cell r="A37">
            <v>43100</v>
          </cell>
          <cell r="B37">
            <v>0</v>
          </cell>
          <cell r="C37">
            <v>292197</v>
          </cell>
          <cell r="D37">
            <v>0</v>
          </cell>
          <cell r="E37">
            <v>0</v>
          </cell>
          <cell r="F37">
            <v>279959.8</v>
          </cell>
          <cell r="G37">
            <v>0</v>
          </cell>
          <cell r="H37">
            <v>0</v>
          </cell>
          <cell r="I37">
            <v>0</v>
          </cell>
          <cell r="J37">
            <v>0</v>
          </cell>
          <cell r="K37">
            <v>0</v>
          </cell>
          <cell r="L37">
            <v>0</v>
          </cell>
          <cell r="M37">
            <v>0</v>
          </cell>
          <cell r="N37">
            <v>0</v>
          </cell>
          <cell r="O37">
            <v>12237.2</v>
          </cell>
          <cell r="P37">
            <v>0</v>
          </cell>
          <cell r="Q37">
            <v>0</v>
          </cell>
          <cell r="R37">
            <v>0</v>
          </cell>
          <cell r="S37">
            <v>0</v>
          </cell>
          <cell r="T37">
            <v>0</v>
          </cell>
          <cell r="U37">
            <v>0</v>
          </cell>
        </row>
        <row r="38">
          <cell r="A38">
            <v>43465</v>
          </cell>
          <cell r="B38">
            <v>0</v>
          </cell>
          <cell r="C38">
            <v>292197</v>
          </cell>
          <cell r="D38">
            <v>0</v>
          </cell>
          <cell r="E38">
            <v>0</v>
          </cell>
          <cell r="F38">
            <v>279959.8</v>
          </cell>
          <cell r="G38">
            <v>0</v>
          </cell>
          <cell r="H38">
            <v>0</v>
          </cell>
          <cell r="I38">
            <v>0</v>
          </cell>
          <cell r="J38">
            <v>0</v>
          </cell>
          <cell r="K38">
            <v>0</v>
          </cell>
          <cell r="L38">
            <v>0</v>
          </cell>
          <cell r="M38">
            <v>0</v>
          </cell>
          <cell r="N38">
            <v>0</v>
          </cell>
          <cell r="O38">
            <v>12237.2</v>
          </cell>
          <cell r="P38">
            <v>0</v>
          </cell>
          <cell r="Q38">
            <v>0</v>
          </cell>
          <cell r="R38">
            <v>0</v>
          </cell>
          <cell r="S38">
            <v>0</v>
          </cell>
          <cell r="T38">
            <v>0</v>
          </cell>
          <cell r="U38">
            <v>0</v>
          </cell>
        </row>
        <row r="39">
          <cell r="A39">
            <v>43830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39813</v>
          </cell>
          <cell r="B47">
            <v>0</v>
          </cell>
          <cell r="C47">
            <v>0</v>
          </cell>
          <cell r="F47">
            <v>0</v>
          </cell>
          <cell r="I47">
            <v>0</v>
          </cell>
          <cell r="L47">
            <v>0</v>
          </cell>
          <cell r="O47">
            <v>0</v>
          </cell>
          <cell r="R47">
            <v>0</v>
          </cell>
          <cell r="U47">
            <v>0</v>
          </cell>
        </row>
        <row r="48">
          <cell r="A48">
            <v>40178</v>
          </cell>
          <cell r="B48">
            <v>0</v>
          </cell>
          <cell r="C48">
            <v>2775871.5</v>
          </cell>
          <cell r="F48">
            <v>2659618.1</v>
          </cell>
          <cell r="I48">
            <v>0</v>
          </cell>
          <cell r="L48">
            <v>0</v>
          </cell>
          <cell r="O48">
            <v>116253.4</v>
          </cell>
          <cell r="R48">
            <v>0</v>
          </cell>
          <cell r="U48">
            <v>0</v>
          </cell>
        </row>
        <row r="49">
          <cell r="A49">
            <v>40543</v>
          </cell>
          <cell r="B49">
            <v>0</v>
          </cell>
          <cell r="C49">
            <v>2483674.5000000005</v>
          </cell>
          <cell r="F49">
            <v>2379658.3000000003</v>
          </cell>
          <cell r="I49">
            <v>0</v>
          </cell>
          <cell r="L49">
            <v>0</v>
          </cell>
          <cell r="O49">
            <v>104016.2</v>
          </cell>
          <cell r="R49">
            <v>0</v>
          </cell>
          <cell r="U49">
            <v>0</v>
          </cell>
        </row>
        <row r="50">
          <cell r="A50">
            <v>40908</v>
          </cell>
          <cell r="B50">
            <v>0</v>
          </cell>
          <cell r="C50">
            <v>2191477.5000000005</v>
          </cell>
          <cell r="F50">
            <v>2099698.5000000005</v>
          </cell>
          <cell r="I50">
            <v>0</v>
          </cell>
          <cell r="L50">
            <v>0</v>
          </cell>
          <cell r="O50">
            <v>91779</v>
          </cell>
          <cell r="R50">
            <v>0</v>
          </cell>
          <cell r="U50">
            <v>0</v>
          </cell>
        </row>
        <row r="51">
          <cell r="A51">
            <v>41274</v>
          </cell>
          <cell r="B51">
            <v>0</v>
          </cell>
          <cell r="C51">
            <v>1899280.5000000005</v>
          </cell>
          <cell r="F51">
            <v>1819738.7000000004</v>
          </cell>
          <cell r="I51">
            <v>0</v>
          </cell>
          <cell r="L51">
            <v>0</v>
          </cell>
          <cell r="O51">
            <v>79541.8</v>
          </cell>
          <cell r="R51">
            <v>0</v>
          </cell>
          <cell r="U51">
            <v>0</v>
          </cell>
        </row>
        <row r="52">
          <cell r="A52">
            <v>41639</v>
          </cell>
          <cell r="B52">
            <v>0</v>
          </cell>
          <cell r="C52">
            <v>1607083.5000000005</v>
          </cell>
          <cell r="F52">
            <v>1539778.9000000004</v>
          </cell>
          <cell r="I52">
            <v>0</v>
          </cell>
          <cell r="L52">
            <v>0</v>
          </cell>
          <cell r="O52">
            <v>67304.600000000006</v>
          </cell>
          <cell r="R52">
            <v>0</v>
          </cell>
          <cell r="U52">
            <v>0</v>
          </cell>
        </row>
        <row r="53">
          <cell r="A53">
            <v>42004</v>
          </cell>
          <cell r="B53">
            <v>0</v>
          </cell>
          <cell r="C53">
            <v>1314886.5000000002</v>
          </cell>
          <cell r="F53">
            <v>1259819.1000000003</v>
          </cell>
          <cell r="I53">
            <v>0</v>
          </cell>
          <cell r="L53">
            <v>0</v>
          </cell>
          <cell r="O53">
            <v>55067.400000000009</v>
          </cell>
          <cell r="R53">
            <v>0</v>
          </cell>
          <cell r="U53">
            <v>0</v>
          </cell>
        </row>
        <row r="54">
          <cell r="A54">
            <v>42369</v>
          </cell>
          <cell r="B54">
            <v>0</v>
          </cell>
          <cell r="C54">
            <v>1022689.5000000002</v>
          </cell>
          <cell r="F54">
            <v>979859.30000000028</v>
          </cell>
          <cell r="I54">
            <v>0</v>
          </cell>
          <cell r="L54">
            <v>0</v>
          </cell>
          <cell r="O54">
            <v>42830.200000000012</v>
          </cell>
          <cell r="R54">
            <v>0</v>
          </cell>
          <cell r="U54">
            <v>0</v>
          </cell>
        </row>
        <row r="55">
          <cell r="A55">
            <v>42735</v>
          </cell>
          <cell r="B55">
            <v>0</v>
          </cell>
          <cell r="C55">
            <v>730492.50000000023</v>
          </cell>
          <cell r="F55">
            <v>699899.50000000023</v>
          </cell>
          <cell r="I55">
            <v>0</v>
          </cell>
          <cell r="L55">
            <v>0</v>
          </cell>
          <cell r="O55">
            <v>30593.000000000011</v>
          </cell>
          <cell r="R55">
            <v>0</v>
          </cell>
          <cell r="U55">
            <v>0</v>
          </cell>
        </row>
        <row r="56">
          <cell r="A56">
            <v>43100</v>
          </cell>
          <cell r="B56">
            <v>0</v>
          </cell>
          <cell r="C56">
            <v>438295.50000000023</v>
          </cell>
          <cell r="F56">
            <v>419939.70000000024</v>
          </cell>
          <cell r="I56">
            <v>0</v>
          </cell>
          <cell r="L56">
            <v>0</v>
          </cell>
          <cell r="O56">
            <v>18355.80000000001</v>
          </cell>
          <cell r="R56">
            <v>0</v>
          </cell>
          <cell r="U56">
            <v>0</v>
          </cell>
        </row>
        <row r="57">
          <cell r="A57">
            <v>43465</v>
          </cell>
          <cell r="B57">
            <v>0</v>
          </cell>
          <cell r="C57">
            <v>146098.50000000026</v>
          </cell>
          <cell r="F57">
            <v>139979.90000000026</v>
          </cell>
          <cell r="I57">
            <v>0</v>
          </cell>
          <cell r="L57">
            <v>0</v>
          </cell>
          <cell r="O57">
            <v>6118.6000000000095</v>
          </cell>
          <cell r="R57">
            <v>0</v>
          </cell>
          <cell r="U57">
            <v>0</v>
          </cell>
        </row>
        <row r="58">
          <cell r="A58">
            <v>43830</v>
          </cell>
          <cell r="B58">
            <v>0</v>
          </cell>
          <cell r="C58">
            <v>0</v>
          </cell>
          <cell r="F58">
            <v>0</v>
          </cell>
          <cell r="I58">
            <v>0</v>
          </cell>
          <cell r="L58">
            <v>0</v>
          </cell>
          <cell r="O58">
            <v>0</v>
          </cell>
          <cell r="R58">
            <v>0</v>
          </cell>
          <cell r="U58">
            <v>0</v>
          </cell>
        </row>
      </sheetData>
      <sheetData sheetId="21">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40178</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40543</v>
          </cell>
          <cell r="B29">
            <v>0</v>
          </cell>
          <cell r="C29">
            <v>445116.12565089995</v>
          </cell>
          <cell r="D29">
            <v>0</v>
          </cell>
          <cell r="E29">
            <v>0</v>
          </cell>
          <cell r="F29">
            <v>207095.2069621</v>
          </cell>
          <cell r="G29">
            <v>0</v>
          </cell>
          <cell r="H29">
            <v>0</v>
          </cell>
          <cell r="I29">
            <v>0</v>
          </cell>
          <cell r="J29">
            <v>0</v>
          </cell>
          <cell r="K29">
            <v>0</v>
          </cell>
          <cell r="L29">
            <v>13805.867999999999</v>
          </cell>
          <cell r="M29">
            <v>0</v>
          </cell>
          <cell r="N29">
            <v>0</v>
          </cell>
          <cell r="O29">
            <v>224215.05068879999</v>
          </cell>
          <cell r="P29">
            <v>0</v>
          </cell>
          <cell r="Q29">
            <v>0</v>
          </cell>
          <cell r="R29">
            <v>0</v>
          </cell>
          <cell r="S29">
            <v>0</v>
          </cell>
          <cell r="T29">
            <v>0</v>
          </cell>
          <cell r="U29">
            <v>0</v>
          </cell>
        </row>
        <row r="30">
          <cell r="A30">
            <v>40908</v>
          </cell>
          <cell r="B30">
            <v>0</v>
          </cell>
          <cell r="C30">
            <v>445116.12565089995</v>
          </cell>
          <cell r="D30">
            <v>0</v>
          </cell>
          <cell r="E30">
            <v>0</v>
          </cell>
          <cell r="F30">
            <v>207095.2069621</v>
          </cell>
          <cell r="G30">
            <v>0</v>
          </cell>
          <cell r="H30">
            <v>0</v>
          </cell>
          <cell r="I30">
            <v>0</v>
          </cell>
          <cell r="J30">
            <v>0</v>
          </cell>
          <cell r="K30">
            <v>0</v>
          </cell>
          <cell r="L30">
            <v>13805.867999999999</v>
          </cell>
          <cell r="M30">
            <v>0</v>
          </cell>
          <cell r="N30">
            <v>0</v>
          </cell>
          <cell r="O30">
            <v>224215.05068879999</v>
          </cell>
          <cell r="P30">
            <v>0</v>
          </cell>
          <cell r="Q30">
            <v>0</v>
          </cell>
          <cell r="R30">
            <v>0</v>
          </cell>
          <cell r="S30">
            <v>0</v>
          </cell>
          <cell r="T30">
            <v>0</v>
          </cell>
          <cell r="U30">
            <v>0</v>
          </cell>
        </row>
        <row r="31">
          <cell r="A31">
            <v>41274</v>
          </cell>
          <cell r="B31">
            <v>0</v>
          </cell>
          <cell r="C31">
            <v>445116.12565089995</v>
          </cell>
          <cell r="D31">
            <v>0</v>
          </cell>
          <cell r="E31">
            <v>0</v>
          </cell>
          <cell r="F31">
            <v>207095.2069621</v>
          </cell>
          <cell r="G31">
            <v>0</v>
          </cell>
          <cell r="H31">
            <v>0</v>
          </cell>
          <cell r="I31">
            <v>0</v>
          </cell>
          <cell r="J31">
            <v>0</v>
          </cell>
          <cell r="K31">
            <v>0</v>
          </cell>
          <cell r="L31">
            <v>13805.867999999999</v>
          </cell>
          <cell r="M31">
            <v>0</v>
          </cell>
          <cell r="N31">
            <v>0</v>
          </cell>
          <cell r="O31">
            <v>224215.05068879999</v>
          </cell>
          <cell r="P31">
            <v>0</v>
          </cell>
          <cell r="Q31">
            <v>0</v>
          </cell>
          <cell r="R31">
            <v>0</v>
          </cell>
          <cell r="S31">
            <v>0</v>
          </cell>
          <cell r="T31">
            <v>0</v>
          </cell>
          <cell r="U31">
            <v>0</v>
          </cell>
        </row>
        <row r="32">
          <cell r="A32">
            <v>41639</v>
          </cell>
          <cell r="B32">
            <v>0</v>
          </cell>
          <cell r="C32">
            <v>445116.12565089995</v>
          </cell>
          <cell r="D32">
            <v>0</v>
          </cell>
          <cell r="E32">
            <v>0</v>
          </cell>
          <cell r="F32">
            <v>207095.2069621</v>
          </cell>
          <cell r="G32">
            <v>0</v>
          </cell>
          <cell r="H32">
            <v>0</v>
          </cell>
          <cell r="I32">
            <v>0</v>
          </cell>
          <cell r="J32">
            <v>0</v>
          </cell>
          <cell r="K32">
            <v>0</v>
          </cell>
          <cell r="L32">
            <v>13805.867999999999</v>
          </cell>
          <cell r="M32">
            <v>0</v>
          </cell>
          <cell r="N32">
            <v>0</v>
          </cell>
          <cell r="O32">
            <v>224215.05068879999</v>
          </cell>
          <cell r="P32">
            <v>0</v>
          </cell>
          <cell r="Q32">
            <v>0</v>
          </cell>
          <cell r="R32">
            <v>0</v>
          </cell>
          <cell r="S32">
            <v>0</v>
          </cell>
          <cell r="T32">
            <v>0</v>
          </cell>
          <cell r="U32">
            <v>0</v>
          </cell>
        </row>
        <row r="33">
          <cell r="A33">
            <v>42004</v>
          </cell>
          <cell r="B33">
            <v>0</v>
          </cell>
          <cell r="C33">
            <v>445116.12565089995</v>
          </cell>
          <cell r="D33">
            <v>0</v>
          </cell>
          <cell r="E33">
            <v>0</v>
          </cell>
          <cell r="F33">
            <v>207095.2069621</v>
          </cell>
          <cell r="G33">
            <v>0</v>
          </cell>
          <cell r="H33">
            <v>0</v>
          </cell>
          <cell r="I33">
            <v>0</v>
          </cell>
          <cell r="J33">
            <v>0</v>
          </cell>
          <cell r="K33">
            <v>0</v>
          </cell>
          <cell r="L33">
            <v>13805.867999999999</v>
          </cell>
          <cell r="M33">
            <v>0</v>
          </cell>
          <cell r="N33">
            <v>0</v>
          </cell>
          <cell r="O33">
            <v>224215.05068879999</v>
          </cell>
          <cell r="P33">
            <v>0</v>
          </cell>
          <cell r="Q33">
            <v>0</v>
          </cell>
          <cell r="R33">
            <v>0</v>
          </cell>
          <cell r="S33">
            <v>0</v>
          </cell>
          <cell r="T33">
            <v>0</v>
          </cell>
          <cell r="U33">
            <v>0</v>
          </cell>
        </row>
        <row r="34">
          <cell r="A34">
            <v>42369</v>
          </cell>
          <cell r="B34">
            <v>0</v>
          </cell>
          <cell r="C34">
            <v>445116.12565089995</v>
          </cell>
          <cell r="D34">
            <v>0</v>
          </cell>
          <cell r="E34">
            <v>0</v>
          </cell>
          <cell r="F34">
            <v>207095.2069621</v>
          </cell>
          <cell r="G34">
            <v>0</v>
          </cell>
          <cell r="H34">
            <v>0</v>
          </cell>
          <cell r="I34">
            <v>0</v>
          </cell>
          <cell r="J34">
            <v>0</v>
          </cell>
          <cell r="K34">
            <v>0</v>
          </cell>
          <cell r="L34">
            <v>13805.867999999999</v>
          </cell>
          <cell r="M34">
            <v>0</v>
          </cell>
          <cell r="N34">
            <v>0</v>
          </cell>
          <cell r="O34">
            <v>224215.05068879999</v>
          </cell>
          <cell r="P34">
            <v>0</v>
          </cell>
          <cell r="Q34">
            <v>0</v>
          </cell>
          <cell r="R34">
            <v>0</v>
          </cell>
          <cell r="S34">
            <v>0</v>
          </cell>
          <cell r="T34">
            <v>0</v>
          </cell>
          <cell r="U34">
            <v>0</v>
          </cell>
        </row>
        <row r="35">
          <cell r="A35">
            <v>42735</v>
          </cell>
          <cell r="B35">
            <v>0</v>
          </cell>
          <cell r="C35">
            <v>445116.12565089995</v>
          </cell>
          <cell r="D35">
            <v>0</v>
          </cell>
          <cell r="E35">
            <v>0</v>
          </cell>
          <cell r="F35">
            <v>207095.2069621</v>
          </cell>
          <cell r="G35">
            <v>0</v>
          </cell>
          <cell r="H35">
            <v>0</v>
          </cell>
          <cell r="I35">
            <v>0</v>
          </cell>
          <cell r="J35">
            <v>0</v>
          </cell>
          <cell r="K35">
            <v>0</v>
          </cell>
          <cell r="L35">
            <v>13805.867999999999</v>
          </cell>
          <cell r="M35">
            <v>0</v>
          </cell>
          <cell r="N35">
            <v>0</v>
          </cell>
          <cell r="O35">
            <v>224215.05068879999</v>
          </cell>
          <cell r="P35">
            <v>0</v>
          </cell>
          <cell r="Q35">
            <v>0</v>
          </cell>
          <cell r="R35">
            <v>0</v>
          </cell>
          <cell r="S35">
            <v>0</v>
          </cell>
          <cell r="T35">
            <v>0</v>
          </cell>
          <cell r="U35">
            <v>0</v>
          </cell>
        </row>
        <row r="36">
          <cell r="A36">
            <v>43100</v>
          </cell>
          <cell r="B36">
            <v>0</v>
          </cell>
          <cell r="C36">
            <v>445116.12565089995</v>
          </cell>
          <cell r="D36">
            <v>0</v>
          </cell>
          <cell r="E36">
            <v>0</v>
          </cell>
          <cell r="F36">
            <v>207095.2069621</v>
          </cell>
          <cell r="G36">
            <v>0</v>
          </cell>
          <cell r="H36">
            <v>0</v>
          </cell>
          <cell r="I36">
            <v>0</v>
          </cell>
          <cell r="J36">
            <v>0</v>
          </cell>
          <cell r="K36">
            <v>0</v>
          </cell>
          <cell r="L36">
            <v>13805.867999999999</v>
          </cell>
          <cell r="M36">
            <v>0</v>
          </cell>
          <cell r="N36">
            <v>0</v>
          </cell>
          <cell r="O36">
            <v>224215.05068879999</v>
          </cell>
          <cell r="P36">
            <v>0</v>
          </cell>
          <cell r="Q36">
            <v>0</v>
          </cell>
          <cell r="R36">
            <v>0</v>
          </cell>
          <cell r="S36">
            <v>0</v>
          </cell>
          <cell r="T36">
            <v>0</v>
          </cell>
          <cell r="U36">
            <v>0</v>
          </cell>
        </row>
        <row r="37">
          <cell r="A37">
            <v>43465</v>
          </cell>
          <cell r="B37">
            <v>0</v>
          </cell>
          <cell r="C37">
            <v>445116.12565089995</v>
          </cell>
          <cell r="D37">
            <v>0</v>
          </cell>
          <cell r="E37">
            <v>0</v>
          </cell>
          <cell r="F37">
            <v>207095.2069621</v>
          </cell>
          <cell r="G37">
            <v>0</v>
          </cell>
          <cell r="H37">
            <v>0</v>
          </cell>
          <cell r="I37">
            <v>0</v>
          </cell>
          <cell r="J37">
            <v>0</v>
          </cell>
          <cell r="K37">
            <v>0</v>
          </cell>
          <cell r="L37">
            <v>13805.867999999999</v>
          </cell>
          <cell r="M37">
            <v>0</v>
          </cell>
          <cell r="N37">
            <v>0</v>
          </cell>
          <cell r="O37">
            <v>224215.05068879999</v>
          </cell>
          <cell r="P37">
            <v>0</v>
          </cell>
          <cell r="Q37">
            <v>0</v>
          </cell>
          <cell r="R37">
            <v>0</v>
          </cell>
          <cell r="S37">
            <v>0</v>
          </cell>
          <cell r="T37">
            <v>0</v>
          </cell>
          <cell r="U37">
            <v>0</v>
          </cell>
        </row>
        <row r="38">
          <cell r="A38">
            <v>43830</v>
          </cell>
          <cell r="B38">
            <v>0</v>
          </cell>
          <cell r="C38">
            <v>445116.12565089995</v>
          </cell>
          <cell r="D38">
            <v>0</v>
          </cell>
          <cell r="E38">
            <v>0</v>
          </cell>
          <cell r="F38">
            <v>207095.2069621</v>
          </cell>
          <cell r="G38">
            <v>0</v>
          </cell>
          <cell r="H38">
            <v>0</v>
          </cell>
          <cell r="I38">
            <v>0</v>
          </cell>
          <cell r="J38">
            <v>0</v>
          </cell>
          <cell r="K38">
            <v>0</v>
          </cell>
          <cell r="L38">
            <v>13805.867999999999</v>
          </cell>
          <cell r="M38">
            <v>0</v>
          </cell>
          <cell r="N38">
            <v>0</v>
          </cell>
          <cell r="O38">
            <v>224215.05068879999</v>
          </cell>
          <cell r="P38">
            <v>0</v>
          </cell>
          <cell r="Q38">
            <v>0</v>
          </cell>
          <cell r="R38">
            <v>0</v>
          </cell>
          <cell r="S38">
            <v>0</v>
          </cell>
          <cell r="T38">
            <v>0</v>
          </cell>
          <cell r="U38">
            <v>0</v>
          </cell>
        </row>
        <row r="39">
          <cell r="A39">
            <v>44196</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40178</v>
          </cell>
          <cell r="B47">
            <v>0</v>
          </cell>
          <cell r="C47">
            <v>0</v>
          </cell>
          <cell r="F47">
            <v>0</v>
          </cell>
          <cell r="I47">
            <v>0</v>
          </cell>
          <cell r="L47">
            <v>0</v>
          </cell>
          <cell r="O47">
            <v>0</v>
          </cell>
          <cell r="R47">
            <v>0</v>
          </cell>
          <cell r="U47">
            <v>0</v>
          </cell>
        </row>
        <row r="48">
          <cell r="A48">
            <v>40543</v>
          </cell>
          <cell r="B48">
            <v>0</v>
          </cell>
          <cell r="C48">
            <v>4228603.1936835498</v>
          </cell>
          <cell r="F48">
            <v>1967404.4661399499</v>
          </cell>
          <cell r="I48">
            <v>0</v>
          </cell>
          <cell r="L48">
            <v>131155.74599999998</v>
          </cell>
          <cell r="O48">
            <v>2130042.9815435996</v>
          </cell>
          <cell r="R48">
            <v>0</v>
          </cell>
          <cell r="U48">
            <v>0</v>
          </cell>
        </row>
        <row r="49">
          <cell r="A49">
            <v>40908</v>
          </cell>
          <cell r="B49">
            <v>0</v>
          </cell>
          <cell r="C49">
            <v>3783487.0680326493</v>
          </cell>
          <cell r="F49">
            <v>1760309.2591778499</v>
          </cell>
          <cell r="I49">
            <v>0</v>
          </cell>
          <cell r="L49">
            <v>117349.87799999998</v>
          </cell>
          <cell r="O49">
            <v>1905827.9308547997</v>
          </cell>
          <cell r="R49">
            <v>0</v>
          </cell>
          <cell r="U49">
            <v>0</v>
          </cell>
        </row>
        <row r="50">
          <cell r="A50">
            <v>41274</v>
          </cell>
          <cell r="B50">
            <v>0</v>
          </cell>
          <cell r="C50">
            <v>3338370.9423817499</v>
          </cell>
          <cell r="F50">
            <v>1553214.0522157499</v>
          </cell>
          <cell r="I50">
            <v>0</v>
          </cell>
          <cell r="L50">
            <v>103544.00999999998</v>
          </cell>
          <cell r="O50">
            <v>1681612.8801659998</v>
          </cell>
          <cell r="R50">
            <v>0</v>
          </cell>
          <cell r="U50">
            <v>0</v>
          </cell>
        </row>
        <row r="51">
          <cell r="A51">
            <v>41639</v>
          </cell>
          <cell r="B51">
            <v>0</v>
          </cell>
          <cell r="C51">
            <v>2893254.8167308494</v>
          </cell>
          <cell r="F51">
            <v>1346118.8452536499</v>
          </cell>
          <cell r="I51">
            <v>0</v>
          </cell>
          <cell r="L51">
            <v>89738.141999999978</v>
          </cell>
          <cell r="O51">
            <v>1457397.8294771998</v>
          </cell>
          <cell r="R51">
            <v>0</v>
          </cell>
          <cell r="U51">
            <v>0</v>
          </cell>
        </row>
        <row r="52">
          <cell r="A52">
            <v>42004</v>
          </cell>
          <cell r="B52">
            <v>0</v>
          </cell>
          <cell r="C52">
            <v>2448138.69107995</v>
          </cell>
          <cell r="F52">
            <v>1139023.6382915499</v>
          </cell>
          <cell r="I52">
            <v>0</v>
          </cell>
          <cell r="L52">
            <v>75932.273999999976</v>
          </cell>
          <cell r="O52">
            <v>1233182.7787883999</v>
          </cell>
          <cell r="R52">
            <v>0</v>
          </cell>
          <cell r="U52">
            <v>0</v>
          </cell>
        </row>
        <row r="53">
          <cell r="A53">
            <v>42369</v>
          </cell>
          <cell r="B53">
            <v>0</v>
          </cell>
          <cell r="C53">
            <v>2003022.5654290498</v>
          </cell>
          <cell r="F53">
            <v>931928.43132944987</v>
          </cell>
          <cell r="I53">
            <v>0</v>
          </cell>
          <cell r="L53">
            <v>62126.405999999974</v>
          </cell>
          <cell r="O53">
            <v>1008967.7280995999</v>
          </cell>
          <cell r="R53">
            <v>0</v>
          </cell>
          <cell r="U53">
            <v>0</v>
          </cell>
        </row>
        <row r="54">
          <cell r="A54">
            <v>42735</v>
          </cell>
          <cell r="B54">
            <v>0</v>
          </cell>
          <cell r="C54">
            <v>1557906.4397781498</v>
          </cell>
          <cell r="F54">
            <v>724833.22436734987</v>
          </cell>
          <cell r="I54">
            <v>0</v>
          </cell>
          <cell r="L54">
            <v>48320.537999999971</v>
          </cell>
          <cell r="O54">
            <v>784752.67741080001</v>
          </cell>
          <cell r="R54">
            <v>0</v>
          </cell>
          <cell r="U54">
            <v>0</v>
          </cell>
        </row>
        <row r="55">
          <cell r="A55">
            <v>43100</v>
          </cell>
          <cell r="B55">
            <v>0</v>
          </cell>
          <cell r="C55">
            <v>1112790.3141272499</v>
          </cell>
          <cell r="F55">
            <v>517738.01740524988</v>
          </cell>
          <cell r="I55">
            <v>0</v>
          </cell>
          <cell r="L55">
            <v>34514.669999999969</v>
          </cell>
          <cell r="O55">
            <v>560537.62672200007</v>
          </cell>
          <cell r="R55">
            <v>0</v>
          </cell>
          <cell r="U55">
            <v>0</v>
          </cell>
        </row>
        <row r="56">
          <cell r="A56">
            <v>43465</v>
          </cell>
          <cell r="B56">
            <v>0</v>
          </cell>
          <cell r="C56">
            <v>667674.18847634993</v>
          </cell>
          <cell r="F56">
            <v>310642.81044314988</v>
          </cell>
          <cell r="I56">
            <v>0</v>
          </cell>
          <cell r="L56">
            <v>20708.801999999971</v>
          </cell>
          <cell r="O56">
            <v>336322.57603320008</v>
          </cell>
          <cell r="R56">
            <v>0</v>
          </cell>
          <cell r="U56">
            <v>0</v>
          </cell>
        </row>
        <row r="57">
          <cell r="A57">
            <v>43830</v>
          </cell>
          <cell r="B57">
            <v>0</v>
          </cell>
          <cell r="C57">
            <v>222558.06282544995</v>
          </cell>
          <cell r="F57">
            <v>103547.60348104988</v>
          </cell>
          <cell r="I57">
            <v>0</v>
          </cell>
          <cell r="L57">
            <v>6902.933999999972</v>
          </cell>
          <cell r="O57">
            <v>112107.52534440008</v>
          </cell>
          <cell r="R57">
            <v>0</v>
          </cell>
          <cell r="U57">
            <v>0</v>
          </cell>
        </row>
        <row r="58">
          <cell r="A58">
            <v>44196</v>
          </cell>
          <cell r="B58">
            <v>0</v>
          </cell>
          <cell r="C58">
            <v>0</v>
          </cell>
          <cell r="F58">
            <v>0</v>
          </cell>
          <cell r="I58">
            <v>0</v>
          </cell>
          <cell r="L58">
            <v>0</v>
          </cell>
          <cell r="O58">
            <v>0</v>
          </cell>
          <cell r="R58">
            <v>0</v>
          </cell>
          <cell r="U58">
            <v>0</v>
          </cell>
        </row>
      </sheetData>
      <sheetData sheetId="22">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40543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40908</v>
          </cell>
          <cell r="B29">
            <v>0</v>
          </cell>
          <cell r="C29">
            <v>84125.6</v>
          </cell>
          <cell r="D29">
            <v>0</v>
          </cell>
          <cell r="E29">
            <v>0</v>
          </cell>
          <cell r="F29">
            <v>0</v>
          </cell>
          <cell r="G29">
            <v>0</v>
          </cell>
          <cell r="H29">
            <v>0</v>
          </cell>
          <cell r="I29">
            <v>0</v>
          </cell>
          <cell r="J29">
            <v>0</v>
          </cell>
          <cell r="K29">
            <v>0</v>
          </cell>
          <cell r="L29">
            <v>0</v>
          </cell>
          <cell r="M29">
            <v>0</v>
          </cell>
          <cell r="N29">
            <v>0</v>
          </cell>
          <cell r="O29">
            <v>84125.6</v>
          </cell>
          <cell r="P29">
            <v>0</v>
          </cell>
          <cell r="Q29">
            <v>0</v>
          </cell>
          <cell r="R29">
            <v>0</v>
          </cell>
          <cell r="S29">
            <v>0</v>
          </cell>
          <cell r="T29">
            <v>0</v>
          </cell>
          <cell r="U29">
            <v>0</v>
          </cell>
        </row>
        <row r="30">
          <cell r="A30">
            <v>41274</v>
          </cell>
          <cell r="B30">
            <v>0</v>
          </cell>
          <cell r="C30">
            <v>84125.6</v>
          </cell>
          <cell r="D30">
            <v>0</v>
          </cell>
          <cell r="E30">
            <v>0</v>
          </cell>
          <cell r="F30">
            <v>0</v>
          </cell>
          <cell r="G30">
            <v>0</v>
          </cell>
          <cell r="H30">
            <v>0</v>
          </cell>
          <cell r="I30">
            <v>0</v>
          </cell>
          <cell r="J30">
            <v>0</v>
          </cell>
          <cell r="K30">
            <v>0</v>
          </cell>
          <cell r="L30">
            <v>0</v>
          </cell>
          <cell r="M30">
            <v>0</v>
          </cell>
          <cell r="N30">
            <v>0</v>
          </cell>
          <cell r="O30">
            <v>84125.6</v>
          </cell>
          <cell r="P30">
            <v>0</v>
          </cell>
          <cell r="Q30">
            <v>0</v>
          </cell>
          <cell r="R30">
            <v>0</v>
          </cell>
          <cell r="S30">
            <v>0</v>
          </cell>
          <cell r="T30">
            <v>0</v>
          </cell>
          <cell r="U30">
            <v>0</v>
          </cell>
        </row>
        <row r="31">
          <cell r="A31">
            <v>41639</v>
          </cell>
          <cell r="B31">
            <v>0</v>
          </cell>
          <cell r="C31">
            <v>84125.6</v>
          </cell>
          <cell r="D31">
            <v>0</v>
          </cell>
          <cell r="E31">
            <v>0</v>
          </cell>
          <cell r="F31">
            <v>0</v>
          </cell>
          <cell r="G31">
            <v>0</v>
          </cell>
          <cell r="H31">
            <v>0</v>
          </cell>
          <cell r="I31">
            <v>0</v>
          </cell>
          <cell r="J31">
            <v>0</v>
          </cell>
          <cell r="K31">
            <v>0</v>
          </cell>
          <cell r="L31">
            <v>0</v>
          </cell>
          <cell r="M31">
            <v>0</v>
          </cell>
          <cell r="N31">
            <v>0</v>
          </cell>
          <cell r="O31">
            <v>84125.6</v>
          </cell>
          <cell r="P31">
            <v>0</v>
          </cell>
          <cell r="Q31">
            <v>0</v>
          </cell>
          <cell r="R31">
            <v>0</v>
          </cell>
          <cell r="S31">
            <v>0</v>
          </cell>
          <cell r="T31">
            <v>0</v>
          </cell>
          <cell r="U31">
            <v>0</v>
          </cell>
        </row>
        <row r="32">
          <cell r="A32">
            <v>42004</v>
          </cell>
          <cell r="B32">
            <v>0</v>
          </cell>
          <cell r="C32">
            <v>84125.6</v>
          </cell>
          <cell r="D32">
            <v>0</v>
          </cell>
          <cell r="E32">
            <v>0</v>
          </cell>
          <cell r="F32">
            <v>0</v>
          </cell>
          <cell r="G32">
            <v>0</v>
          </cell>
          <cell r="H32">
            <v>0</v>
          </cell>
          <cell r="I32">
            <v>0</v>
          </cell>
          <cell r="J32">
            <v>0</v>
          </cell>
          <cell r="K32">
            <v>0</v>
          </cell>
          <cell r="L32">
            <v>0</v>
          </cell>
          <cell r="M32">
            <v>0</v>
          </cell>
          <cell r="N32">
            <v>0</v>
          </cell>
          <cell r="O32">
            <v>84125.6</v>
          </cell>
          <cell r="P32">
            <v>0</v>
          </cell>
          <cell r="Q32">
            <v>0</v>
          </cell>
          <cell r="R32">
            <v>0</v>
          </cell>
          <cell r="S32">
            <v>0</v>
          </cell>
          <cell r="T32">
            <v>0</v>
          </cell>
          <cell r="U32">
            <v>0</v>
          </cell>
        </row>
        <row r="33">
          <cell r="A33">
            <v>42369</v>
          </cell>
          <cell r="B33">
            <v>0</v>
          </cell>
          <cell r="C33">
            <v>84125.6</v>
          </cell>
          <cell r="D33">
            <v>0</v>
          </cell>
          <cell r="E33">
            <v>0</v>
          </cell>
          <cell r="F33">
            <v>0</v>
          </cell>
          <cell r="G33">
            <v>0</v>
          </cell>
          <cell r="H33">
            <v>0</v>
          </cell>
          <cell r="I33">
            <v>0</v>
          </cell>
          <cell r="J33">
            <v>0</v>
          </cell>
          <cell r="K33">
            <v>0</v>
          </cell>
          <cell r="L33">
            <v>0</v>
          </cell>
          <cell r="M33">
            <v>0</v>
          </cell>
          <cell r="N33">
            <v>0</v>
          </cell>
          <cell r="O33">
            <v>84125.6</v>
          </cell>
          <cell r="P33">
            <v>0</v>
          </cell>
          <cell r="Q33">
            <v>0</v>
          </cell>
          <cell r="R33">
            <v>0</v>
          </cell>
          <cell r="S33">
            <v>0</v>
          </cell>
          <cell r="T33">
            <v>0</v>
          </cell>
          <cell r="U33">
            <v>0</v>
          </cell>
        </row>
        <row r="34">
          <cell r="A34">
            <v>42735</v>
          </cell>
          <cell r="B34">
            <v>0</v>
          </cell>
          <cell r="C34">
            <v>84125.6</v>
          </cell>
          <cell r="D34">
            <v>0</v>
          </cell>
          <cell r="E34">
            <v>0</v>
          </cell>
          <cell r="F34">
            <v>0</v>
          </cell>
          <cell r="G34">
            <v>0</v>
          </cell>
          <cell r="H34">
            <v>0</v>
          </cell>
          <cell r="I34">
            <v>0</v>
          </cell>
          <cell r="J34">
            <v>0</v>
          </cell>
          <cell r="K34">
            <v>0</v>
          </cell>
          <cell r="L34">
            <v>0</v>
          </cell>
          <cell r="M34">
            <v>0</v>
          </cell>
          <cell r="N34">
            <v>0</v>
          </cell>
          <cell r="O34">
            <v>84125.6</v>
          </cell>
          <cell r="P34">
            <v>0</v>
          </cell>
          <cell r="Q34">
            <v>0</v>
          </cell>
          <cell r="R34">
            <v>0</v>
          </cell>
          <cell r="S34">
            <v>0</v>
          </cell>
          <cell r="T34">
            <v>0</v>
          </cell>
          <cell r="U34">
            <v>0</v>
          </cell>
        </row>
        <row r="35">
          <cell r="A35">
            <v>43100</v>
          </cell>
          <cell r="B35">
            <v>0</v>
          </cell>
          <cell r="C35">
            <v>84125.6</v>
          </cell>
          <cell r="D35">
            <v>0</v>
          </cell>
          <cell r="E35">
            <v>0</v>
          </cell>
          <cell r="F35">
            <v>0</v>
          </cell>
          <cell r="G35">
            <v>0</v>
          </cell>
          <cell r="H35">
            <v>0</v>
          </cell>
          <cell r="I35">
            <v>0</v>
          </cell>
          <cell r="J35">
            <v>0</v>
          </cell>
          <cell r="K35">
            <v>0</v>
          </cell>
          <cell r="L35">
            <v>0</v>
          </cell>
          <cell r="M35">
            <v>0</v>
          </cell>
          <cell r="N35">
            <v>0</v>
          </cell>
          <cell r="O35">
            <v>84125.6</v>
          </cell>
          <cell r="P35">
            <v>0</v>
          </cell>
          <cell r="Q35">
            <v>0</v>
          </cell>
          <cell r="R35">
            <v>0</v>
          </cell>
          <cell r="S35">
            <v>0</v>
          </cell>
          <cell r="T35">
            <v>0</v>
          </cell>
          <cell r="U35">
            <v>0</v>
          </cell>
        </row>
        <row r="36">
          <cell r="A36">
            <v>43465</v>
          </cell>
          <cell r="B36">
            <v>0</v>
          </cell>
          <cell r="C36">
            <v>84125.6</v>
          </cell>
          <cell r="D36">
            <v>0</v>
          </cell>
          <cell r="E36">
            <v>0</v>
          </cell>
          <cell r="F36">
            <v>0</v>
          </cell>
          <cell r="G36">
            <v>0</v>
          </cell>
          <cell r="H36">
            <v>0</v>
          </cell>
          <cell r="I36">
            <v>0</v>
          </cell>
          <cell r="J36">
            <v>0</v>
          </cell>
          <cell r="K36">
            <v>0</v>
          </cell>
          <cell r="L36">
            <v>0</v>
          </cell>
          <cell r="M36">
            <v>0</v>
          </cell>
          <cell r="N36">
            <v>0</v>
          </cell>
          <cell r="O36">
            <v>84125.6</v>
          </cell>
          <cell r="P36">
            <v>0</v>
          </cell>
          <cell r="Q36">
            <v>0</v>
          </cell>
          <cell r="R36">
            <v>0</v>
          </cell>
          <cell r="S36">
            <v>0</v>
          </cell>
          <cell r="T36">
            <v>0</v>
          </cell>
          <cell r="U36">
            <v>0</v>
          </cell>
        </row>
        <row r="37">
          <cell r="A37">
            <v>43830</v>
          </cell>
          <cell r="B37">
            <v>0</v>
          </cell>
          <cell r="C37">
            <v>84125.6</v>
          </cell>
          <cell r="D37">
            <v>0</v>
          </cell>
          <cell r="E37">
            <v>0</v>
          </cell>
          <cell r="F37">
            <v>0</v>
          </cell>
          <cell r="G37">
            <v>0</v>
          </cell>
          <cell r="H37">
            <v>0</v>
          </cell>
          <cell r="I37">
            <v>0</v>
          </cell>
          <cell r="J37">
            <v>0</v>
          </cell>
          <cell r="K37">
            <v>0</v>
          </cell>
          <cell r="L37">
            <v>0</v>
          </cell>
          <cell r="M37">
            <v>0</v>
          </cell>
          <cell r="N37">
            <v>0</v>
          </cell>
          <cell r="O37">
            <v>84125.6</v>
          </cell>
          <cell r="P37">
            <v>0</v>
          </cell>
          <cell r="Q37">
            <v>0</v>
          </cell>
          <cell r="R37">
            <v>0</v>
          </cell>
          <cell r="S37">
            <v>0</v>
          </cell>
          <cell r="T37">
            <v>0</v>
          </cell>
          <cell r="U37">
            <v>0</v>
          </cell>
        </row>
        <row r="38">
          <cell r="A38">
            <v>44196</v>
          </cell>
          <cell r="B38">
            <v>0</v>
          </cell>
          <cell r="C38">
            <v>84125.6</v>
          </cell>
          <cell r="D38">
            <v>0</v>
          </cell>
          <cell r="E38">
            <v>0</v>
          </cell>
          <cell r="F38">
            <v>0</v>
          </cell>
          <cell r="G38">
            <v>0</v>
          </cell>
          <cell r="H38">
            <v>0</v>
          </cell>
          <cell r="I38">
            <v>0</v>
          </cell>
          <cell r="J38">
            <v>0</v>
          </cell>
          <cell r="K38">
            <v>0</v>
          </cell>
          <cell r="L38">
            <v>0</v>
          </cell>
          <cell r="M38">
            <v>0</v>
          </cell>
          <cell r="N38">
            <v>0</v>
          </cell>
          <cell r="O38">
            <v>84125.6</v>
          </cell>
          <cell r="P38">
            <v>0</v>
          </cell>
          <cell r="Q38">
            <v>0</v>
          </cell>
          <cell r="R38">
            <v>0</v>
          </cell>
          <cell r="S38">
            <v>0</v>
          </cell>
          <cell r="T38">
            <v>0</v>
          </cell>
          <cell r="U38">
            <v>0</v>
          </cell>
        </row>
        <row r="39">
          <cell r="A39">
            <v>44561</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40543</v>
          </cell>
          <cell r="B47">
            <v>0</v>
          </cell>
          <cell r="C47">
            <v>0</v>
          </cell>
          <cell r="F47">
            <v>0</v>
          </cell>
          <cell r="I47">
            <v>0</v>
          </cell>
          <cell r="L47">
            <v>0</v>
          </cell>
          <cell r="O47">
            <v>0</v>
          </cell>
          <cell r="R47">
            <v>0</v>
          </cell>
          <cell r="U47">
            <v>0</v>
          </cell>
        </row>
        <row r="48">
          <cell r="A48">
            <v>40908</v>
          </cell>
          <cell r="B48">
            <v>0</v>
          </cell>
          <cell r="C48">
            <v>799193.2</v>
          </cell>
          <cell r="F48">
            <v>0</v>
          </cell>
          <cell r="I48">
            <v>0</v>
          </cell>
          <cell r="L48">
            <v>0</v>
          </cell>
          <cell r="O48">
            <v>799193.2</v>
          </cell>
          <cell r="R48">
            <v>0</v>
          </cell>
          <cell r="U48">
            <v>0</v>
          </cell>
        </row>
        <row r="49">
          <cell r="A49">
            <v>41274</v>
          </cell>
          <cell r="B49">
            <v>0</v>
          </cell>
          <cell r="C49">
            <v>715067.6</v>
          </cell>
          <cell r="F49">
            <v>0</v>
          </cell>
          <cell r="I49">
            <v>0</v>
          </cell>
          <cell r="L49">
            <v>0</v>
          </cell>
          <cell r="O49">
            <v>715067.6</v>
          </cell>
          <cell r="R49">
            <v>0</v>
          </cell>
          <cell r="U49">
            <v>0</v>
          </cell>
        </row>
        <row r="50">
          <cell r="A50">
            <v>41639</v>
          </cell>
          <cell r="B50">
            <v>0</v>
          </cell>
          <cell r="C50">
            <v>630942</v>
          </cell>
          <cell r="F50">
            <v>0</v>
          </cell>
          <cell r="I50">
            <v>0</v>
          </cell>
          <cell r="L50">
            <v>0</v>
          </cell>
          <cell r="O50">
            <v>630942</v>
          </cell>
          <cell r="R50">
            <v>0</v>
          </cell>
          <cell r="U50">
            <v>0</v>
          </cell>
        </row>
        <row r="51">
          <cell r="A51">
            <v>42004</v>
          </cell>
          <cell r="B51">
            <v>0</v>
          </cell>
          <cell r="C51">
            <v>546816.4</v>
          </cell>
          <cell r="F51">
            <v>0</v>
          </cell>
          <cell r="I51">
            <v>0</v>
          </cell>
          <cell r="L51">
            <v>0</v>
          </cell>
          <cell r="O51">
            <v>546816.4</v>
          </cell>
          <cell r="R51">
            <v>0</v>
          </cell>
          <cell r="U51">
            <v>0</v>
          </cell>
        </row>
        <row r="52">
          <cell r="A52">
            <v>42369</v>
          </cell>
          <cell r="B52">
            <v>0</v>
          </cell>
          <cell r="C52">
            <v>462690.80000000005</v>
          </cell>
          <cell r="F52">
            <v>0</v>
          </cell>
          <cell r="I52">
            <v>0</v>
          </cell>
          <cell r="L52">
            <v>0</v>
          </cell>
          <cell r="O52">
            <v>462690.80000000005</v>
          </cell>
          <cell r="R52">
            <v>0</v>
          </cell>
          <cell r="U52">
            <v>0</v>
          </cell>
        </row>
        <row r="53">
          <cell r="A53">
            <v>42735</v>
          </cell>
          <cell r="B53">
            <v>0</v>
          </cell>
          <cell r="C53">
            <v>378565.20000000007</v>
          </cell>
          <cell r="F53">
            <v>0</v>
          </cell>
          <cell r="I53">
            <v>0</v>
          </cell>
          <cell r="L53">
            <v>0</v>
          </cell>
          <cell r="O53">
            <v>378565.20000000007</v>
          </cell>
          <cell r="R53">
            <v>0</v>
          </cell>
          <cell r="U53">
            <v>0</v>
          </cell>
        </row>
        <row r="54">
          <cell r="A54">
            <v>43100</v>
          </cell>
          <cell r="B54">
            <v>0</v>
          </cell>
          <cell r="C54">
            <v>294439.60000000009</v>
          </cell>
          <cell r="F54">
            <v>0</v>
          </cell>
          <cell r="I54">
            <v>0</v>
          </cell>
          <cell r="L54">
            <v>0</v>
          </cell>
          <cell r="O54">
            <v>294439.60000000009</v>
          </cell>
          <cell r="R54">
            <v>0</v>
          </cell>
          <cell r="U54">
            <v>0</v>
          </cell>
        </row>
        <row r="55">
          <cell r="A55">
            <v>43465</v>
          </cell>
          <cell r="B55">
            <v>0</v>
          </cell>
          <cell r="C55">
            <v>210314.00000000009</v>
          </cell>
          <cell r="F55">
            <v>0</v>
          </cell>
          <cell r="I55">
            <v>0</v>
          </cell>
          <cell r="L55">
            <v>0</v>
          </cell>
          <cell r="O55">
            <v>210314.00000000009</v>
          </cell>
          <cell r="R55">
            <v>0</v>
          </cell>
          <cell r="U55">
            <v>0</v>
          </cell>
        </row>
        <row r="56">
          <cell r="A56">
            <v>43830</v>
          </cell>
          <cell r="B56">
            <v>0</v>
          </cell>
          <cell r="C56">
            <v>126188.40000000008</v>
          </cell>
          <cell r="F56">
            <v>0</v>
          </cell>
          <cell r="I56">
            <v>0</v>
          </cell>
          <cell r="L56">
            <v>0</v>
          </cell>
          <cell r="O56">
            <v>126188.40000000008</v>
          </cell>
          <cell r="R56">
            <v>0</v>
          </cell>
          <cell r="U56">
            <v>0</v>
          </cell>
        </row>
        <row r="57">
          <cell r="A57">
            <v>44196</v>
          </cell>
          <cell r="B57">
            <v>0</v>
          </cell>
          <cell r="C57">
            <v>42062.800000000076</v>
          </cell>
          <cell r="F57">
            <v>0</v>
          </cell>
          <cell r="I57">
            <v>0</v>
          </cell>
          <cell r="L57">
            <v>0</v>
          </cell>
          <cell r="O57">
            <v>42062.800000000076</v>
          </cell>
          <cell r="R57">
            <v>0</v>
          </cell>
          <cell r="U57">
            <v>0</v>
          </cell>
        </row>
        <row r="58">
          <cell r="A58">
            <v>44561</v>
          </cell>
          <cell r="B58">
            <v>0</v>
          </cell>
          <cell r="C58">
            <v>0</v>
          </cell>
          <cell r="F58">
            <v>0</v>
          </cell>
          <cell r="I58">
            <v>0</v>
          </cell>
          <cell r="L58">
            <v>0</v>
          </cell>
          <cell r="O58">
            <v>0</v>
          </cell>
          <cell r="R58">
            <v>0</v>
          </cell>
          <cell r="U58">
            <v>0</v>
          </cell>
        </row>
      </sheetData>
      <sheetData sheetId="23">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40908</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41274</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row>
        <row r="30">
          <cell r="A30">
            <v>41639</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row>
        <row r="31">
          <cell r="A31">
            <v>42004</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row>
        <row r="32">
          <cell r="A32">
            <v>42369</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row>
        <row r="33">
          <cell r="A33">
            <v>42735</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row>
        <row r="34">
          <cell r="A34">
            <v>43100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row>
        <row r="35">
          <cell r="A35">
            <v>43465</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6">
          <cell r="A36">
            <v>43830</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37">
          <cell r="A37">
            <v>44196</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38">
          <cell r="A38">
            <v>44561</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39">
          <cell r="A39">
            <v>44926</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sheetData>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A"/>
      <sheetName val="Appendix B"/>
      <sheetName val="Summary of Rates"/>
      <sheetName val="ATT 1 - ADIT"/>
      <sheetName val="ATT 1a - ADIT"/>
      <sheetName val="ATT 2 - Other Taxes"/>
      <sheetName val="ATT 3 - Revenue Credits"/>
      <sheetName val="ATT 4 - 100 Basis Point ROE"/>
      <sheetName val="ATT 5 - Cost Support"/>
      <sheetName val="ATT 6 - Est &amp; Reconcile WS"/>
      <sheetName val="Att 7 - Trans Enhance Charge"/>
      <sheetName val="ATT 8 - Depreciation Rates"/>
      <sheetName val="ATT 9a - Load Divisor"/>
      <sheetName val="ATT 9a1 - Load current year"/>
      <sheetName val="ATT 9a2 - Load one year prior"/>
      <sheetName val="ATT 9a3 - Load two years prior"/>
      <sheetName val="ATT 10 - Acc Amort of PIS"/>
      <sheetName val="ATT 11 - Prepayments"/>
      <sheetName val="ATT 12 - Plant Held Future Use"/>
      <sheetName val="ATT 13 - Revenue Credit Detail"/>
      <sheetName val="ATT 14-Cost of Capital Detail"/>
      <sheetName val="ATT 15 - GSU and Assoc'd Equip"/>
      <sheetName val="ATT 16 - Unfunded Reserves"/>
      <sheetName val="ATT 17 - PBOP"/>
      <sheetName val="Inputs"/>
      <sheetName val="PIS true-up"/>
      <sheetName val="FERC Form 1 data"/>
      <sheetName val="PIS projection"/>
      <sheetName val="Gateway PIS monthly"/>
    </sheetNames>
    <sheetDataSet>
      <sheetData sheetId="0" refreshError="1">
        <row r="6">
          <cell r="H6">
            <v>2012</v>
          </cell>
        </row>
        <row r="7">
          <cell r="H7" t="str">
            <v>Projection</v>
          </cell>
        </row>
        <row r="18">
          <cell r="H18">
            <v>7.3398818350960335E-2</v>
          </cell>
        </row>
        <row r="30">
          <cell r="H30">
            <v>0.21851176882254517</v>
          </cell>
        </row>
        <row r="33">
          <cell r="H33">
            <v>0.24176082444075614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16">
          <cell r="D16">
            <v>151699035</v>
          </cell>
          <cell r="E16">
            <v>160882952</v>
          </cell>
          <cell r="F16" t="str">
            <v>114.14c</v>
          </cell>
        </row>
        <row r="17">
          <cell r="D17">
            <v>-1874204</v>
          </cell>
          <cell r="E17">
            <v>-1851300</v>
          </cell>
          <cell r="F17" t="str">
            <v>114.19c</v>
          </cell>
        </row>
        <row r="18">
          <cell r="D18">
            <v>20136120</v>
          </cell>
          <cell r="E18">
            <v>22657380.059999999</v>
          </cell>
          <cell r="F18" t="str">
            <v>214.47d</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207.75g</v>
          </cell>
        </row>
        <row r="23">
          <cell r="D23">
            <v>847651696</v>
          </cell>
          <cell r="E23">
            <v>853462120</v>
          </cell>
          <cell r="F23" t="str">
            <v>204.5b</v>
          </cell>
        </row>
        <row r="24">
          <cell r="D24">
            <v>853462120</v>
          </cell>
          <cell r="E24">
            <v>854419426</v>
          </cell>
          <cell r="F24" t="str">
            <v>205.5g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205.46g</v>
          </cell>
        </row>
        <row r="29">
          <cell r="D29">
            <v>779590</v>
          </cell>
          <cell r="E29">
            <v>0</v>
          </cell>
          <cell r="F29" t="str">
            <v>207.102g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v>2465684624</v>
          </cell>
          <cell r="E36">
            <v>2505658617</v>
          </cell>
          <cell r="F36" t="str">
            <v>219.20c</v>
          </cell>
        </row>
        <row r="37">
          <cell r="D37">
            <v>0</v>
          </cell>
          <cell r="E37">
            <v>0</v>
          </cell>
          <cell r="F37" t="str">
            <v>219.21c</v>
          </cell>
        </row>
        <row r="38">
          <cell r="D38">
            <v>254117565</v>
          </cell>
          <cell r="E38">
            <v>264903753</v>
          </cell>
          <cell r="F38" t="str">
            <v>219.22c</v>
          </cell>
        </row>
        <row r="39">
          <cell r="D39">
            <v>0</v>
          </cell>
          <cell r="E39">
            <v>0</v>
          </cell>
          <cell r="F39" t="str">
            <v>219.23c</v>
          </cell>
        </row>
        <row r="40">
          <cell r="D40">
            <v>480305750</v>
          </cell>
          <cell r="E40">
            <v>579208388</v>
          </cell>
          <cell r="F40" t="str">
            <v>219.24c</v>
          </cell>
        </row>
        <row r="41">
          <cell r="D41">
            <v>3200107939</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str">
            <v>manual check</v>
          </cell>
          <cell r="E46" t="str">
            <v>manual check</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E67">
            <v>2043517</v>
          </cell>
          <cell r="F67" t="str">
            <v>350.32d</v>
          </cell>
        </row>
        <row r="68">
          <cell r="E68">
            <v>2983740</v>
          </cell>
          <cell r="F68" t="str">
            <v>350.33d</v>
          </cell>
        </row>
        <row r="69">
          <cell r="E69">
            <v>757804</v>
          </cell>
          <cell r="F69" t="str">
            <v>350.34d</v>
          </cell>
        </row>
        <row r="70">
          <cell r="E70">
            <v>365986</v>
          </cell>
          <cell r="F70" t="str">
            <v>350.35d</v>
          </cell>
        </row>
        <row r="71">
          <cell r="D71">
            <v>22707903</v>
          </cell>
          <cell r="E71">
            <v>23499915</v>
          </cell>
          <cell r="F71" t="str">
            <v>354.21b</v>
          </cell>
        </row>
        <row r="72">
          <cell r="D72">
            <v>41949915</v>
          </cell>
          <cell r="E72">
            <v>43097996</v>
          </cell>
          <cell r="F72" t="str">
            <v>354.27b</v>
          </cell>
        </row>
        <row r="73">
          <cell r="D73">
            <v>357213635</v>
          </cell>
          <cell r="E73">
            <v>363265480</v>
          </cell>
          <cell r="F73" t="str">
            <v>354.28b</v>
          </cell>
        </row>
      </sheetData>
      <sheetData sheetId="25" refreshError="1"/>
      <sheetData sheetId="26" refreshError="1">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205</v>
          </cell>
          <cell r="D13">
            <v>46</v>
          </cell>
          <cell r="E13" t="str">
            <v>g</v>
          </cell>
          <cell r="F13" t="str">
            <v>205.46g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207</v>
          </cell>
          <cell r="D17">
            <v>75</v>
          </cell>
          <cell r="E17" t="str">
            <v>g</v>
          </cell>
          <cell r="F17" t="str">
            <v>207.75g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207</v>
          </cell>
          <cell r="D24">
            <v>102</v>
          </cell>
          <cell r="E24" t="str">
            <v>g</v>
          </cell>
          <cell r="F24" t="str">
            <v>207.102g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v>2465684624</v>
          </cell>
          <cell r="L27">
            <v>2505658617</v>
          </cell>
        </row>
        <row r="28">
          <cell r="C28">
            <v>219</v>
          </cell>
          <cell r="D28">
            <v>21</v>
          </cell>
          <cell r="E28" t="str">
            <v>c</v>
          </cell>
          <cell r="F28" t="str">
            <v>219.21c</v>
          </cell>
          <cell r="G28" t="str">
            <v>electric_plant</v>
          </cell>
          <cell r="K28">
            <v>0</v>
          </cell>
          <cell r="L28">
            <v>0</v>
          </cell>
        </row>
        <row r="29">
          <cell r="C29">
            <v>219</v>
          </cell>
          <cell r="D29">
            <v>22</v>
          </cell>
          <cell r="E29" t="str">
            <v>c</v>
          </cell>
          <cell r="F29" t="str">
            <v>219.22c</v>
          </cell>
          <cell r="G29" t="str">
            <v>electric_plant</v>
          </cell>
          <cell r="K29">
            <v>254117565</v>
          </cell>
          <cell r="L29">
            <v>264903753</v>
          </cell>
        </row>
        <row r="30">
          <cell r="C30">
            <v>219</v>
          </cell>
          <cell r="D30">
            <v>23</v>
          </cell>
          <cell r="E30" t="str">
            <v>c</v>
          </cell>
          <cell r="F30" t="str">
            <v>219.23c</v>
          </cell>
          <cell r="G30" t="str">
            <v>electric_plant</v>
          </cell>
          <cell r="K30">
            <v>0</v>
          </cell>
          <cell r="L30">
            <v>0</v>
          </cell>
        </row>
        <row r="31">
          <cell r="C31">
            <v>219</v>
          </cell>
          <cell r="D31">
            <v>24</v>
          </cell>
          <cell r="E31" t="str">
            <v>c</v>
          </cell>
          <cell r="F31" t="str">
            <v>219.24c</v>
          </cell>
          <cell r="G31" t="str">
            <v>electric_plant</v>
          </cell>
          <cell r="K31">
            <v>480305750</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row>
        <row r="82">
          <cell r="B82">
            <v>139</v>
          </cell>
          <cell r="C82">
            <v>350</v>
          </cell>
          <cell r="D82">
            <v>31</v>
          </cell>
          <cell r="E82" t="str">
            <v>d</v>
          </cell>
          <cell r="F82" t="str">
            <v>350.31d</v>
          </cell>
          <cell r="G82" t="str">
            <v>tot_expn_to_date</v>
          </cell>
          <cell r="H82">
            <v>183061</v>
          </cell>
          <cell r="I82">
            <v>491725</v>
          </cell>
          <cell r="J82">
            <v>596587</v>
          </cell>
        </row>
        <row r="83">
          <cell r="B83">
            <v>140</v>
          </cell>
          <cell r="C83">
            <v>350</v>
          </cell>
          <cell r="D83">
            <v>32</v>
          </cell>
          <cell r="E83" t="str">
            <v>d</v>
          </cell>
          <cell r="F83" t="str">
            <v>350.32d</v>
          </cell>
          <cell r="G83" t="str">
            <v>tot_expn_to_date</v>
          </cell>
          <cell r="L83">
            <v>2043517</v>
          </cell>
        </row>
        <row r="84">
          <cell r="C84">
            <v>350</v>
          </cell>
          <cell r="D84">
            <v>33</v>
          </cell>
          <cell r="E84" t="str">
            <v>d</v>
          </cell>
          <cell r="F84" t="str">
            <v>350.33d</v>
          </cell>
          <cell r="G84" t="str">
            <v>tot_expn_to_date</v>
          </cell>
          <cell r="L84">
            <v>2983740</v>
          </cell>
        </row>
        <row r="85">
          <cell r="C85">
            <v>350</v>
          </cell>
          <cell r="D85">
            <v>34</v>
          </cell>
          <cell r="E85" t="str">
            <v>d</v>
          </cell>
          <cell r="F85" t="str">
            <v>350.34d</v>
          </cell>
          <cell r="G85" t="str">
            <v>tot_expn_to_date</v>
          </cell>
          <cell r="L85">
            <v>757804</v>
          </cell>
        </row>
        <row r="86">
          <cell r="C86">
            <v>350</v>
          </cell>
          <cell r="D86">
            <v>35</v>
          </cell>
          <cell r="E86" t="str">
            <v>d</v>
          </cell>
          <cell r="F86" t="str">
            <v>350.35d</v>
          </cell>
          <cell r="G86" t="str">
            <v>tot_expn_to_date</v>
          </cell>
          <cell r="L86">
            <v>365986</v>
          </cell>
        </row>
        <row r="87">
          <cell r="B87">
            <v>148</v>
          </cell>
          <cell r="C87">
            <v>354</v>
          </cell>
          <cell r="D87">
            <v>21</v>
          </cell>
          <cell r="E87" t="str">
            <v>b</v>
          </cell>
          <cell r="F87" t="str">
            <v>354.21b</v>
          </cell>
          <cell r="G87" t="str">
            <v>drct_pyrl_dstrbt</v>
          </cell>
          <cell r="H87">
            <v>20976669</v>
          </cell>
          <cell r="I87">
            <v>21701683</v>
          </cell>
          <cell r="J87">
            <v>21424172</v>
          </cell>
          <cell r="K87">
            <v>22707903</v>
          </cell>
          <cell r="L87">
            <v>23499915</v>
          </cell>
        </row>
        <row r="88">
          <cell r="B88">
            <v>151</v>
          </cell>
          <cell r="C88">
            <v>354</v>
          </cell>
          <cell r="D88">
            <v>27</v>
          </cell>
          <cell r="E88" t="str">
            <v>b</v>
          </cell>
          <cell r="F88" t="str">
            <v>354.27b</v>
          </cell>
          <cell r="G88" t="str">
            <v>drct_pyrl_dstrbt</v>
          </cell>
          <cell r="H88">
            <v>39151807</v>
          </cell>
          <cell r="I88">
            <v>6194912</v>
          </cell>
          <cell r="J88">
            <v>39620131</v>
          </cell>
          <cell r="K88">
            <v>41949915</v>
          </cell>
          <cell r="L88">
            <v>43097996</v>
          </cell>
        </row>
        <row r="89">
          <cell r="B89">
            <v>152</v>
          </cell>
          <cell r="C89">
            <v>354</v>
          </cell>
          <cell r="D89">
            <v>28</v>
          </cell>
          <cell r="E89" t="str">
            <v>b</v>
          </cell>
          <cell r="F89" t="str">
            <v>354.28b</v>
          </cell>
          <cell r="G89" t="str">
            <v>drct_pyrl_dstrbt</v>
          </cell>
          <cell r="H89">
            <v>354492178</v>
          </cell>
          <cell r="I89">
            <v>361424755</v>
          </cell>
          <cell r="J89">
            <v>352150935</v>
          </cell>
          <cell r="K89">
            <v>357213635</v>
          </cell>
          <cell r="L89">
            <v>363265480</v>
          </cell>
        </row>
      </sheetData>
      <sheetData sheetId="27" refreshError="1"/>
      <sheetData sheetId="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 8"/>
      <sheetName val="RR 8 2"/>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FACT"/>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TST"/>
      <sheetName val="B.1"/>
      <sheetName val="B.1.1"/>
      <sheetName val="B.3.1 "/>
      <sheetName val="B.3.2  "/>
      <sheetName val="NITS "/>
      <sheetName val="Input"/>
      <sheetName val="Cost of Capital"/>
      <sheetName val="Compare"/>
      <sheetName val="Macro1"/>
      <sheetName val="PrintModule"/>
    </sheetNames>
    <sheetDataSet>
      <sheetData sheetId="0"/>
      <sheetData sheetId="1"/>
      <sheetData sheetId="2"/>
      <sheetData sheetId="3"/>
      <sheetData sheetId="4"/>
      <sheetData sheetId="5"/>
      <sheetData sheetId="6"/>
      <sheetData sheetId="7"/>
      <sheetData sheetId="8"/>
      <sheetData sheetId="9">
        <row r="33">
          <cell r="F33">
            <v>7.9500000000000001E-2</v>
          </cell>
        </row>
      </sheetData>
      <sheetData sheetId="10"/>
      <sheetData sheetId="11"/>
      <sheetData sheetId="12"/>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O"/>
      <sheetName val="Nonlevelized-IOU"/>
      <sheetName val="Opco Data"/>
    </sheetNames>
    <sheetDataSet>
      <sheetData sheetId="0">
        <row r="19">
          <cell r="I19">
            <v>0</v>
          </cell>
        </row>
        <row r="24">
          <cell r="I24">
            <v>5986141</v>
          </cell>
        </row>
        <row r="82">
          <cell r="D82">
            <v>3542234396</v>
          </cell>
        </row>
        <row r="83">
          <cell r="D83">
            <v>1257390851</v>
          </cell>
        </row>
        <row r="84">
          <cell r="D84">
            <v>2496368743</v>
          </cell>
        </row>
        <row r="85">
          <cell r="D85">
            <v>523791201</v>
          </cell>
        </row>
        <row r="90">
          <cell r="D90">
            <v>2049032467.4730768</v>
          </cell>
        </row>
        <row r="91">
          <cell r="D91">
            <v>423353722.911538</v>
          </cell>
        </row>
        <row r="92">
          <cell r="D92">
            <v>910926053.31692314</v>
          </cell>
        </row>
        <row r="93">
          <cell r="D93">
            <v>343716216.37538451</v>
          </cell>
        </row>
        <row r="106">
          <cell r="D106">
            <v>0</v>
          </cell>
        </row>
        <row r="107">
          <cell r="D107">
            <v>-1312115276.4549999</v>
          </cell>
        </row>
        <row r="108">
          <cell r="D108">
            <v>-920695444.44499993</v>
          </cell>
        </row>
        <row r="109">
          <cell r="D109">
            <v>357815973.53500003</v>
          </cell>
        </row>
        <row r="116">
          <cell r="D116">
            <v>283961</v>
          </cell>
        </row>
        <row r="120">
          <cell r="D120">
            <v>36190544</v>
          </cell>
        </row>
        <row r="121">
          <cell r="D121">
            <v>6500333</v>
          </cell>
        </row>
        <row r="139">
          <cell r="D139">
            <v>33026835</v>
          </cell>
        </row>
        <row r="140">
          <cell r="D140">
            <v>472243</v>
          </cell>
        </row>
        <row r="141">
          <cell r="D141">
            <v>162043289</v>
          </cell>
        </row>
        <row r="143">
          <cell r="D143">
            <v>219769</v>
          </cell>
        </row>
        <row r="150">
          <cell r="D150">
            <v>24535167</v>
          </cell>
        </row>
        <row r="151">
          <cell r="D151">
            <v>37948565</v>
          </cell>
        </row>
        <row r="159">
          <cell r="D159">
            <v>12392143</v>
          </cell>
        </row>
        <row r="162">
          <cell r="D162">
            <v>28132670</v>
          </cell>
        </row>
        <row r="174">
          <cell r="D174">
            <v>-30145</v>
          </cell>
        </row>
        <row r="188">
          <cell r="I188">
            <v>21520139</v>
          </cell>
        </row>
        <row r="192">
          <cell r="I192">
            <v>3862922</v>
          </cell>
        </row>
        <row r="207">
          <cell r="I207">
            <v>2607891.64</v>
          </cell>
        </row>
        <row r="208">
          <cell r="I208">
            <v>25275812</v>
          </cell>
        </row>
        <row r="214">
          <cell r="D214">
            <v>10932793</v>
          </cell>
        </row>
        <row r="215">
          <cell r="D215">
            <v>6195466</v>
          </cell>
        </row>
        <row r="216">
          <cell r="D216">
            <v>18788693</v>
          </cell>
        </row>
        <row r="217">
          <cell r="D217">
            <v>11294180</v>
          </cell>
        </row>
        <row r="221">
          <cell r="D221">
            <v>7830558761</v>
          </cell>
        </row>
        <row r="222">
          <cell r="D222">
            <v>0</v>
          </cell>
        </row>
        <row r="223">
          <cell r="D223">
            <v>0</v>
          </cell>
        </row>
        <row r="227">
          <cell r="I227">
            <v>77199891</v>
          </cell>
        </row>
        <row r="229">
          <cell r="I229">
            <v>6873220</v>
          </cell>
        </row>
        <row r="232">
          <cell r="I232">
            <v>1540365055.5</v>
          </cell>
        </row>
        <row r="238">
          <cell r="D238">
            <v>1606738802</v>
          </cell>
        </row>
        <row r="239">
          <cell r="D239">
            <v>116350000</v>
          </cell>
        </row>
        <row r="243">
          <cell r="I243">
            <v>7469801</v>
          </cell>
        </row>
        <row r="246">
          <cell r="I246">
            <v>31588965.315012161</v>
          </cell>
        </row>
        <row r="247">
          <cell r="I247">
            <v>0</v>
          </cell>
        </row>
        <row r="248">
          <cell r="I248">
            <v>0</v>
          </cell>
        </row>
        <row r="249">
          <cell r="I249">
            <v>0</v>
          </cell>
        </row>
        <row r="280">
          <cell r="D280">
            <v>0.35</v>
          </cell>
        </row>
        <row r="281">
          <cell r="D281">
            <v>6.5000000000000002E-2</v>
          </cell>
        </row>
        <row r="282">
          <cell r="D282">
            <v>0</v>
          </cell>
        </row>
      </sheetData>
      <sheetData sheetId="1">
        <row r="7">
          <cell r="K7" t="str">
            <v>For the 12 months ended 12/31/11</v>
          </cell>
        </row>
        <row r="10">
          <cell r="D10" t="str">
            <v>Entergy Texas, Inc.</v>
          </cell>
        </row>
        <row r="26">
          <cell r="I26">
            <v>3521595.8333333335</v>
          </cell>
        </row>
        <row r="89">
          <cell r="D89">
            <v>898951627.17692256</v>
          </cell>
        </row>
        <row r="90">
          <cell r="D90">
            <v>852370423.91461504</v>
          </cell>
        </row>
        <row r="91">
          <cell r="D91">
            <v>1258228537.0323081</v>
          </cell>
        </row>
        <row r="92">
          <cell r="D92">
            <v>243683842.00384599</v>
          </cell>
        </row>
        <row r="97">
          <cell r="D97">
            <v>581864765.9799999</v>
          </cell>
        </row>
        <row r="98">
          <cell r="D98">
            <v>253404466.33000001</v>
          </cell>
        </row>
        <row r="99">
          <cell r="D99">
            <v>276874742.80999994</v>
          </cell>
        </row>
        <row r="100">
          <cell r="D100">
            <v>127362573.13</v>
          </cell>
        </row>
        <row r="113">
          <cell r="D113">
            <v>-12048.04</v>
          </cell>
        </row>
        <row r="114">
          <cell r="D114">
            <v>-613908920.53499997</v>
          </cell>
        </row>
        <row r="115">
          <cell r="D115">
            <v>-469513464.80500001</v>
          </cell>
        </row>
        <row r="116">
          <cell r="D116">
            <v>237510767.49000001</v>
          </cell>
        </row>
        <row r="124">
          <cell r="D124">
            <v>6143480</v>
          </cell>
        </row>
        <row r="125">
          <cell r="D125">
            <v>8487803</v>
          </cell>
        </row>
        <row r="162">
          <cell r="D162">
            <v>26546580</v>
          </cell>
        </row>
        <row r="164">
          <cell r="D164">
            <v>8929644</v>
          </cell>
        </row>
        <row r="165">
          <cell r="D165">
            <v>74796014</v>
          </cell>
        </row>
        <row r="167">
          <cell r="D167">
            <v>86451</v>
          </cell>
        </row>
        <row r="174">
          <cell r="D174">
            <v>13949104</v>
          </cell>
        </row>
        <row r="175">
          <cell r="D175">
            <v>14584432</v>
          </cell>
        </row>
        <row r="181">
          <cell r="D181">
            <v>3920746</v>
          </cell>
        </row>
        <row r="184">
          <cell r="D184">
            <v>13395.297853599999</v>
          </cell>
        </row>
        <row r="233">
          <cell r="I233">
            <v>1858303.8907692311</v>
          </cell>
        </row>
        <row r="234">
          <cell r="I234">
            <v>13036121.748461541</v>
          </cell>
        </row>
        <row r="250">
          <cell r="D250">
            <v>12559256</v>
          </cell>
        </row>
        <row r="251">
          <cell r="D251">
            <v>2229546</v>
          </cell>
        </row>
        <row r="252">
          <cell r="D252">
            <v>10697124</v>
          </cell>
        </row>
        <row r="253">
          <cell r="D253">
            <v>8068168</v>
          </cell>
        </row>
        <row r="257">
          <cell r="D257">
            <v>3254184720</v>
          </cell>
        </row>
        <row r="258">
          <cell r="D258">
            <v>0</v>
          </cell>
        </row>
        <row r="259">
          <cell r="D259">
            <v>0</v>
          </cell>
        </row>
        <row r="263">
          <cell r="I263">
            <v>59077540</v>
          </cell>
        </row>
        <row r="265">
          <cell r="I265">
            <v>0</v>
          </cell>
        </row>
        <row r="268">
          <cell r="I268">
            <v>861823074</v>
          </cell>
        </row>
        <row r="274">
          <cell r="D274">
            <v>892830756</v>
          </cell>
        </row>
        <row r="275">
          <cell r="D275">
            <v>0</v>
          </cell>
        </row>
        <row r="289">
          <cell r="I289">
            <v>24331244.917123936</v>
          </cell>
        </row>
        <row r="325">
          <cell r="D325">
            <v>0.35</v>
          </cell>
        </row>
        <row r="326">
          <cell r="D326">
            <v>0</v>
          </cell>
        </row>
        <row r="327">
          <cell r="D327">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A9" sqref="A9"/>
    </sheetView>
  </sheetViews>
  <sheetFormatPr defaultColWidth="8.88671875" defaultRowHeight="13.2"/>
  <cols>
    <col min="1" max="1" width="18.33203125" style="1609" customWidth="1"/>
    <col min="2" max="2" width="76.109375" style="1609" customWidth="1"/>
    <col min="3" max="3" width="2.44140625" style="1609" customWidth="1"/>
    <col min="4" max="16384" width="8.88671875" style="639"/>
  </cols>
  <sheetData>
    <row r="1" spans="1:7">
      <c r="A1" s="1672" t="str">
        <f>+'MISO Cover'!C6</f>
        <v>Entergy Texas, Inc.</v>
      </c>
      <c r="B1" s="1672"/>
      <c r="C1" s="1672"/>
    </row>
    <row r="2" spans="1:7">
      <c r="A2" s="1672" t="s">
        <v>1570</v>
      </c>
      <c r="B2" s="1672"/>
      <c r="C2" s="1672"/>
    </row>
    <row r="3" spans="1:7">
      <c r="A3" s="1672" t="s">
        <v>1571</v>
      </c>
      <c r="B3" s="1672"/>
      <c r="C3" s="1672"/>
    </row>
    <row r="4" spans="1:7">
      <c r="A4" s="1672" t="str">
        <f>+'MISO Cover'!K4</f>
        <v>For  the 12 Months Ended 12/31/2016</v>
      </c>
      <c r="B4" s="1672"/>
      <c r="C4" s="1672"/>
    </row>
    <row r="7" spans="1:7">
      <c r="A7" s="1607" t="s">
        <v>140</v>
      </c>
      <c r="B7" s="1607" t="s">
        <v>112</v>
      </c>
      <c r="C7" s="1608"/>
    </row>
    <row r="9" spans="1:7">
      <c r="A9" s="1609" t="s">
        <v>1646</v>
      </c>
      <c r="B9" s="694" t="s">
        <v>1647</v>
      </c>
    </row>
    <row r="11" spans="1:7" ht="39.6">
      <c r="A11" s="1609" t="s">
        <v>1572</v>
      </c>
      <c r="B11" s="694" t="s">
        <v>1573</v>
      </c>
      <c r="D11" s="1610"/>
      <c r="E11" s="1611"/>
      <c r="F11" s="1610"/>
      <c r="G11" s="1610"/>
    </row>
    <row r="12" spans="1:7" ht="15">
      <c r="B12" s="694"/>
      <c r="D12" s="1610"/>
      <c r="E12" s="1611"/>
      <c r="F12" s="1610"/>
      <c r="G12" s="1610"/>
    </row>
    <row r="13" spans="1:7" ht="26.4">
      <c r="A13" s="1609" t="s">
        <v>1616</v>
      </c>
      <c r="B13" s="694" t="s">
        <v>1617</v>
      </c>
      <c r="D13" s="1610"/>
      <c r="E13" s="1611"/>
      <c r="F13" s="1610"/>
      <c r="G13" s="1610"/>
    </row>
    <row r="14" spans="1:7" ht="15">
      <c r="B14" s="694"/>
      <c r="D14" s="1610"/>
      <c r="E14" s="1611"/>
      <c r="F14" s="1610"/>
      <c r="G14" s="1610"/>
    </row>
    <row r="15" spans="1:7" ht="26.4">
      <c r="A15" s="1609" t="s">
        <v>1574</v>
      </c>
      <c r="B15" s="1609" t="s">
        <v>1618</v>
      </c>
      <c r="D15" s="1612"/>
      <c r="E15" s="1611"/>
      <c r="F15" s="1610"/>
      <c r="G15" s="1610"/>
    </row>
    <row r="16" spans="1:7" ht="79.2">
      <c r="A16" s="1609" t="s">
        <v>1574</v>
      </c>
      <c r="B16" s="1609" t="s">
        <v>1575</v>
      </c>
      <c r="D16" s="1612"/>
      <c r="E16" s="1611"/>
      <c r="F16" s="1610"/>
      <c r="G16" s="1610"/>
    </row>
    <row r="17" spans="1:7" ht="15">
      <c r="D17" s="1612"/>
      <c r="E17" s="1611"/>
      <c r="F17" s="1610"/>
      <c r="G17" s="1610"/>
    </row>
    <row r="18" spans="1:7" ht="15">
      <c r="A18" s="1609" t="s">
        <v>1619</v>
      </c>
      <c r="B18" s="1609" t="s">
        <v>1620</v>
      </c>
      <c r="D18" s="1612"/>
      <c r="E18" s="1611"/>
      <c r="F18" s="1610"/>
      <c r="G18" s="1610"/>
    </row>
    <row r="19" spans="1:7" ht="15">
      <c r="D19" s="1612"/>
      <c r="E19" s="1611"/>
      <c r="F19" s="1610"/>
      <c r="G19" s="1610"/>
    </row>
    <row r="20" spans="1:7">
      <c r="A20" s="1609" t="s">
        <v>1576</v>
      </c>
      <c r="B20" s="1609" t="s">
        <v>1577</v>
      </c>
    </row>
    <row r="22" spans="1:7" ht="26.4">
      <c r="A22" s="1609" t="s">
        <v>1578</v>
      </c>
      <c r="B22" s="1609" t="s">
        <v>1579</v>
      </c>
      <c r="D22" s="1612"/>
      <c r="E22" s="1611"/>
      <c r="F22" s="1610"/>
      <c r="G22" s="1610"/>
    </row>
    <row r="23" spans="1:7" ht="15">
      <c r="D23" s="1612"/>
      <c r="E23" s="1611"/>
      <c r="F23" s="1610"/>
      <c r="G23" s="1610"/>
    </row>
    <row r="24" spans="1:7" ht="52.8">
      <c r="A24" s="1609" t="s">
        <v>1580</v>
      </c>
      <c r="B24" s="1609" t="s">
        <v>1581</v>
      </c>
      <c r="C24" s="639"/>
    </row>
    <row r="26" spans="1:7" ht="26.4">
      <c r="A26" s="1609" t="s">
        <v>1623</v>
      </c>
      <c r="B26" s="1609" t="s">
        <v>1624</v>
      </c>
    </row>
  </sheetData>
  <mergeCells count="4">
    <mergeCell ref="A1:C1"/>
    <mergeCell ref="A2:C2"/>
    <mergeCell ref="A3:C3"/>
    <mergeCell ref="A4:C4"/>
  </mergeCells>
  <pageMargins left="0.7" right="0.7" top="0.75" bottom="0.75" header="0.3" footer="0.3"/>
  <pageSetup scale="95" orientation="portrait" r:id="rId1"/>
  <headerFooter>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workbookViewId="0">
      <selection activeCell="A9" sqref="A9"/>
    </sheetView>
  </sheetViews>
  <sheetFormatPr defaultRowHeight="13.2"/>
  <cols>
    <col min="1" max="1" width="3.21875" style="181" bestFit="1" customWidth="1"/>
    <col min="2" max="2" width="12.88671875" bestFit="1" customWidth="1"/>
    <col min="3" max="3" width="13.77734375" customWidth="1"/>
    <col min="4" max="4" width="11.44140625" bestFit="1" customWidth="1"/>
    <col min="5" max="5" width="12.109375" bestFit="1" customWidth="1"/>
    <col min="6" max="6" width="11.44140625" bestFit="1" customWidth="1"/>
    <col min="7" max="7" width="11.77734375" bestFit="1" customWidth="1"/>
    <col min="8" max="8" width="11.109375" bestFit="1" customWidth="1"/>
    <col min="9" max="9" width="11.88671875" customWidth="1"/>
    <col min="10" max="10" width="12.77734375" customWidth="1"/>
    <col min="11" max="11" width="14.109375" bestFit="1" customWidth="1"/>
    <col min="12" max="12" width="13.44140625" customWidth="1"/>
    <col min="13" max="13" width="11.44140625" bestFit="1" customWidth="1"/>
  </cols>
  <sheetData>
    <row r="1" spans="1:16" s="489" customFormat="1">
      <c r="A1" s="1703" t="str">
        <f>+'MISO Cover'!C6</f>
        <v>Entergy Texas, Inc.</v>
      </c>
      <c r="B1" s="1703"/>
      <c r="C1" s="1703"/>
      <c r="D1" s="1703"/>
      <c r="E1" s="1703"/>
      <c r="F1" s="1703"/>
      <c r="G1" s="1703"/>
      <c r="H1" s="1703"/>
      <c r="I1" s="1703"/>
      <c r="J1" s="1703"/>
      <c r="K1" s="1703"/>
      <c r="L1" s="1703"/>
    </row>
    <row r="2" spans="1:16" s="489" customFormat="1">
      <c r="A2" s="1715" t="s">
        <v>1553</v>
      </c>
      <c r="B2" s="1715"/>
      <c r="C2" s="1715"/>
      <c r="D2" s="1715"/>
      <c r="E2" s="1715"/>
      <c r="F2" s="1715"/>
      <c r="G2" s="1715"/>
      <c r="H2" s="1715"/>
      <c r="I2" s="1715"/>
      <c r="J2" s="1715"/>
      <c r="K2" s="1715"/>
      <c r="L2" s="1715"/>
      <c r="M2" s="494" t="s">
        <v>1554</v>
      </c>
    </row>
    <row r="3" spans="1:16" s="489" customFormat="1">
      <c r="A3" s="1716" t="str">
        <f>+'MISO Cover'!K4</f>
        <v>For  the 12 Months Ended 12/31/2016</v>
      </c>
      <c r="B3" s="1716"/>
      <c r="C3" s="1716"/>
      <c r="D3" s="1716"/>
      <c r="E3" s="1716"/>
      <c r="F3" s="1716"/>
      <c r="G3" s="1716"/>
      <c r="H3" s="1716"/>
      <c r="I3" s="1716"/>
      <c r="J3" s="1716"/>
      <c r="K3" s="1716"/>
      <c r="L3" s="1716"/>
    </row>
    <row r="4" spans="1:16" s="1638" customFormat="1">
      <c r="A4" s="1634"/>
      <c r="B4" s="1637"/>
      <c r="C4" s="1637"/>
      <c r="D4" s="1637"/>
      <c r="E4" s="1637"/>
      <c r="F4" s="1637"/>
      <c r="G4" s="1637"/>
      <c r="H4" s="1637"/>
      <c r="I4" s="1637"/>
      <c r="J4" s="1637"/>
      <c r="K4" s="1645" t="s">
        <v>1613</v>
      </c>
      <c r="L4" s="1646" t="s">
        <v>1614</v>
      </c>
    </row>
    <row r="5" spans="1:16" s="1638" customFormat="1">
      <c r="A5" s="1634" t="s">
        <v>67</v>
      </c>
      <c r="B5" s="1637" t="s">
        <v>114</v>
      </c>
      <c r="C5" s="1637" t="s">
        <v>55</v>
      </c>
      <c r="D5" s="1637" t="s">
        <v>68</v>
      </c>
      <c r="E5" s="1637" t="s">
        <v>66</v>
      </c>
      <c r="F5" s="1637" t="s">
        <v>156</v>
      </c>
      <c r="G5" s="1637" t="s">
        <v>69</v>
      </c>
      <c r="H5" s="1637" t="s">
        <v>169</v>
      </c>
      <c r="I5" s="1637" t="s">
        <v>59</v>
      </c>
      <c r="J5" s="1637" t="s">
        <v>60</v>
      </c>
      <c r="K5" s="1637" t="s">
        <v>71</v>
      </c>
      <c r="L5" s="1644" t="s">
        <v>98</v>
      </c>
    </row>
    <row r="6" spans="1:16" s="1641" customFormat="1" ht="43.2">
      <c r="A6" s="1639" t="s">
        <v>277</v>
      </c>
      <c r="B6" s="1640" t="s">
        <v>1409</v>
      </c>
      <c r="C6" s="1640" t="s">
        <v>1555</v>
      </c>
      <c r="D6" s="1640" t="s">
        <v>1556</v>
      </c>
      <c r="E6" s="1640" t="s">
        <v>1557</v>
      </c>
      <c r="F6" s="1640" t="s">
        <v>1558</v>
      </c>
      <c r="G6" s="1640" t="s">
        <v>1559</v>
      </c>
      <c r="H6" s="1640" t="s">
        <v>1565</v>
      </c>
      <c r="I6" s="1640" t="s">
        <v>1560</v>
      </c>
      <c r="J6" s="1640" t="s">
        <v>1561</v>
      </c>
      <c r="K6" s="1651" t="s">
        <v>1562</v>
      </c>
      <c r="L6" s="1651" t="s">
        <v>1556</v>
      </c>
      <c r="M6" s="1552"/>
      <c r="N6" s="1638"/>
      <c r="O6" s="1638"/>
      <c r="P6" s="1638"/>
    </row>
    <row r="7" spans="1:16">
      <c r="A7" s="181">
        <v>1</v>
      </c>
      <c r="B7" s="1602" t="s">
        <v>172</v>
      </c>
      <c r="C7" s="1603">
        <f>'WP04 PIS'!K28</f>
        <v>28208745</v>
      </c>
      <c r="D7" s="1603">
        <v>3819349.2399999998</v>
      </c>
      <c r="E7" s="1603">
        <v>-403671.91</v>
      </c>
      <c r="F7" s="1603">
        <f>'WP AJ3 GPRD'!C8</f>
        <v>20403272</v>
      </c>
      <c r="G7" s="1603">
        <v>1325240.3499999999</v>
      </c>
      <c r="H7" s="1603">
        <v>-23571.840000000564</v>
      </c>
      <c r="I7" s="1603">
        <v>0</v>
      </c>
      <c r="J7" s="1603">
        <v>-1052811.8000000045</v>
      </c>
      <c r="K7" s="1603">
        <f>'WP04 PIS'!K40</f>
        <v>52303551</v>
      </c>
      <c r="L7" s="1603">
        <f>+D7+G7+H7+I7</f>
        <v>5121017.7499999991</v>
      </c>
      <c r="M7" s="1657"/>
      <c r="N7" s="1657"/>
    </row>
    <row r="8" spans="1:16" s="1602" customFormat="1">
      <c r="A8" s="1082">
        <v>2</v>
      </c>
      <c r="B8" s="1602" t="s">
        <v>410</v>
      </c>
      <c r="C8" s="1603">
        <f>'WP04 PIS'!C28</f>
        <v>98146179</v>
      </c>
      <c r="D8" s="1603">
        <v>6254348.879999999</v>
      </c>
      <c r="E8" s="1603">
        <v>0</v>
      </c>
      <c r="F8" s="1603">
        <v>0</v>
      </c>
      <c r="G8" s="1603">
        <v>0</v>
      </c>
      <c r="H8" s="1603">
        <v>0</v>
      </c>
      <c r="I8" s="1603">
        <v>-1329.8799999952316</v>
      </c>
      <c r="J8" s="1603">
        <v>0</v>
      </c>
      <c r="K8" s="1603">
        <f>'WP04 PIS'!C40</f>
        <v>104399198</v>
      </c>
      <c r="L8" s="1603">
        <f t="shared" ref="L8:L11" si="0">+D8+G8+H8+I8</f>
        <v>6253019.0000000037</v>
      </c>
      <c r="M8" s="1633">
        <f t="shared" ref="M8:M11" si="1">SUM(C8:J8)-K8</f>
        <v>0</v>
      </c>
    </row>
    <row r="9" spans="1:16">
      <c r="A9" s="181">
        <v>3</v>
      </c>
      <c r="B9" s="1602" t="s">
        <v>597</v>
      </c>
      <c r="C9" s="1603">
        <f>'WP04 PIS'!G28</f>
        <v>309959548</v>
      </c>
      <c r="D9" s="1603">
        <v>22407324.239999998</v>
      </c>
      <c r="E9" s="1603">
        <v>-2346479.04</v>
      </c>
      <c r="F9" s="1603">
        <v>0</v>
      </c>
      <c r="G9" s="1603">
        <v>0</v>
      </c>
      <c r="H9" s="1603">
        <v>-979804.59997642471</v>
      </c>
      <c r="I9" s="1603">
        <v>0</v>
      </c>
      <c r="J9" s="1603">
        <v>-2202811.6000235677</v>
      </c>
      <c r="K9" s="1603">
        <f>'WP04 PIS'!G40</f>
        <v>326837777</v>
      </c>
      <c r="L9" s="1603">
        <f t="shared" si="0"/>
        <v>21427519.640023574</v>
      </c>
      <c r="M9" s="1633">
        <f t="shared" si="1"/>
        <v>0</v>
      </c>
    </row>
    <row r="10" spans="1:16" s="639" customFormat="1" ht="26.4">
      <c r="A10" s="1628">
        <f t="shared" ref="A10:A12" si="2">+A9+1</f>
        <v>4</v>
      </c>
      <c r="B10" s="1635" t="s">
        <v>1606</v>
      </c>
      <c r="C10" s="1629">
        <f>'WP04 PIS'!D28</f>
        <v>598815837</v>
      </c>
      <c r="D10" s="1835" t="s">
        <v>1621</v>
      </c>
      <c r="E10" s="1629">
        <v>-47773998</v>
      </c>
      <c r="F10" s="1648" t="s">
        <v>1607</v>
      </c>
      <c r="G10" s="1648"/>
      <c r="H10" s="1648"/>
      <c r="I10" s="1648"/>
      <c r="J10" s="1835" t="str">
        <f>D10</f>
        <v>Not Available</v>
      </c>
      <c r="K10" s="1629">
        <f>'WP04 PIS'!D40</f>
        <v>560406508</v>
      </c>
      <c r="L10" s="1836" t="str">
        <f>J10</f>
        <v>Not Available</v>
      </c>
      <c r="M10" s="1633"/>
      <c r="N10" s="1650" t="s">
        <v>1622</v>
      </c>
    </row>
    <row r="11" spans="1:16" s="639" customFormat="1">
      <c r="A11" s="1628">
        <f t="shared" si="2"/>
        <v>5</v>
      </c>
      <c r="B11" s="1610" t="s">
        <v>20</v>
      </c>
      <c r="C11" s="1630">
        <f>'WP04 PIS'!J28</f>
        <v>418770839</v>
      </c>
      <c r="D11" s="1630">
        <v>44514963.570000067</v>
      </c>
      <c r="E11" s="1630">
        <v>-1438964.75</v>
      </c>
      <c r="F11" s="1630">
        <v>0</v>
      </c>
      <c r="G11" s="1630">
        <v>0</v>
      </c>
      <c r="H11" s="1630">
        <v>0</v>
      </c>
      <c r="I11" s="1630">
        <v>0</v>
      </c>
      <c r="J11" s="1630">
        <v>-4686506.8200000525</v>
      </c>
      <c r="K11" s="1630">
        <f>'WP04 PIS'!J40</f>
        <v>457160331</v>
      </c>
      <c r="L11" s="1649">
        <f t="shared" si="0"/>
        <v>44514963.570000067</v>
      </c>
      <c r="M11" s="1633">
        <f t="shared" si="1"/>
        <v>0</v>
      </c>
    </row>
    <row r="12" spans="1:16" s="639" customFormat="1">
      <c r="A12" s="1628">
        <f t="shared" si="2"/>
        <v>6</v>
      </c>
      <c r="B12" s="1610" t="s">
        <v>113</v>
      </c>
      <c r="C12" s="1631">
        <f>SUM(C7:C11)</f>
        <v>1453901148</v>
      </c>
      <c r="D12" s="1631">
        <f t="shared" ref="D12:L12" si="3">SUM(D7:D11)</f>
        <v>76995985.930000067</v>
      </c>
      <c r="E12" s="1631">
        <f t="shared" si="3"/>
        <v>-51963113.700000003</v>
      </c>
      <c r="F12" s="1631">
        <f t="shared" si="3"/>
        <v>20403272</v>
      </c>
      <c r="G12" s="1631">
        <f t="shared" si="3"/>
        <v>1325240.3499999999</v>
      </c>
      <c r="H12" s="1631">
        <f t="shared" si="3"/>
        <v>-1003376.4399764253</v>
      </c>
      <c r="I12" s="1631">
        <f t="shared" si="3"/>
        <v>-1329.8799999952316</v>
      </c>
      <c r="J12" s="1631">
        <f t="shared" si="3"/>
        <v>-7942130.2200236246</v>
      </c>
      <c r="K12" s="1631">
        <f t="shared" si="3"/>
        <v>1501107365</v>
      </c>
      <c r="L12" s="1631">
        <f t="shared" si="3"/>
        <v>77316519.960023642</v>
      </c>
      <c r="M12" s="1633"/>
    </row>
    <row r="13" spans="1:16" s="639" customFormat="1">
      <c r="A13" s="1628"/>
      <c r="B13" s="1610"/>
      <c r="C13" s="1629"/>
      <c r="D13" s="1629"/>
      <c r="E13" s="1629"/>
      <c r="F13" s="1629"/>
      <c r="G13" s="1629"/>
      <c r="H13" s="1629"/>
      <c r="I13" s="1629"/>
      <c r="J13" s="1629"/>
      <c r="K13" s="1629"/>
      <c r="L13" s="1610"/>
    </row>
    <row r="14" spans="1:16" s="639" customFormat="1">
      <c r="A14" s="1628"/>
      <c r="B14" s="1610"/>
      <c r="C14" s="1084" t="s">
        <v>170</v>
      </c>
      <c r="D14" s="1610"/>
      <c r="E14" s="1084" t="s">
        <v>316</v>
      </c>
      <c r="F14" s="1084" t="s">
        <v>317</v>
      </c>
      <c r="G14" s="1084" t="s">
        <v>318</v>
      </c>
      <c r="H14" s="1084" t="s">
        <v>319</v>
      </c>
      <c r="I14" s="1084" t="s">
        <v>712</v>
      </c>
      <c r="J14" s="1084" t="s">
        <v>714</v>
      </c>
      <c r="K14" s="1084" t="s">
        <v>1120</v>
      </c>
      <c r="L14" s="1084" t="s">
        <v>1506</v>
      </c>
    </row>
    <row r="15" spans="1:16" s="639" customFormat="1">
      <c r="A15" s="1628"/>
      <c r="B15" s="1610"/>
      <c r="C15" s="1610"/>
      <c r="D15" s="1610"/>
      <c r="E15" s="1610"/>
      <c r="F15" s="1610"/>
      <c r="G15" s="1610"/>
      <c r="H15" s="1610"/>
      <c r="I15" s="1610"/>
      <c r="J15" s="1610"/>
      <c r="K15" s="1610"/>
      <c r="L15" s="1610"/>
    </row>
    <row r="16" spans="1:16" s="639" customFormat="1">
      <c r="A16" s="1652" t="s">
        <v>295</v>
      </c>
      <c r="B16" s="1610"/>
      <c r="C16" s="1610"/>
      <c r="D16" s="1610"/>
      <c r="E16" s="1610"/>
      <c r="F16" s="1610"/>
      <c r="G16" s="1610"/>
      <c r="H16" s="1610"/>
      <c r="I16" s="1610"/>
      <c r="J16" s="1610"/>
      <c r="K16" s="1610"/>
      <c r="L16" s="1610"/>
    </row>
    <row r="17" spans="1:12" s="639" customFormat="1">
      <c r="A17" s="1084" t="s">
        <v>170</v>
      </c>
      <c r="B17" s="1718" t="s">
        <v>1563</v>
      </c>
      <c r="C17" s="1718"/>
      <c r="D17" s="1718"/>
      <c r="E17" s="1718"/>
      <c r="F17" s="1718"/>
      <c r="G17" s="1718"/>
      <c r="H17" s="1718"/>
      <c r="I17" s="1718"/>
      <c r="J17" s="1718"/>
      <c r="K17" s="1718"/>
      <c r="L17" s="1718"/>
    </row>
    <row r="18" spans="1:12" s="639" customFormat="1">
      <c r="A18" s="1084" t="s">
        <v>316</v>
      </c>
      <c r="B18" s="1718" t="s">
        <v>1612</v>
      </c>
      <c r="C18" s="1718"/>
      <c r="D18" s="1718"/>
      <c r="E18" s="1718"/>
      <c r="F18" s="1718"/>
      <c r="G18" s="1718"/>
      <c r="H18" s="1718"/>
      <c r="I18" s="1718"/>
      <c r="J18" s="1718"/>
      <c r="K18" s="1718"/>
      <c r="L18" s="1718"/>
    </row>
    <row r="19" spans="1:12" s="639" customFormat="1">
      <c r="A19" s="1084" t="s">
        <v>317</v>
      </c>
      <c r="B19" s="1718" t="s">
        <v>1566</v>
      </c>
      <c r="C19" s="1718"/>
      <c r="D19" s="1718"/>
      <c r="E19" s="1718"/>
      <c r="F19" s="1718"/>
      <c r="G19" s="1718"/>
      <c r="H19" s="1718"/>
      <c r="I19" s="1718"/>
      <c r="J19" s="1718"/>
      <c r="K19" s="1718"/>
      <c r="L19" s="1718"/>
    </row>
    <row r="20" spans="1:12" s="639" customFormat="1" ht="26.4" customHeight="1">
      <c r="A20" s="1084" t="s">
        <v>318</v>
      </c>
      <c r="B20" s="1719" t="s">
        <v>1594</v>
      </c>
      <c r="C20" s="1719"/>
      <c r="D20" s="1719"/>
      <c r="E20" s="1719"/>
      <c r="F20" s="1719"/>
      <c r="G20" s="1719"/>
      <c r="H20" s="1719"/>
      <c r="I20" s="1719"/>
      <c r="J20" s="1719"/>
      <c r="K20" s="1719"/>
      <c r="L20" s="1719"/>
    </row>
    <row r="21" spans="1:12" s="639" customFormat="1">
      <c r="A21" s="1653" t="s">
        <v>319</v>
      </c>
      <c r="B21" s="1719" t="s">
        <v>1596</v>
      </c>
      <c r="C21" s="1719"/>
      <c r="D21" s="1719"/>
      <c r="E21" s="1719"/>
      <c r="F21" s="1719"/>
      <c r="G21" s="1719"/>
      <c r="H21" s="1719"/>
      <c r="I21" s="1719"/>
      <c r="J21" s="1719"/>
      <c r="K21" s="1719"/>
      <c r="L21" s="1719"/>
    </row>
    <row r="22" spans="1:12" s="639" customFormat="1" ht="13.2" customHeight="1">
      <c r="A22" s="1084" t="s">
        <v>712</v>
      </c>
      <c r="B22" s="1654" t="s">
        <v>1595</v>
      </c>
      <c r="C22" s="1610"/>
      <c r="D22" s="1610"/>
      <c r="E22" s="1610"/>
      <c r="F22" s="1610"/>
      <c r="G22" s="1610"/>
      <c r="H22" s="1610"/>
      <c r="I22" s="1610"/>
      <c r="J22" s="1610"/>
      <c r="K22" s="1610"/>
      <c r="L22" s="1610"/>
    </row>
    <row r="23" spans="1:12" s="639" customFormat="1">
      <c r="A23" s="1084" t="s">
        <v>714</v>
      </c>
      <c r="B23" s="1718" t="s">
        <v>1611</v>
      </c>
      <c r="C23" s="1718"/>
      <c r="D23" s="1718"/>
      <c r="E23" s="1718"/>
      <c r="F23" s="1718"/>
      <c r="G23" s="1718"/>
      <c r="H23" s="1718"/>
      <c r="I23" s="1718"/>
      <c r="J23" s="1718"/>
      <c r="K23" s="1718"/>
      <c r="L23" s="1718"/>
    </row>
    <row r="24" spans="1:12" s="639" customFormat="1">
      <c r="A24" s="1084" t="s">
        <v>1120</v>
      </c>
      <c r="B24" s="1718" t="s">
        <v>1564</v>
      </c>
      <c r="C24" s="1718"/>
      <c r="D24" s="1718"/>
      <c r="E24" s="1718"/>
      <c r="F24" s="1718"/>
      <c r="G24" s="1718"/>
      <c r="H24" s="1718"/>
      <c r="I24" s="1718"/>
      <c r="J24" s="1718"/>
      <c r="K24" s="1718"/>
      <c r="L24" s="1718"/>
    </row>
    <row r="25" spans="1:12">
      <c r="A25" s="1655" t="s">
        <v>1506</v>
      </c>
      <c r="B25" s="1718" t="s">
        <v>1615</v>
      </c>
      <c r="C25" s="1718"/>
      <c r="D25" s="1718"/>
      <c r="E25" s="1718"/>
      <c r="F25" s="1718"/>
      <c r="G25" s="1718"/>
      <c r="H25" s="1718"/>
      <c r="I25" s="1718"/>
      <c r="J25" s="1718"/>
      <c r="K25" s="1718"/>
      <c r="L25" s="1718"/>
    </row>
    <row r="26" spans="1:12" s="639" customFormat="1">
      <c r="A26" s="1628"/>
      <c r="B26" s="1610"/>
      <c r="C26" s="1610"/>
      <c r="D26" s="1610"/>
      <c r="E26" s="1610"/>
      <c r="F26" s="1610"/>
      <c r="G26" s="1610"/>
      <c r="H26" s="1610"/>
      <c r="I26" s="1610"/>
      <c r="J26" s="1610"/>
      <c r="K26" s="1610"/>
      <c r="L26" s="1602"/>
    </row>
    <row r="27" spans="1:12" s="639" customFormat="1">
      <c r="A27" s="1628"/>
      <c r="B27" s="1610"/>
      <c r="C27" s="1610"/>
      <c r="D27" s="1610"/>
      <c r="E27" s="1610"/>
      <c r="F27" s="1610"/>
      <c r="G27" s="1610"/>
      <c r="H27" s="1610"/>
      <c r="I27" s="1610"/>
      <c r="J27" s="1610"/>
      <c r="K27" s="1610"/>
      <c r="L27" s="1602"/>
    </row>
  </sheetData>
  <mergeCells count="11">
    <mergeCell ref="B25:L25"/>
    <mergeCell ref="A1:L1"/>
    <mergeCell ref="A2:L2"/>
    <mergeCell ref="A3:L3"/>
    <mergeCell ref="B17:L17"/>
    <mergeCell ref="B18:L18"/>
    <mergeCell ref="B19:L19"/>
    <mergeCell ref="B20:L20"/>
    <mergeCell ref="B21:L21"/>
    <mergeCell ref="B23:L23"/>
    <mergeCell ref="B24:L24"/>
  </mergeCells>
  <printOptions horizontalCentered="1"/>
  <pageMargins left="0.5" right="0.5" top="0.75" bottom="0.75" header="0.3" footer="0.5"/>
  <pageSetup scale="90" orientation="landscape" r:id="rId1"/>
  <headerFooter>
    <oddFooter>&amp;R&amp;A</oddFooter>
  </headerFooter>
  <ignoredErrors>
    <ignoredError sqref="C14:L14 A17:A25" numberStoredAsText="1"/>
    <ignoredError sqref="L1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AH165"/>
  <sheetViews>
    <sheetView zoomScaleNormal="100" zoomScaleSheetLayoutView="80" workbookViewId="0">
      <selection activeCell="A9" sqref="A9"/>
    </sheetView>
  </sheetViews>
  <sheetFormatPr defaultColWidth="9.109375" defaultRowHeight="13.2"/>
  <cols>
    <col min="1" max="1" width="5.6640625" style="211" customWidth="1"/>
    <col min="2" max="2" width="9.88671875" style="211" customWidth="1"/>
    <col min="3" max="3" width="20.5546875" style="60" customWidth="1"/>
    <col min="4" max="4" width="20.109375" style="60" customWidth="1"/>
    <col min="5" max="5" width="13" style="60" bestFit="1" customWidth="1"/>
    <col min="6" max="16384" width="9.109375" style="60"/>
  </cols>
  <sheetData>
    <row r="1" spans="1:7" s="732" customFormat="1">
      <c r="A1" s="1720" t="str">
        <f>+'MISO Cover'!C6</f>
        <v>Entergy Texas, Inc.</v>
      </c>
      <c r="B1" s="1720"/>
      <c r="C1" s="1720"/>
      <c r="D1" s="1720"/>
      <c r="E1" s="569"/>
      <c r="F1" s="569"/>
      <c r="G1" s="569"/>
    </row>
    <row r="2" spans="1:7">
      <c r="A2" s="1715" t="s">
        <v>666</v>
      </c>
      <c r="B2" s="1715"/>
      <c r="C2" s="1715"/>
      <c r="D2" s="1715"/>
    </row>
    <row r="3" spans="1:7" s="160" customFormat="1">
      <c r="A3" s="1721" t="str">
        <f>+'MISO Cover'!K4</f>
        <v>For  the 12 Months Ended 12/31/2016</v>
      </c>
      <c r="B3" s="1721"/>
      <c r="C3" s="1721"/>
      <c r="D3" s="1721"/>
      <c r="E3" s="197"/>
      <c r="F3" s="197"/>
      <c r="G3" s="197"/>
    </row>
    <row r="4" spans="1:7" s="160" customFormat="1">
      <c r="A4" s="720"/>
      <c r="B4" s="720"/>
      <c r="C4" s="720"/>
      <c r="D4" s="720"/>
      <c r="E4" s="197"/>
      <c r="F4" s="197"/>
      <c r="G4" s="197"/>
    </row>
    <row r="5" spans="1:7" ht="15" customHeight="1">
      <c r="A5" s="568"/>
      <c r="B5" s="568"/>
      <c r="C5" s="568"/>
      <c r="D5" s="568"/>
    </row>
    <row r="6" spans="1:7">
      <c r="A6" s="211" t="s">
        <v>277</v>
      </c>
      <c r="B6" s="211" t="s">
        <v>67</v>
      </c>
      <c r="C6" s="211" t="s">
        <v>114</v>
      </c>
      <c r="D6" s="213" t="s">
        <v>55</v>
      </c>
    </row>
    <row r="7" spans="1:7" ht="28.2" customHeight="1">
      <c r="A7" s="211">
        <v>1</v>
      </c>
      <c r="B7" s="60" t="s">
        <v>461</v>
      </c>
      <c r="C7" s="513" t="s">
        <v>833</v>
      </c>
      <c r="D7" s="211" t="s">
        <v>267</v>
      </c>
    </row>
    <row r="8" spans="1:7">
      <c r="A8" s="211">
        <f>+A7+1</f>
        <v>2</v>
      </c>
      <c r="B8" s="212"/>
      <c r="C8" s="183"/>
      <c r="D8" s="214"/>
    </row>
    <row r="9" spans="1:7">
      <c r="A9" s="211">
        <f t="shared" ref="A9:A22" si="0">+A8+1</f>
        <v>3</v>
      </c>
      <c r="B9" s="60" t="s">
        <v>27</v>
      </c>
      <c r="C9" s="669">
        <v>1193451.6704579256</v>
      </c>
      <c r="D9" s="214">
        <f>+C9</f>
        <v>1193451.6704579256</v>
      </c>
      <c r="F9" s="668"/>
    </row>
    <row r="10" spans="1:7">
      <c r="A10" s="211">
        <f t="shared" si="0"/>
        <v>4</v>
      </c>
      <c r="B10" s="60" t="s">
        <v>28</v>
      </c>
      <c r="C10" s="669">
        <v>1625065.077176837</v>
      </c>
      <c r="D10" s="214">
        <f>+D9+C10</f>
        <v>2818516.7476347629</v>
      </c>
    </row>
    <row r="11" spans="1:7">
      <c r="A11" s="211">
        <f t="shared" si="0"/>
        <v>5</v>
      </c>
      <c r="B11" s="60" t="s">
        <v>29</v>
      </c>
      <c r="C11" s="669">
        <v>7662357.3884747699</v>
      </c>
      <c r="D11" s="214">
        <f t="shared" ref="D11:D20" si="1">+D10+C11</f>
        <v>10480874.136109533</v>
      </c>
    </row>
    <row r="12" spans="1:7">
      <c r="A12" s="211">
        <f t="shared" si="0"/>
        <v>6</v>
      </c>
      <c r="B12" s="60" t="s">
        <v>30</v>
      </c>
      <c r="C12" s="669">
        <v>1927595.5955061382</v>
      </c>
      <c r="D12" s="214">
        <f t="shared" si="1"/>
        <v>12408469.73161567</v>
      </c>
    </row>
    <row r="13" spans="1:7">
      <c r="A13" s="211">
        <f t="shared" si="0"/>
        <v>7</v>
      </c>
      <c r="B13" s="60" t="s">
        <v>26</v>
      </c>
      <c r="C13" s="669">
        <v>4546507.4594945638</v>
      </c>
      <c r="D13" s="214">
        <f t="shared" si="1"/>
        <v>16954977.191110235</v>
      </c>
    </row>
    <row r="14" spans="1:7">
      <c r="A14" s="211">
        <f t="shared" si="0"/>
        <v>8</v>
      </c>
      <c r="B14" s="60" t="s">
        <v>31</v>
      </c>
      <c r="C14" s="669">
        <v>11754621.198692469</v>
      </c>
      <c r="D14" s="214">
        <f t="shared" si="1"/>
        <v>28709598.389802702</v>
      </c>
    </row>
    <row r="15" spans="1:7">
      <c r="A15" s="211">
        <f t="shared" si="0"/>
        <v>9</v>
      </c>
      <c r="B15" s="60" t="s">
        <v>32</v>
      </c>
      <c r="C15" s="669">
        <v>1008305.7216269181</v>
      </c>
      <c r="D15" s="214">
        <f t="shared" si="1"/>
        <v>29717904.111429621</v>
      </c>
    </row>
    <row r="16" spans="1:7">
      <c r="A16" s="211">
        <f t="shared" si="0"/>
        <v>10</v>
      </c>
      <c r="B16" s="60" t="s">
        <v>33</v>
      </c>
      <c r="C16" s="669">
        <v>1011249.0391683611</v>
      </c>
      <c r="D16" s="214">
        <f t="shared" si="1"/>
        <v>30729153.150597982</v>
      </c>
    </row>
    <row r="17" spans="1:4">
      <c r="A17" s="211">
        <f t="shared" si="0"/>
        <v>11</v>
      </c>
      <c r="B17" s="60" t="s">
        <v>34</v>
      </c>
      <c r="C17" s="669">
        <v>3546733.1528767627</v>
      </c>
      <c r="D17" s="214">
        <f t="shared" si="1"/>
        <v>34275886.303474747</v>
      </c>
    </row>
    <row r="18" spans="1:4">
      <c r="A18" s="211">
        <f t="shared" si="0"/>
        <v>12</v>
      </c>
      <c r="B18" s="60" t="s">
        <v>35</v>
      </c>
      <c r="C18" s="669">
        <v>2086613.6584101177</v>
      </c>
      <c r="D18" s="214">
        <f t="shared" si="1"/>
        <v>36362499.961884864</v>
      </c>
    </row>
    <row r="19" spans="1:4">
      <c r="A19" s="211">
        <f t="shared" si="0"/>
        <v>13</v>
      </c>
      <c r="B19" s="60" t="s">
        <v>36</v>
      </c>
      <c r="C19" s="669">
        <v>23852325.774229661</v>
      </c>
      <c r="D19" s="214">
        <f t="shared" si="1"/>
        <v>60214825.736114524</v>
      </c>
    </row>
    <row r="20" spans="1:4">
      <c r="A20" s="211">
        <f t="shared" si="0"/>
        <v>14</v>
      </c>
      <c r="B20" s="60" t="s">
        <v>37</v>
      </c>
      <c r="C20" s="1408">
        <v>23871442.021682244</v>
      </c>
      <c r="D20" s="822">
        <f t="shared" si="1"/>
        <v>84086267.757796764</v>
      </c>
    </row>
    <row r="21" spans="1:4">
      <c r="A21" s="211">
        <f t="shared" si="0"/>
        <v>15</v>
      </c>
      <c r="B21" s="60" t="s">
        <v>113</v>
      </c>
      <c r="C21" s="152">
        <f>SUM(C9:C20)</f>
        <v>84086267.757796764</v>
      </c>
    </row>
    <row r="22" spans="1:4">
      <c r="A22" s="211">
        <f t="shared" si="0"/>
        <v>16</v>
      </c>
      <c r="B22" s="60" t="s">
        <v>478</v>
      </c>
      <c r="C22" s="215"/>
      <c r="D22" s="214">
        <f>+SUM(D9:D20)/12</f>
        <v>28996035.407335777</v>
      </c>
    </row>
    <row r="23" spans="1:4" ht="13.5" customHeight="1">
      <c r="B23" s="60"/>
      <c r="C23" s="75"/>
      <c r="D23" s="212"/>
    </row>
    <row r="24" spans="1:4" s="248" customFormat="1">
      <c r="A24" s="151" t="s">
        <v>295</v>
      </c>
      <c r="C24" s="173"/>
    </row>
    <row r="25" spans="1:4" s="248" customFormat="1" ht="27.6" customHeight="1">
      <c r="A25" s="1707" t="s">
        <v>556</v>
      </c>
      <c r="B25" s="1707"/>
      <c r="C25" s="1707"/>
      <c r="D25" s="1707"/>
    </row>
    <row r="26" spans="1:4" s="248" customFormat="1" ht="40.950000000000003" customHeight="1">
      <c r="A26" s="1700" t="s">
        <v>829</v>
      </c>
      <c r="B26" s="1700"/>
      <c r="C26" s="1700"/>
      <c r="D26" s="1700"/>
    </row>
    <row r="27" spans="1:4" s="248" customFormat="1">
      <c r="A27" s="204"/>
      <c r="B27" s="204"/>
      <c r="D27" s="173"/>
    </row>
    <row r="28" spans="1:4" s="248" customFormat="1">
      <c r="A28" s="204"/>
      <c r="B28" s="204"/>
      <c r="D28" s="173"/>
    </row>
    <row r="29" spans="1:4" s="248" customFormat="1">
      <c r="A29" s="204"/>
      <c r="B29" s="204"/>
      <c r="D29" s="173"/>
    </row>
    <row r="30" spans="1:4" s="248" customFormat="1">
      <c r="A30" s="204"/>
      <c r="B30" s="204"/>
      <c r="D30" s="173"/>
    </row>
    <row r="31" spans="1:4" s="248" customFormat="1">
      <c r="A31" s="204"/>
      <c r="B31" s="204"/>
      <c r="D31" s="173"/>
    </row>
    <row r="32" spans="1:4" s="248" customFormat="1">
      <c r="A32" s="204"/>
      <c r="B32" s="204"/>
      <c r="D32" s="173"/>
    </row>
    <row r="33" spans="1:4" s="248" customFormat="1">
      <c r="A33" s="204"/>
      <c r="B33" s="204"/>
      <c r="D33" s="173"/>
    </row>
    <row r="34" spans="1:4" s="248" customFormat="1">
      <c r="A34" s="204"/>
      <c r="B34" s="204"/>
      <c r="D34" s="173"/>
    </row>
    <row r="35" spans="1:4" s="248" customFormat="1">
      <c r="A35" s="204"/>
      <c r="B35" s="204"/>
      <c r="D35" s="173"/>
    </row>
    <row r="36" spans="1:4" s="248" customFormat="1">
      <c r="A36" s="204"/>
      <c r="B36" s="204"/>
      <c r="D36" s="173"/>
    </row>
    <row r="37" spans="1:4" s="248" customFormat="1">
      <c r="A37" s="204"/>
      <c r="B37" s="204"/>
      <c r="D37" s="173"/>
    </row>
    <row r="38" spans="1:4" s="248" customFormat="1">
      <c r="A38" s="204"/>
      <c r="B38" s="204"/>
      <c r="D38" s="173"/>
    </row>
    <row r="39" spans="1:4" s="248" customFormat="1">
      <c r="A39" s="204"/>
      <c r="B39" s="204"/>
      <c r="D39" s="173"/>
    </row>
    <row r="40" spans="1:4" s="248" customFormat="1">
      <c r="A40" s="204"/>
      <c r="B40" s="204"/>
      <c r="D40" s="173"/>
    </row>
    <row r="41" spans="1:4" s="248" customFormat="1">
      <c r="A41" s="204"/>
      <c r="B41" s="204"/>
      <c r="D41" s="173"/>
    </row>
    <row r="42" spans="1:4" s="248" customFormat="1">
      <c r="A42" s="204"/>
      <c r="B42" s="204"/>
      <c r="D42" s="173"/>
    </row>
    <row r="43" spans="1:4" s="248" customFormat="1">
      <c r="A43" s="204"/>
      <c r="B43" s="204"/>
      <c r="D43" s="170"/>
    </row>
    <row r="44" spans="1:4" s="248" customFormat="1">
      <c r="A44" s="204"/>
      <c r="B44" s="204"/>
      <c r="D44" s="170"/>
    </row>
    <row r="45" spans="1:4" s="248" customFormat="1">
      <c r="A45" s="204"/>
      <c r="B45" s="204"/>
      <c r="D45" s="170"/>
    </row>
    <row r="46" spans="1:4" s="248" customFormat="1">
      <c r="A46" s="204"/>
      <c r="B46" s="204"/>
      <c r="D46" s="170"/>
    </row>
    <row r="47" spans="1:4" s="248" customFormat="1">
      <c r="A47" s="204"/>
      <c r="B47" s="204"/>
      <c r="D47" s="170"/>
    </row>
    <row r="48" spans="1:4" s="248" customFormat="1">
      <c r="A48" s="204"/>
      <c r="B48" s="204"/>
      <c r="D48" s="170"/>
    </row>
    <row r="49" spans="1:3" s="248" customFormat="1">
      <c r="A49" s="204"/>
      <c r="B49" s="204"/>
    </row>
    <row r="50" spans="1:3" s="248" customFormat="1">
      <c r="A50" s="204"/>
      <c r="B50" s="204"/>
    </row>
    <row r="51" spans="1:3" s="248" customFormat="1">
      <c r="A51" s="204"/>
      <c r="B51" s="204"/>
    </row>
    <row r="52" spans="1:3" s="248" customFormat="1">
      <c r="A52" s="204"/>
      <c r="B52" s="204"/>
      <c r="C52" s="204"/>
    </row>
    <row r="53" spans="1:3" s="248" customFormat="1">
      <c r="A53" s="204"/>
      <c r="B53" s="204"/>
    </row>
    <row r="54" spans="1:3" s="248" customFormat="1">
      <c r="A54" s="204"/>
      <c r="B54" s="204"/>
    </row>
    <row r="55" spans="1:3" s="248" customFormat="1">
      <c r="A55" s="204"/>
      <c r="B55" s="204"/>
    </row>
    <row r="56" spans="1:3" s="248" customFormat="1">
      <c r="A56" s="204"/>
      <c r="B56" s="204"/>
    </row>
    <row r="57" spans="1:3" s="248" customFormat="1">
      <c r="A57" s="204"/>
      <c r="B57" s="204"/>
    </row>
    <row r="58" spans="1:3" s="248" customFormat="1">
      <c r="A58" s="204"/>
      <c r="B58" s="204"/>
      <c r="C58" s="213"/>
    </row>
    <row r="59" spans="1:3" s="248" customFormat="1">
      <c r="A59" s="204"/>
      <c r="B59" s="204"/>
      <c r="C59" s="204"/>
    </row>
    <row r="60" spans="1:3" s="248" customFormat="1">
      <c r="A60" s="204"/>
      <c r="B60" s="204"/>
      <c r="C60" s="204"/>
    </row>
    <row r="61" spans="1:3" s="248" customFormat="1">
      <c r="A61" s="204"/>
      <c r="B61" s="204"/>
      <c r="C61" s="204"/>
    </row>
    <row r="62" spans="1:3" s="248" customFormat="1">
      <c r="A62" s="204"/>
      <c r="B62" s="204"/>
      <c r="C62" s="218"/>
    </row>
    <row r="63" spans="1:3" s="248" customFormat="1">
      <c r="A63" s="204"/>
      <c r="B63" s="204"/>
      <c r="C63" s="217"/>
    </row>
    <row r="64" spans="1:3" s="248" customFormat="1">
      <c r="A64" s="204"/>
      <c r="B64" s="204"/>
      <c r="C64" s="217"/>
    </row>
    <row r="65" spans="1:4" s="248" customFormat="1">
      <c r="A65" s="204"/>
      <c r="B65" s="204"/>
      <c r="C65" s="217"/>
    </row>
    <row r="66" spans="1:4" s="248" customFormat="1">
      <c r="A66" s="204"/>
      <c r="B66" s="204"/>
      <c r="C66" s="217"/>
    </row>
    <row r="67" spans="1:4" s="248" customFormat="1">
      <c r="A67" s="204"/>
      <c r="B67" s="204"/>
      <c r="C67" s="217"/>
    </row>
    <row r="68" spans="1:4" s="248" customFormat="1">
      <c r="A68" s="204"/>
      <c r="B68" s="204"/>
      <c r="C68" s="217"/>
    </row>
    <row r="69" spans="1:4" s="248" customFormat="1">
      <c r="A69" s="204"/>
      <c r="B69" s="204"/>
      <c r="C69" s="217"/>
    </row>
    <row r="70" spans="1:4" s="248" customFormat="1">
      <c r="A70" s="204"/>
      <c r="B70" s="204"/>
      <c r="C70" s="217"/>
    </row>
    <row r="71" spans="1:4" s="248" customFormat="1">
      <c r="A71" s="204"/>
      <c r="B71" s="204"/>
      <c r="C71" s="217"/>
    </row>
    <row r="72" spans="1:4" s="248" customFormat="1">
      <c r="A72" s="204"/>
      <c r="B72" s="204"/>
      <c r="C72" s="217"/>
    </row>
    <row r="73" spans="1:4" s="248" customFormat="1">
      <c r="A73" s="204"/>
      <c r="B73" s="204"/>
      <c r="C73" s="217"/>
    </row>
    <row r="74" spans="1:4" s="248" customFormat="1">
      <c r="A74" s="204"/>
      <c r="B74" s="204"/>
      <c r="C74" s="217"/>
    </row>
    <row r="75" spans="1:4" s="248" customFormat="1">
      <c r="A75" s="204"/>
      <c r="B75" s="204"/>
      <c r="C75" s="170"/>
      <c r="D75" s="170"/>
    </row>
    <row r="76" spans="1:4" s="248" customFormat="1">
      <c r="A76" s="204"/>
      <c r="B76" s="204"/>
    </row>
    <row r="77" spans="1:4" s="248" customFormat="1">
      <c r="B77" s="204"/>
    </row>
    <row r="78" spans="1:4" s="248" customFormat="1"/>
    <row r="79" spans="1:4" s="248" customFormat="1">
      <c r="A79" s="204"/>
      <c r="C79" s="204"/>
    </row>
    <row r="80" spans="1:4" s="248" customFormat="1">
      <c r="A80" s="204"/>
      <c r="B80" s="204"/>
      <c r="C80" s="204"/>
    </row>
    <row r="81" spans="1:34" s="248" customFormat="1">
      <c r="A81" s="204"/>
      <c r="B81" s="204"/>
      <c r="C81" s="204"/>
    </row>
    <row r="82" spans="1:34" s="248" customFormat="1">
      <c r="A82" s="204"/>
      <c r="B82" s="204"/>
      <c r="C82" s="204"/>
    </row>
    <row r="83" spans="1:34" s="248" customFormat="1">
      <c r="A83" s="204"/>
      <c r="B83" s="204"/>
    </row>
    <row r="84" spans="1:34" s="248" customFormat="1">
      <c r="A84" s="204"/>
      <c r="B84" s="183"/>
    </row>
    <row r="85" spans="1:34" s="248" customFormat="1">
      <c r="A85" s="204"/>
      <c r="B85" s="204"/>
      <c r="C85" s="216"/>
    </row>
    <row r="86" spans="1:34" s="248" customFormat="1">
      <c r="A86" s="204"/>
      <c r="B86" s="204"/>
    </row>
    <row r="87" spans="1:34" s="248" customFormat="1">
      <c r="A87" s="204"/>
      <c r="B87" s="204"/>
    </row>
    <row r="88" spans="1:34">
      <c r="A88" s="219"/>
      <c r="B88" s="204"/>
      <c r="C88" s="248"/>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row>
    <row r="89" spans="1:34">
      <c r="A89" s="219"/>
      <c r="B89" s="219"/>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row>
    <row r="90" spans="1:34">
      <c r="A90" s="219"/>
      <c r="B90" s="219"/>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row>
    <row r="91" spans="1:34">
      <c r="A91" s="219"/>
      <c r="B91" s="219"/>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row>
    <row r="92" spans="1:34">
      <c r="A92" s="219"/>
      <c r="B92" s="219"/>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row>
    <row r="93" spans="1:34">
      <c r="A93" s="219"/>
      <c r="B93" s="219"/>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row>
    <row r="94" spans="1:34">
      <c r="A94" s="219"/>
      <c r="B94" s="219"/>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row>
    <row r="95" spans="1:34">
      <c r="A95" s="219"/>
      <c r="B95" s="219"/>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row>
    <row r="96" spans="1:34">
      <c r="A96" s="219"/>
      <c r="B96" s="219"/>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row>
    <row r="97" spans="1:34">
      <c r="A97" s="219"/>
      <c r="B97" s="219"/>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row>
    <row r="98" spans="1:34">
      <c r="A98" s="219"/>
      <c r="B98" s="219"/>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row>
    <row r="99" spans="1:34">
      <c r="A99" s="219"/>
      <c r="B99" s="219"/>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row>
    <row r="100" spans="1:34">
      <c r="A100" s="219"/>
      <c r="B100" s="219"/>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row>
    <row r="101" spans="1:34">
      <c r="A101" s="219"/>
      <c r="B101" s="219"/>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row>
    <row r="102" spans="1:34">
      <c r="A102" s="219"/>
      <c r="B102" s="219"/>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row>
    <row r="103" spans="1:34">
      <c r="A103" s="219"/>
      <c r="B103" s="219"/>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row>
    <row r="104" spans="1:34">
      <c r="A104" s="219"/>
      <c r="B104" s="219"/>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row>
    <row r="105" spans="1:34">
      <c r="A105" s="219"/>
      <c r="B105" s="219"/>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row>
    <row r="106" spans="1:34">
      <c r="A106" s="219"/>
      <c r="B106" s="219"/>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row>
    <row r="107" spans="1:34">
      <c r="A107" s="219"/>
      <c r="B107" s="219"/>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row>
    <row r="108" spans="1:34">
      <c r="A108" s="219"/>
      <c r="B108" s="219"/>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row>
    <row r="109" spans="1:34">
      <c r="A109" s="219"/>
      <c r="B109" s="219"/>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row>
    <row r="110" spans="1:34">
      <c r="A110" s="219"/>
      <c r="B110" s="219"/>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row>
    <row r="111" spans="1:34">
      <c r="A111" s="219"/>
      <c r="B111" s="219"/>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row>
    <row r="112" spans="1:34">
      <c r="A112" s="219"/>
      <c r="B112" s="219"/>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row>
    <row r="113" spans="1:34">
      <c r="A113" s="219"/>
      <c r="B113" s="219"/>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row>
    <row r="114" spans="1:34">
      <c r="A114" s="219"/>
      <c r="B114" s="219"/>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row>
    <row r="115" spans="1:34">
      <c r="A115" s="219"/>
      <c r="B115" s="219"/>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row>
    <row r="116" spans="1:34">
      <c r="A116" s="219"/>
      <c r="B116" s="219"/>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row>
    <row r="117" spans="1:34">
      <c r="A117" s="219"/>
      <c r="B117" s="219"/>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row>
    <row r="118" spans="1:34">
      <c r="A118" s="219"/>
      <c r="B118" s="219"/>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row>
    <row r="119" spans="1:34">
      <c r="A119" s="219"/>
      <c r="B119" s="219"/>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row>
    <row r="120" spans="1:34">
      <c r="A120" s="219"/>
      <c r="B120" s="219"/>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row>
    <row r="121" spans="1:34">
      <c r="A121" s="219"/>
      <c r="B121" s="219"/>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row>
    <row r="122" spans="1:34">
      <c r="A122" s="219"/>
      <c r="B122" s="219"/>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row>
    <row r="123" spans="1:34">
      <c r="A123" s="219"/>
      <c r="B123" s="219"/>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row>
    <row r="124" spans="1:34">
      <c r="A124" s="219"/>
      <c r="B124" s="219"/>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row>
    <row r="125" spans="1:34">
      <c r="A125" s="219"/>
      <c r="B125" s="219"/>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row>
    <row r="126" spans="1:34">
      <c r="A126" s="219"/>
      <c r="B126" s="219"/>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row>
    <row r="127" spans="1:34">
      <c r="A127" s="219"/>
      <c r="B127" s="219"/>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row>
    <row r="128" spans="1:34">
      <c r="A128" s="219"/>
      <c r="B128" s="219"/>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row>
    <row r="129" spans="1:34">
      <c r="A129" s="219"/>
      <c r="B129" s="219"/>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row>
    <row r="130" spans="1:34">
      <c r="A130" s="219"/>
      <c r="B130" s="219"/>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row>
    <row r="131" spans="1:34">
      <c r="A131" s="219"/>
      <c r="B131" s="219"/>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row>
    <row r="132" spans="1:34">
      <c r="A132" s="219"/>
      <c r="B132" s="219"/>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row>
    <row r="133" spans="1:34">
      <c r="A133" s="219"/>
      <c r="B133" s="219"/>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row>
    <row r="134" spans="1:34">
      <c r="A134" s="219"/>
      <c r="B134" s="219"/>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row>
    <row r="135" spans="1:34">
      <c r="A135" s="219"/>
      <c r="B135" s="219"/>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row>
    <row r="136" spans="1:34">
      <c r="A136" s="219"/>
      <c r="B136" s="219"/>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row>
    <row r="137" spans="1:34">
      <c r="A137" s="219"/>
      <c r="B137" s="219"/>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row>
    <row r="138" spans="1:34">
      <c r="A138" s="219"/>
      <c r="B138" s="219"/>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row>
    <row r="139" spans="1:34">
      <c r="A139" s="219"/>
      <c r="B139" s="219"/>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row>
    <row r="140" spans="1:34">
      <c r="A140" s="219"/>
      <c r="B140" s="219"/>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row>
    <row r="141" spans="1:34">
      <c r="A141" s="219"/>
      <c r="B141" s="219"/>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row>
    <row r="142" spans="1:34">
      <c r="A142" s="219"/>
      <c r="B142" s="219"/>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row>
    <row r="143" spans="1:34">
      <c r="A143" s="219"/>
      <c r="B143" s="219"/>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row>
    <row r="144" spans="1:34">
      <c r="A144" s="219"/>
      <c r="B144" s="219"/>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row>
    <row r="145" spans="1:34" s="211" customFormat="1">
      <c r="A145" s="219"/>
      <c r="B145" s="219"/>
      <c r="C145" s="75"/>
      <c r="D145" s="75"/>
      <c r="E145" s="219"/>
      <c r="F145" s="219"/>
      <c r="G145" s="219"/>
      <c r="H145" s="219"/>
      <c r="I145" s="219"/>
      <c r="J145" s="219"/>
      <c r="K145" s="219"/>
      <c r="L145" s="219"/>
      <c r="M145" s="219"/>
      <c r="N145" s="219"/>
      <c r="O145" s="219"/>
      <c r="P145" s="219"/>
      <c r="Q145" s="219"/>
      <c r="R145" s="219"/>
      <c r="S145" s="219"/>
      <c r="T145" s="219"/>
      <c r="U145" s="219"/>
      <c r="V145" s="219"/>
      <c r="W145" s="219"/>
      <c r="X145" s="219"/>
      <c r="Y145" s="219"/>
      <c r="Z145" s="219"/>
      <c r="AA145" s="219"/>
      <c r="AB145" s="219"/>
      <c r="AC145" s="219"/>
      <c r="AD145" s="219"/>
      <c r="AE145" s="219"/>
      <c r="AF145" s="219"/>
      <c r="AG145" s="219"/>
      <c r="AH145" s="219"/>
    </row>
    <row r="146" spans="1:34">
      <c r="A146" s="219"/>
      <c r="B146" s="219"/>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row>
    <row r="147" spans="1:34">
      <c r="A147" s="204"/>
      <c r="B147" s="219"/>
      <c r="C147" s="75"/>
      <c r="D147" s="248"/>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row>
    <row r="148" spans="1:34">
      <c r="A148" s="204"/>
      <c r="B148" s="204"/>
      <c r="C148" s="248"/>
      <c r="D148" s="248"/>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row>
    <row r="149" spans="1:34">
      <c r="A149" s="204"/>
      <c r="B149" s="204"/>
      <c r="C149" s="248"/>
      <c r="D149" s="248"/>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row>
    <row r="150" spans="1:34">
      <c r="A150" s="204"/>
      <c r="B150" s="204"/>
      <c r="C150" s="248"/>
      <c r="D150" s="248"/>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row>
    <row r="151" spans="1:34">
      <c r="A151" s="204"/>
      <c r="B151" s="204"/>
      <c r="C151" s="248"/>
      <c r="D151" s="248"/>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row>
    <row r="152" spans="1:34">
      <c r="A152" s="204"/>
      <c r="B152" s="204"/>
      <c r="C152" s="248"/>
      <c r="D152" s="248"/>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row>
    <row r="153" spans="1:34">
      <c r="A153" s="204"/>
      <c r="B153" s="204"/>
      <c r="C153" s="248"/>
      <c r="D153" s="248"/>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row>
    <row r="154" spans="1:34">
      <c r="A154" s="204"/>
      <c r="B154" s="204"/>
      <c r="C154" s="248"/>
      <c r="D154" s="248"/>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row>
    <row r="155" spans="1:34">
      <c r="A155" s="204"/>
      <c r="B155" s="204"/>
      <c r="C155" s="248"/>
      <c r="D155" s="248"/>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row>
    <row r="156" spans="1:34">
      <c r="A156" s="219"/>
      <c r="B156" s="204"/>
      <c r="C156" s="248"/>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row>
    <row r="157" spans="1:34">
      <c r="A157" s="219"/>
      <c r="B157" s="219"/>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row>
    <row r="158" spans="1:34">
      <c r="A158" s="219"/>
      <c r="B158" s="219"/>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row>
    <row r="159" spans="1:34">
      <c r="A159" s="219"/>
      <c r="B159" s="219"/>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row>
    <row r="160" spans="1:34">
      <c r="A160" s="219"/>
      <c r="B160" s="219"/>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row>
    <row r="161" spans="1:34">
      <c r="A161" s="219"/>
      <c r="B161" s="219"/>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row>
    <row r="162" spans="1:34">
      <c r="A162" s="219"/>
      <c r="B162" s="219"/>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row>
    <row r="163" spans="1:34">
      <c r="A163" s="219"/>
      <c r="B163" s="219"/>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row>
    <row r="164" spans="1:34">
      <c r="A164" s="219"/>
      <c r="B164" s="219"/>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row>
    <row r="165" spans="1:34">
      <c r="A165" s="219"/>
      <c r="B165" s="219"/>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row>
  </sheetData>
  <mergeCells count="5">
    <mergeCell ref="A26:D26"/>
    <mergeCell ref="A1:D1"/>
    <mergeCell ref="A3:D3"/>
    <mergeCell ref="A2:D2"/>
    <mergeCell ref="A25:D25"/>
  </mergeCells>
  <printOptions horizontalCentered="1"/>
  <pageMargins left="0.7" right="0.7" top="0.7" bottom="0.7" header="0.3" footer="0.5"/>
  <pageSetup scale="85" orientation="portrait" r:id="rId1"/>
  <headerFooter>
    <oddFooter>&amp;CPage &amp;P of &amp;N&amp;R&amp;A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X142"/>
  <sheetViews>
    <sheetView topLeftCell="D1" zoomScale="90" zoomScaleNormal="90" workbookViewId="0">
      <selection activeCell="A9" sqref="A9"/>
    </sheetView>
  </sheetViews>
  <sheetFormatPr defaultColWidth="9.109375" defaultRowHeight="13.2"/>
  <cols>
    <col min="1" max="1" width="5.6640625" style="691" customWidth="1"/>
    <col min="2" max="2" width="8.5546875" style="691" customWidth="1"/>
    <col min="3" max="3" width="29.5546875" style="691" customWidth="1"/>
    <col min="4" max="4" width="15.33203125" style="691" customWidth="1"/>
    <col min="5" max="5" width="15.44140625" style="166" customWidth="1"/>
    <col min="6" max="6" width="14" style="166" customWidth="1"/>
    <col min="7" max="7" width="14" style="531" customWidth="1"/>
    <col min="8" max="8" width="15.5546875" style="531" bestFit="1" customWidth="1"/>
    <col min="9" max="11" width="14" style="531" customWidth="1"/>
    <col min="12" max="12" width="15.5546875" style="531" bestFit="1" customWidth="1"/>
    <col min="13" max="13" width="14" style="531" customWidth="1"/>
    <col min="14" max="14" width="60.6640625" style="531" customWidth="1"/>
    <col min="15" max="17" width="9.109375" style="531"/>
    <col min="18" max="18" width="10.33203125" style="531" bestFit="1" customWidth="1"/>
    <col min="19" max="50" width="9.109375" style="531"/>
    <col min="51" max="16384" width="9.109375" style="166"/>
  </cols>
  <sheetData>
    <row r="1" spans="1:50">
      <c r="A1" s="1722" t="str">
        <f>+'MISO Cover'!C6</f>
        <v>Entergy Texas, Inc.</v>
      </c>
      <c r="B1" s="1722"/>
      <c r="C1" s="1722"/>
      <c r="D1" s="1722"/>
      <c r="E1" s="1722"/>
      <c r="F1" s="1722"/>
      <c r="G1" s="1722"/>
      <c r="H1" s="1722"/>
      <c r="I1" s="1722"/>
      <c r="J1" s="1722"/>
      <c r="K1" s="1722"/>
      <c r="L1" s="1722"/>
      <c r="M1" s="1722"/>
      <c r="N1" s="1722"/>
    </row>
    <row r="2" spans="1:50" s="531" customFormat="1" ht="15" customHeight="1">
      <c r="A2" s="1723" t="s">
        <v>690</v>
      </c>
      <c r="B2" s="1723"/>
      <c r="C2" s="1723"/>
      <c r="D2" s="1723"/>
      <c r="E2" s="1723"/>
      <c r="F2" s="1723"/>
      <c r="G2" s="1723"/>
      <c r="H2" s="1723"/>
      <c r="I2" s="1723"/>
      <c r="J2" s="1723"/>
      <c r="K2" s="1723"/>
      <c r="L2" s="1723"/>
      <c r="M2" s="1723"/>
      <c r="N2" s="1723"/>
    </row>
    <row r="3" spans="1:50">
      <c r="A3" s="1722" t="str">
        <f>+'MISO Cover'!K4</f>
        <v>For  the 12 Months Ended 12/31/2016</v>
      </c>
      <c r="B3" s="1722"/>
      <c r="C3" s="1722"/>
      <c r="D3" s="1722"/>
      <c r="E3" s="1722"/>
      <c r="F3" s="1722"/>
      <c r="G3" s="1722"/>
      <c r="H3" s="1722"/>
      <c r="I3" s="1722"/>
      <c r="J3" s="1722"/>
      <c r="K3" s="1722"/>
      <c r="L3" s="1722"/>
      <c r="M3" s="1722"/>
      <c r="N3" s="1722"/>
      <c r="O3" s="197"/>
      <c r="P3" s="197"/>
      <c r="Q3" s="197"/>
    </row>
    <row r="4" spans="1:50">
      <c r="A4" s="1726" t="s">
        <v>150</v>
      </c>
      <c r="B4" s="1321"/>
      <c r="C4" s="1321"/>
      <c r="D4" s="1321"/>
      <c r="O4" s="197"/>
      <c r="P4" s="197"/>
      <c r="Q4" s="197"/>
    </row>
    <row r="5" spans="1:50" s="531" customFormat="1">
      <c r="A5" s="1726"/>
      <c r="B5" s="1322" t="s">
        <v>67</v>
      </c>
      <c r="C5" s="1322" t="s">
        <v>114</v>
      </c>
      <c r="D5" s="1322" t="s">
        <v>55</v>
      </c>
      <c r="E5" s="1322" t="s">
        <v>68</v>
      </c>
      <c r="F5" s="1322" t="s">
        <v>66</v>
      </c>
      <c r="G5" s="1322" t="s">
        <v>156</v>
      </c>
      <c r="H5" s="1322" t="s">
        <v>69</v>
      </c>
      <c r="I5" s="1322" t="s">
        <v>169</v>
      </c>
      <c r="J5" s="1322" t="s">
        <v>412</v>
      </c>
      <c r="K5" s="1322" t="s">
        <v>60</v>
      </c>
      <c r="L5" s="1322" t="s">
        <v>71</v>
      </c>
      <c r="M5" s="1322" t="s">
        <v>98</v>
      </c>
      <c r="N5" s="1322" t="s">
        <v>99</v>
      </c>
    </row>
    <row r="6" spans="1:50" ht="16.8">
      <c r="A6" s="912"/>
      <c r="B6" s="1321"/>
      <c r="C6" s="1321"/>
      <c r="D6" s="1321"/>
      <c r="F6" s="1727" t="s">
        <v>1112</v>
      </c>
      <c r="G6" s="1727"/>
      <c r="H6" s="1727"/>
      <c r="I6" s="1728"/>
      <c r="J6" s="1727" t="s">
        <v>417</v>
      </c>
      <c r="K6" s="1727"/>
      <c r="L6" s="1727"/>
      <c r="M6" s="1727"/>
      <c r="O6" s="1837"/>
    </row>
    <row r="7" spans="1:50" s="172" customFormat="1" ht="46.5" customHeight="1">
      <c r="A7" s="1320">
        <v>1</v>
      </c>
      <c r="C7" s="1320"/>
      <c r="D7" s="452" t="s">
        <v>165</v>
      </c>
      <c r="E7" s="1457" t="s">
        <v>160</v>
      </c>
      <c r="F7" s="1458" t="s">
        <v>415</v>
      </c>
      <c r="G7" s="1459" t="s">
        <v>416</v>
      </c>
      <c r="H7" s="1459" t="s">
        <v>146</v>
      </c>
      <c r="I7" s="1457" t="s">
        <v>147</v>
      </c>
      <c r="J7" s="1458" t="s">
        <v>415</v>
      </c>
      <c r="K7" s="1459" t="s">
        <v>416</v>
      </c>
      <c r="L7" s="1460" t="s">
        <v>146</v>
      </c>
      <c r="M7" s="1457" t="s">
        <v>147</v>
      </c>
      <c r="N7" s="1318" t="s">
        <v>418</v>
      </c>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row>
    <row r="8" spans="1:50" ht="16.8">
      <c r="A8" s="912">
        <f>+A7+1</f>
        <v>2</v>
      </c>
      <c r="B8" s="1324"/>
      <c r="C8" s="912"/>
      <c r="D8" s="912"/>
      <c r="E8" s="1325"/>
      <c r="F8" s="1734" t="s">
        <v>431</v>
      </c>
      <c r="G8" s="1734"/>
      <c r="H8" s="1734"/>
      <c r="I8" s="1734"/>
      <c r="J8" s="1734" t="s">
        <v>732</v>
      </c>
      <c r="K8" s="1734"/>
      <c r="L8" s="1734"/>
      <c r="M8" s="1734"/>
      <c r="N8" s="166"/>
    </row>
    <row r="9" spans="1:50">
      <c r="A9" s="912">
        <f t="shared" ref="A9:A17" si="0">+A8+1</f>
        <v>3</v>
      </c>
      <c r="C9" s="912"/>
      <c r="D9" s="912"/>
      <c r="E9" s="1326" t="s">
        <v>137</v>
      </c>
      <c r="F9" s="886">
        <f t="shared" ref="F9:M9" si="1">+F71</f>
        <v>74134063.774999991</v>
      </c>
      <c r="G9" s="886">
        <f t="shared" si="1"/>
        <v>0</v>
      </c>
      <c r="H9" s="886">
        <f t="shared" si="1"/>
        <v>54035855.315000005</v>
      </c>
      <c r="I9" s="1327">
        <f t="shared" si="1"/>
        <v>-25081304.945</v>
      </c>
      <c r="J9" s="886">
        <f t="shared" si="1"/>
        <v>78386692.400000006</v>
      </c>
      <c r="K9" s="886">
        <f t="shared" si="1"/>
        <v>0</v>
      </c>
      <c r="L9" s="886">
        <f t="shared" si="1"/>
        <v>53707263.049999997</v>
      </c>
      <c r="M9" s="886">
        <f t="shared" si="1"/>
        <v>-28424332.310000002</v>
      </c>
      <c r="N9" s="903" t="str">
        <f>+"Ln "&amp;A71</f>
        <v>Ln 15</v>
      </c>
    </row>
    <row r="10" spans="1:50">
      <c r="A10" s="912">
        <f t="shared" si="0"/>
        <v>4</v>
      </c>
      <c r="C10" s="912"/>
      <c r="D10" s="912"/>
      <c r="E10" s="1326" t="s">
        <v>218</v>
      </c>
      <c r="F10" s="886">
        <f>F74</f>
        <v>-10658.970000000001</v>
      </c>
      <c r="G10" s="886">
        <v>0</v>
      </c>
      <c r="H10" s="886">
        <v>0</v>
      </c>
      <c r="I10" s="1327">
        <v>0</v>
      </c>
      <c r="J10" s="886">
        <f>J74</f>
        <v>-10539.49</v>
      </c>
      <c r="K10" s="886">
        <v>0</v>
      </c>
      <c r="L10" s="886">
        <v>0</v>
      </c>
      <c r="M10" s="886">
        <v>0</v>
      </c>
      <c r="N10" s="903" t="str">
        <f>+"Ln "&amp;A78</f>
        <v>Ln 18</v>
      </c>
    </row>
    <row r="11" spans="1:50">
      <c r="A11" s="912">
        <f t="shared" si="0"/>
        <v>5</v>
      </c>
      <c r="C11" s="912"/>
      <c r="D11" s="912"/>
      <c r="E11" s="1326" t="s">
        <v>138</v>
      </c>
      <c r="F11" s="886">
        <f>+F108</f>
        <v>63662762.93</v>
      </c>
      <c r="G11" s="886">
        <f t="shared" ref="G11:M11" si="2">+G108</f>
        <v>-6263695.0700000003</v>
      </c>
      <c r="H11" s="886">
        <f t="shared" si="2"/>
        <v>-777594148.79899991</v>
      </c>
      <c r="I11" s="1327">
        <f t="shared" si="2"/>
        <v>-8527329.9100000001</v>
      </c>
      <c r="J11" s="886">
        <f t="shared" si="2"/>
        <v>57065374.870000012</v>
      </c>
      <c r="K11" s="886">
        <f t="shared" si="2"/>
        <v>-6196400.2400000002</v>
      </c>
      <c r="L11" s="886">
        <f t="shared" si="2"/>
        <v>-804459473.46999979</v>
      </c>
      <c r="M11" s="886">
        <f t="shared" si="2"/>
        <v>-8561360.5600000005</v>
      </c>
      <c r="N11" s="903" t="str">
        <f>+"Ln "&amp;A108</f>
        <v>Ln 23</v>
      </c>
    </row>
    <row r="12" spans="1:50" ht="15">
      <c r="A12" s="912">
        <f t="shared" si="0"/>
        <v>6</v>
      </c>
      <c r="C12" s="912"/>
      <c r="D12" s="912"/>
      <c r="E12" s="1326" t="s">
        <v>139</v>
      </c>
      <c r="F12" s="1328">
        <f>+F132</f>
        <v>-256250180.73999995</v>
      </c>
      <c r="G12" s="1328">
        <f t="shared" ref="G12:M12" si="3">+G132</f>
        <v>-22141.445</v>
      </c>
      <c r="H12" s="1328">
        <f t="shared" si="3"/>
        <v>-6821620.875</v>
      </c>
      <c r="I12" s="1329">
        <f t="shared" si="3"/>
        <v>0</v>
      </c>
      <c r="J12" s="1328">
        <f t="shared" si="3"/>
        <v>-245517308.05999997</v>
      </c>
      <c r="K12" s="1328">
        <f t="shared" si="3"/>
        <v>0</v>
      </c>
      <c r="L12" s="1328">
        <f t="shared" si="3"/>
        <v>-6790998.4500000002</v>
      </c>
      <c r="M12" s="1328">
        <f t="shared" si="3"/>
        <v>0</v>
      </c>
      <c r="N12" s="903" t="str">
        <f>+"Ln "&amp;A132</f>
        <v>Ln 29</v>
      </c>
    </row>
    <row r="13" spans="1:50">
      <c r="A13" s="912">
        <f t="shared" si="0"/>
        <v>7</v>
      </c>
      <c r="C13" s="912"/>
      <c r="D13" s="912"/>
      <c r="E13" s="1326" t="s">
        <v>414</v>
      </c>
      <c r="F13" s="1330">
        <f t="shared" ref="F13:M13" si="4">+SUM(F9:F12)</f>
        <v>-118464013.00499997</v>
      </c>
      <c r="G13" s="1330">
        <f t="shared" si="4"/>
        <v>-6285836.5150000006</v>
      </c>
      <c r="H13" s="1330">
        <f t="shared" si="4"/>
        <v>-730379914.35899985</v>
      </c>
      <c r="I13" s="1331">
        <f t="shared" si="4"/>
        <v>-33608634.855000004</v>
      </c>
      <c r="J13" s="1330">
        <f t="shared" si="4"/>
        <v>-110075780.27999994</v>
      </c>
      <c r="K13" s="1330">
        <f t="shared" si="4"/>
        <v>-6196400.2400000002</v>
      </c>
      <c r="L13" s="1330">
        <f t="shared" si="4"/>
        <v>-757543208.86999989</v>
      </c>
      <c r="M13" s="1330">
        <f t="shared" si="4"/>
        <v>-36985692.870000005</v>
      </c>
      <c r="N13" s="1332" t="str">
        <f>+"Sum of Ln "&amp;A9&amp;" + "&amp;A10&amp;" + "&amp;A11&amp;" + "&amp;A12</f>
        <v>Sum of Ln 3 + 4 + 5 + 6</v>
      </c>
    </row>
    <row r="14" spans="1:50">
      <c r="A14" s="912">
        <f t="shared" si="0"/>
        <v>8</v>
      </c>
      <c r="B14" s="166"/>
      <c r="C14" s="912"/>
      <c r="D14" s="912"/>
      <c r="E14" s="1326"/>
      <c r="F14" s="1330"/>
      <c r="G14" s="1330"/>
      <c r="H14" s="1330"/>
      <c r="I14" s="1331"/>
      <c r="J14" s="1330"/>
      <c r="K14" s="1330"/>
      <c r="L14" s="1330"/>
      <c r="M14" s="1330"/>
    </row>
    <row r="15" spans="1:50" ht="16.8">
      <c r="A15" s="912">
        <f t="shared" si="0"/>
        <v>9</v>
      </c>
      <c r="B15" s="1321"/>
      <c r="C15" s="1321"/>
      <c r="D15" s="1321"/>
      <c r="E15" s="1333"/>
      <c r="F15" s="1727" t="s">
        <v>1112</v>
      </c>
      <c r="G15" s="1727"/>
      <c r="H15" s="1727"/>
      <c r="I15" s="1728"/>
      <c r="J15" s="1729" t="s">
        <v>417</v>
      </c>
      <c r="K15" s="1727"/>
      <c r="L15" s="1727"/>
      <c r="M15" s="1728"/>
    </row>
    <row r="16" spans="1:50" ht="33.6">
      <c r="A16" s="912">
        <f t="shared" si="0"/>
        <v>10</v>
      </c>
      <c r="C16" s="912"/>
      <c r="D16" s="452" t="s">
        <v>165</v>
      </c>
      <c r="E16" s="1457" t="s">
        <v>160</v>
      </c>
      <c r="F16" s="1458" t="s">
        <v>415</v>
      </c>
      <c r="G16" s="1459" t="s">
        <v>416</v>
      </c>
      <c r="H16" s="1459" t="s">
        <v>146</v>
      </c>
      <c r="I16" s="1457" t="s">
        <v>147</v>
      </c>
      <c r="J16" s="1458" t="s">
        <v>415</v>
      </c>
      <c r="K16" s="1459" t="s">
        <v>416</v>
      </c>
      <c r="L16" s="1460" t="s">
        <v>146</v>
      </c>
      <c r="M16" s="1457" t="s">
        <v>147</v>
      </c>
      <c r="N16" s="1323" t="s">
        <v>49</v>
      </c>
    </row>
    <row r="17" spans="1:50" ht="16.8">
      <c r="A17" s="912">
        <f t="shared" si="0"/>
        <v>11</v>
      </c>
      <c r="B17" s="1324" t="s">
        <v>137</v>
      </c>
      <c r="C17" s="912"/>
      <c r="D17" s="912"/>
      <c r="E17" s="1334"/>
      <c r="F17" s="1727" t="str">
        <f>F8</f>
        <v>Average of BOY/EOY (Col (C+D)/2)</v>
      </c>
      <c r="G17" s="1727"/>
      <c r="H17" s="1727"/>
      <c r="I17" s="1728"/>
      <c r="J17" s="1729" t="str">
        <f>J8</f>
        <v>EOY (Col D)</v>
      </c>
      <c r="K17" s="1727"/>
      <c r="L17" s="1727"/>
      <c r="M17" s="1728"/>
    </row>
    <row r="18" spans="1:50">
      <c r="A18" s="740">
        <f t="shared" ref="A18:A65" si="5">+A17+0.01</f>
        <v>11.01</v>
      </c>
      <c r="B18" s="172" t="s">
        <v>1182</v>
      </c>
      <c r="C18" s="531"/>
      <c r="D18" s="1447">
        <v>2484999.65</v>
      </c>
      <c r="E18" s="1335">
        <v>1224999.6499999999</v>
      </c>
      <c r="F18" s="1311">
        <f>+AVERAGE(D18:E18)</f>
        <v>1854999.65</v>
      </c>
      <c r="G18" s="903"/>
      <c r="H18" s="903"/>
      <c r="I18" s="1327"/>
      <c r="J18" s="1311">
        <f>+E18</f>
        <v>1224999.6499999999</v>
      </c>
      <c r="K18" s="1472"/>
      <c r="L18" s="1472"/>
      <c r="M18" s="1473"/>
      <c r="N18" s="1336" t="s">
        <v>937</v>
      </c>
    </row>
    <row r="19" spans="1:50">
      <c r="A19" s="740">
        <f t="shared" si="5"/>
        <v>11.02</v>
      </c>
      <c r="B19" s="172" t="s">
        <v>1183</v>
      </c>
      <c r="C19" s="531"/>
      <c r="D19" s="1335">
        <v>10850764.68</v>
      </c>
      <c r="E19" s="1335">
        <v>11901836.33</v>
      </c>
      <c r="F19" s="1311">
        <f>+AVERAGE(D19:E19)</f>
        <v>11376300.504999999</v>
      </c>
      <c r="G19" s="903"/>
      <c r="H19" s="903"/>
      <c r="I19" s="1327"/>
      <c r="J19" s="1311">
        <f>+E19</f>
        <v>11901836.33</v>
      </c>
      <c r="K19" s="903"/>
      <c r="L19" s="903"/>
      <c r="M19" s="1327"/>
      <c r="N19" s="1336" t="s">
        <v>217</v>
      </c>
    </row>
    <row r="20" spans="1:50">
      <c r="A20" s="740">
        <f t="shared" si="5"/>
        <v>11.03</v>
      </c>
      <c r="B20" s="172" t="s">
        <v>1184</v>
      </c>
      <c r="C20" s="531"/>
      <c r="D20" s="1335">
        <v>1255668.2800000012</v>
      </c>
      <c r="E20" s="1335">
        <v>277625.39999999851</v>
      </c>
      <c r="F20" s="1311">
        <f>+AVERAGE(D20:E20)</f>
        <v>766646.83999999985</v>
      </c>
      <c r="G20" s="903"/>
      <c r="H20" s="903"/>
      <c r="I20" s="1327"/>
      <c r="J20" s="1311">
        <f>+E20</f>
        <v>277625.39999999851</v>
      </c>
      <c r="K20" s="903"/>
      <c r="L20" s="903"/>
      <c r="M20" s="1327"/>
      <c r="N20" s="1336" t="s">
        <v>193</v>
      </c>
    </row>
    <row r="21" spans="1:50">
      <c r="A21" s="740">
        <f t="shared" si="5"/>
        <v>11.04</v>
      </c>
      <c r="B21" s="172" t="s">
        <v>1185</v>
      </c>
      <c r="C21" s="531"/>
      <c r="D21" s="1335">
        <v>183208.03</v>
      </c>
      <c r="E21" s="1335">
        <v>157986.22</v>
      </c>
      <c r="F21" s="1311"/>
      <c r="G21" s="903"/>
      <c r="H21" s="903">
        <f>+AVERAGE(D21:E21)</f>
        <v>170597.125</v>
      </c>
      <c r="I21" s="1327"/>
      <c r="J21" s="1311"/>
      <c r="K21" s="903"/>
      <c r="L21" s="903">
        <f>+E21</f>
        <v>157986.22</v>
      </c>
      <c r="M21" s="1327"/>
      <c r="N21" s="1336" t="s">
        <v>194</v>
      </c>
    </row>
    <row r="22" spans="1:50" s="172" customFormat="1" ht="26.4">
      <c r="A22" s="834">
        <f t="shared" si="5"/>
        <v>11.049999999999999</v>
      </c>
      <c r="B22" s="172" t="s">
        <v>1186</v>
      </c>
      <c r="C22" s="164"/>
      <c r="D22" s="1447">
        <v>5031019.0999999996</v>
      </c>
      <c r="E22" s="1447">
        <v>12920016.390000001</v>
      </c>
      <c r="F22" s="1450">
        <f>+AVERAGE(D22:E22)</f>
        <v>8975517.745000001</v>
      </c>
      <c r="G22" s="141"/>
      <c r="H22" s="141"/>
      <c r="I22" s="1474"/>
      <c r="J22" s="1450">
        <f>+E22</f>
        <v>12920016.390000001</v>
      </c>
      <c r="K22" s="141"/>
      <c r="L22" s="141"/>
      <c r="M22" s="1474"/>
      <c r="N22" s="1448" t="s">
        <v>938</v>
      </c>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row>
    <row r="23" spans="1:50">
      <c r="A23" s="740">
        <f t="shared" si="5"/>
        <v>11.059999999999999</v>
      </c>
      <c r="B23" s="172" t="s">
        <v>1187</v>
      </c>
      <c r="C23" s="531"/>
      <c r="D23" s="1335">
        <v>1592693.56</v>
      </c>
      <c r="E23" s="1335">
        <v>1482327.59</v>
      </c>
      <c r="F23" s="1311"/>
      <c r="G23" s="903"/>
      <c r="H23" s="903"/>
      <c r="I23" s="1327">
        <f>+AVERAGE(D23:E23)</f>
        <v>1537510.5750000002</v>
      </c>
      <c r="J23" s="1311"/>
      <c r="K23" s="903"/>
      <c r="L23" s="903"/>
      <c r="M23" s="1327">
        <f>+E23</f>
        <v>1482327.59</v>
      </c>
      <c r="N23" s="1336" t="s">
        <v>195</v>
      </c>
    </row>
    <row r="24" spans="1:50">
      <c r="A24" s="740">
        <f t="shared" si="5"/>
        <v>11.069999999999999</v>
      </c>
      <c r="B24" s="172" t="s">
        <v>1188</v>
      </c>
      <c r="C24" s="531"/>
      <c r="D24" s="1335">
        <v>28292073.75</v>
      </c>
      <c r="E24" s="1335">
        <v>28980836.879999999</v>
      </c>
      <c r="F24" s="1311"/>
      <c r="G24" s="903"/>
      <c r="H24" s="903">
        <f>+AVERAGE(D24:E24)</f>
        <v>28636455.314999998</v>
      </c>
      <c r="I24" s="1327"/>
      <c r="J24" s="1311"/>
      <c r="K24" s="903"/>
      <c r="L24" s="903">
        <f>+E24</f>
        <v>28980836.879999999</v>
      </c>
      <c r="M24" s="1327"/>
      <c r="N24" s="1336" t="s">
        <v>939</v>
      </c>
    </row>
    <row r="25" spans="1:50">
      <c r="A25" s="740">
        <f t="shared" si="5"/>
        <v>11.079999999999998</v>
      </c>
      <c r="B25" s="172" t="s">
        <v>1189</v>
      </c>
      <c r="C25" s="531"/>
      <c r="D25" s="1335">
        <v>-28000668.649999999</v>
      </c>
      <c r="E25" s="1335">
        <v>-31514414.550000001</v>
      </c>
      <c r="F25" s="1311"/>
      <c r="G25" s="903"/>
      <c r="H25" s="903"/>
      <c r="I25" s="1327">
        <f>+AVERAGE(D25:E25)</f>
        <v>-29757541.600000001</v>
      </c>
      <c r="J25" s="1311"/>
      <c r="K25" s="903"/>
      <c r="L25" s="903"/>
      <c r="M25" s="1327">
        <f>+E25</f>
        <v>-31514414.550000001</v>
      </c>
      <c r="N25" s="1336" t="s">
        <v>196</v>
      </c>
      <c r="O25" s="74" t="s">
        <v>1495</v>
      </c>
    </row>
    <row r="26" spans="1:50">
      <c r="A26" s="740">
        <f t="shared" si="5"/>
        <v>11.089999999999998</v>
      </c>
      <c r="B26" s="172" t="s">
        <v>1190</v>
      </c>
      <c r="C26" s="531"/>
      <c r="D26" s="1335">
        <v>65285535</v>
      </c>
      <c r="E26" s="1335">
        <v>68238226.700000003</v>
      </c>
      <c r="F26" s="1311">
        <f>+AVERAGE(D26:E26)</f>
        <v>66761880.850000001</v>
      </c>
      <c r="G26" s="903"/>
      <c r="H26" s="903"/>
      <c r="I26" s="1327"/>
      <c r="J26" s="1311">
        <f>+E26</f>
        <v>68238226.700000003</v>
      </c>
      <c r="K26" s="1472"/>
      <c r="L26" s="1472"/>
      <c r="M26" s="1473"/>
      <c r="N26" s="1336" t="s">
        <v>196</v>
      </c>
      <c r="O26" s="74"/>
    </row>
    <row r="27" spans="1:50">
      <c r="A27" s="740">
        <f t="shared" si="5"/>
        <v>11.099999999999998</v>
      </c>
      <c r="B27" s="172" t="s">
        <v>1191</v>
      </c>
      <c r="C27" s="531"/>
      <c r="D27" s="1335">
        <v>-17592568.760000002</v>
      </c>
      <c r="E27" s="1335">
        <v>-20092560.100000001</v>
      </c>
      <c r="F27" s="1311">
        <f t="shared" ref="F27:F28" si="6">+AVERAGE(D27:E27)</f>
        <v>-18842564.43</v>
      </c>
      <c r="G27" s="903"/>
      <c r="H27" s="903"/>
      <c r="I27" s="1327"/>
      <c r="J27" s="1311">
        <f>+E27</f>
        <v>-20092560.100000001</v>
      </c>
      <c r="K27" s="903"/>
      <c r="L27" s="903"/>
      <c r="M27" s="1473"/>
      <c r="N27" s="1336" t="s">
        <v>196</v>
      </c>
      <c r="O27" s="531" t="s">
        <v>1589</v>
      </c>
    </row>
    <row r="28" spans="1:50">
      <c r="A28" s="740">
        <f t="shared" si="5"/>
        <v>11.109999999999998</v>
      </c>
      <c r="B28" s="531" t="s">
        <v>1202</v>
      </c>
      <c r="C28" s="531"/>
      <c r="D28" s="1335">
        <v>0</v>
      </c>
      <c r="E28" s="1335">
        <v>0</v>
      </c>
      <c r="F28" s="1311">
        <f t="shared" si="6"/>
        <v>0</v>
      </c>
      <c r="G28" s="903"/>
      <c r="H28" s="903"/>
      <c r="I28" s="1327"/>
      <c r="J28" s="1311">
        <f>+E28</f>
        <v>0</v>
      </c>
      <c r="K28" s="903"/>
      <c r="L28" s="903"/>
      <c r="M28" s="1327"/>
      <c r="N28" s="1336" t="s">
        <v>196</v>
      </c>
      <c r="O28" s="531" t="s">
        <v>1588</v>
      </c>
    </row>
    <row r="29" spans="1:50">
      <c r="A29" s="740">
        <f t="shared" si="5"/>
        <v>11.119999999999997</v>
      </c>
      <c r="B29" s="172" t="s">
        <v>1192</v>
      </c>
      <c r="C29" s="531"/>
      <c r="D29" s="1335">
        <v>2050425.62</v>
      </c>
      <c r="E29" s="1335">
        <v>-2808360.41</v>
      </c>
      <c r="F29" s="1311">
        <f>+AVERAGE(D29:E29)</f>
        <v>-378967.39500000002</v>
      </c>
      <c r="G29" s="903"/>
      <c r="H29" s="903"/>
      <c r="I29" s="1327"/>
      <c r="J29" s="1311">
        <f>+E29</f>
        <v>-2808360.41</v>
      </c>
      <c r="K29" s="1472"/>
      <c r="L29" s="1472"/>
      <c r="M29" s="1473"/>
      <c r="N29" s="1336" t="s">
        <v>197</v>
      </c>
    </row>
    <row r="30" spans="1:50">
      <c r="A30" s="740">
        <f t="shared" si="5"/>
        <v>11.129999999999997</v>
      </c>
      <c r="B30" s="172" t="s">
        <v>1193</v>
      </c>
      <c r="C30" s="531"/>
      <c r="D30" s="1335">
        <v>25640664.760000002</v>
      </c>
      <c r="E30" s="1335">
        <v>23833788.98</v>
      </c>
      <c r="F30" s="1311"/>
      <c r="G30" s="903"/>
      <c r="H30" s="903">
        <f>+AVERAGE(D30:E30)</f>
        <v>24737226.870000001</v>
      </c>
      <c r="I30" s="1327"/>
      <c r="J30" s="1311"/>
      <c r="K30" s="903"/>
      <c r="L30" s="903">
        <f>+E30</f>
        <v>23833788.98</v>
      </c>
      <c r="M30" s="1327"/>
      <c r="N30" s="1336" t="s">
        <v>198</v>
      </c>
    </row>
    <row r="31" spans="1:50">
      <c r="A31" s="740">
        <f t="shared" si="5"/>
        <v>11.139999999999997</v>
      </c>
      <c r="B31" s="172" t="s">
        <v>1194</v>
      </c>
      <c r="C31" s="531"/>
      <c r="D31" s="1335">
        <v>562.84999999999945</v>
      </c>
      <c r="E31" s="1335">
        <v>45867.740000000005</v>
      </c>
      <c r="F31" s="1311">
        <f>+AVERAGE(D31:E31)</f>
        <v>23215.295000000002</v>
      </c>
      <c r="G31" s="903"/>
      <c r="H31" s="903"/>
      <c r="I31" s="1327"/>
      <c r="J31" s="1311">
        <f>+E31</f>
        <v>45867.740000000005</v>
      </c>
      <c r="K31" s="1472"/>
      <c r="L31" s="1472"/>
      <c r="M31" s="1473"/>
      <c r="N31" s="1336" t="s">
        <v>197</v>
      </c>
    </row>
    <row r="32" spans="1:50">
      <c r="A32" s="740">
        <f t="shared" si="5"/>
        <v>11.149999999999997</v>
      </c>
      <c r="B32" s="172" t="s">
        <v>1195</v>
      </c>
      <c r="C32" s="531"/>
      <c r="D32" s="1335">
        <v>893528.6</v>
      </c>
      <c r="E32" s="1335">
        <v>996149.65</v>
      </c>
      <c r="F32" s="1311"/>
      <c r="G32" s="903"/>
      <c r="H32" s="903"/>
      <c r="I32" s="1327">
        <f>+AVERAGE(D32:E32)</f>
        <v>944839.125</v>
      </c>
      <c r="J32" s="1311"/>
      <c r="K32" s="903"/>
      <c r="L32" s="903"/>
      <c r="M32" s="1327">
        <f>+E32</f>
        <v>996149.65</v>
      </c>
      <c r="N32" s="1336" t="s">
        <v>196</v>
      </c>
    </row>
    <row r="33" spans="1:50">
      <c r="A33" s="740">
        <f t="shared" si="5"/>
        <v>11.159999999999997</v>
      </c>
      <c r="B33" s="172" t="s">
        <v>1196</v>
      </c>
      <c r="C33" s="531"/>
      <c r="D33" s="1335">
        <v>165917.25</v>
      </c>
      <c r="E33" s="1335">
        <v>289761.98</v>
      </c>
      <c r="F33" s="1311">
        <f>+AVERAGE(D33:E33)</f>
        <v>227839.61499999999</v>
      </c>
      <c r="G33" s="903"/>
      <c r="H33" s="903"/>
      <c r="I33" s="1327"/>
      <c r="J33" s="1311">
        <f>+E33</f>
        <v>289761.98</v>
      </c>
      <c r="K33" s="1472"/>
      <c r="L33" s="1472"/>
      <c r="M33" s="1473"/>
      <c r="N33" s="1336" t="s">
        <v>199</v>
      </c>
    </row>
    <row r="34" spans="1:50">
      <c r="A34" s="740">
        <f t="shared" si="5"/>
        <v>11.169999999999996</v>
      </c>
      <c r="B34" s="172" t="s">
        <v>1197</v>
      </c>
      <c r="C34" s="531"/>
      <c r="D34" s="1335">
        <v>0</v>
      </c>
      <c r="E34" s="1335">
        <v>0</v>
      </c>
      <c r="F34" s="1311">
        <f>+AVERAGE(D34:E34)</f>
        <v>0</v>
      </c>
      <c r="G34" s="903"/>
      <c r="H34" s="903"/>
      <c r="I34" s="1327"/>
      <c r="J34" s="1311">
        <f>+E34</f>
        <v>0</v>
      </c>
      <c r="K34" s="1472"/>
      <c r="L34" s="1472"/>
      <c r="M34" s="1473"/>
      <c r="N34" s="1336" t="s">
        <v>940</v>
      </c>
      <c r="O34" s="1837"/>
    </row>
    <row r="35" spans="1:50">
      <c r="A35" s="740">
        <f t="shared" si="5"/>
        <v>11.179999999999996</v>
      </c>
      <c r="B35" s="172" t="s">
        <v>1198</v>
      </c>
      <c r="C35" s="531"/>
      <c r="D35" s="1335">
        <v>-18246.88</v>
      </c>
      <c r="E35" s="1335">
        <v>-18246.87</v>
      </c>
      <c r="F35" s="1311">
        <f>+AVERAGE(D35:E35)</f>
        <v>-18246.875</v>
      </c>
      <c r="G35" s="903"/>
      <c r="H35" s="903"/>
      <c r="I35" s="1327"/>
      <c r="J35" s="1311">
        <f>+E35</f>
        <v>-18246.87</v>
      </c>
      <c r="K35" s="1472"/>
      <c r="L35" s="1472"/>
      <c r="M35" s="1473"/>
      <c r="N35" s="1336" t="s">
        <v>201</v>
      </c>
      <c r="O35" s="1837"/>
    </row>
    <row r="36" spans="1:50">
      <c r="A36" s="740">
        <f t="shared" si="5"/>
        <v>11.189999999999996</v>
      </c>
      <c r="B36" s="172" t="s">
        <v>1199</v>
      </c>
      <c r="C36" s="531"/>
      <c r="D36" s="1335">
        <v>1536.43</v>
      </c>
      <c r="E36" s="1335">
        <v>210060.15</v>
      </c>
      <c r="F36" s="1311">
        <f>+AVERAGE(D36:E36)</f>
        <v>105798.29</v>
      </c>
      <c r="G36" s="903"/>
      <c r="H36" s="903"/>
      <c r="I36" s="1327"/>
      <c r="J36" s="1311">
        <f>+E36</f>
        <v>210060.15</v>
      </c>
      <c r="K36" s="1472"/>
      <c r="L36" s="1472"/>
      <c r="M36" s="1473"/>
      <c r="N36" s="1336" t="s">
        <v>202</v>
      </c>
    </row>
    <row r="37" spans="1:50">
      <c r="A37" s="740">
        <f t="shared" si="5"/>
        <v>11.199999999999996</v>
      </c>
      <c r="B37" s="172" t="s">
        <v>1200</v>
      </c>
      <c r="C37" s="531"/>
      <c r="D37" s="1335">
        <v>60205.75</v>
      </c>
      <c r="E37" s="1335">
        <v>59450.8</v>
      </c>
      <c r="F37" s="1311">
        <f>+AVERAGE(D37:E37)</f>
        <v>59828.275000000001</v>
      </c>
      <c r="G37" s="903"/>
      <c r="H37" s="903"/>
      <c r="I37" s="1327"/>
      <c r="J37" s="1311">
        <f>+E37</f>
        <v>59450.8</v>
      </c>
      <c r="K37" s="1472"/>
      <c r="L37" s="1472"/>
      <c r="M37" s="1473"/>
      <c r="N37" s="1336" t="s">
        <v>941</v>
      </c>
    </row>
    <row r="38" spans="1:50">
      <c r="A38" s="740">
        <f t="shared" si="5"/>
        <v>11.209999999999996</v>
      </c>
      <c r="B38" s="172" t="s">
        <v>1201</v>
      </c>
      <c r="C38" s="531"/>
      <c r="D38" s="1335">
        <v>248501.04</v>
      </c>
      <c r="E38" s="1335">
        <v>734650.97</v>
      </c>
      <c r="F38" s="1311"/>
      <c r="G38" s="903"/>
      <c r="H38" s="903">
        <f>+AVERAGE(D38:E38)</f>
        <v>491576.005</v>
      </c>
      <c r="I38" s="1327"/>
      <c r="J38" s="1311"/>
      <c r="K38" s="903"/>
      <c r="L38" s="903">
        <f>+E38</f>
        <v>734650.97</v>
      </c>
      <c r="M38" s="1327"/>
      <c r="N38" s="1336" t="s">
        <v>203</v>
      </c>
    </row>
    <row r="39" spans="1:50" s="172" customFormat="1" ht="39.6">
      <c r="A39" s="834">
        <f t="shared" si="5"/>
        <v>11.219999999999995</v>
      </c>
      <c r="B39" s="172" t="s">
        <v>1203</v>
      </c>
      <c r="C39" s="164"/>
      <c r="D39" s="1447">
        <v>321650</v>
      </c>
      <c r="E39" s="1447">
        <v>316750</v>
      </c>
      <c r="F39" s="1450">
        <f t="shared" ref="F39:F46" si="7">+AVERAGE(D39:E39)</f>
        <v>319200</v>
      </c>
      <c r="G39" s="141"/>
      <c r="H39" s="141"/>
      <c r="I39" s="1474"/>
      <c r="J39" s="1450">
        <f t="shared" ref="J39:J46" si="8">+E39</f>
        <v>316750</v>
      </c>
      <c r="K39" s="1475"/>
      <c r="L39" s="1475"/>
      <c r="M39" s="1476"/>
      <c r="N39" s="1448" t="s">
        <v>942</v>
      </c>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row>
    <row r="40" spans="1:50" s="172" customFormat="1" ht="39.6">
      <c r="A40" s="834">
        <f t="shared" si="5"/>
        <v>11.229999999999995</v>
      </c>
      <c r="B40" s="172" t="s">
        <v>1204</v>
      </c>
      <c r="C40" s="164"/>
      <c r="D40" s="1447">
        <v>321002.68</v>
      </c>
      <c r="E40" s="1447">
        <v>332907.77</v>
      </c>
      <c r="F40" s="1450">
        <f t="shared" si="7"/>
        <v>326955.22499999998</v>
      </c>
      <c r="G40" s="141"/>
      <c r="H40" s="141"/>
      <c r="I40" s="1474"/>
      <c r="J40" s="1450">
        <f t="shared" si="8"/>
        <v>332907.77</v>
      </c>
      <c r="K40" s="1475"/>
      <c r="L40" s="1475"/>
      <c r="M40" s="1476"/>
      <c r="N40" s="1448" t="s">
        <v>943</v>
      </c>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row>
    <row r="41" spans="1:50">
      <c r="A41" s="740">
        <f t="shared" si="5"/>
        <v>11.239999999999995</v>
      </c>
      <c r="B41" s="172" t="s">
        <v>1205</v>
      </c>
      <c r="C41" s="531"/>
      <c r="D41" s="1335">
        <v>425972.14</v>
      </c>
      <c r="E41" s="1335">
        <v>801461.93</v>
      </c>
      <c r="F41" s="1311">
        <f t="shared" si="7"/>
        <v>613717.03500000003</v>
      </c>
      <c r="G41" s="903"/>
      <c r="H41" s="903"/>
      <c r="I41" s="1327"/>
      <c r="J41" s="1311">
        <f t="shared" si="8"/>
        <v>801461.93</v>
      </c>
      <c r="K41" s="1472"/>
      <c r="L41" s="1472"/>
      <c r="M41" s="1473"/>
      <c r="N41" s="1336" t="s">
        <v>196</v>
      </c>
    </row>
    <row r="42" spans="1:50">
      <c r="A42" s="740">
        <f t="shared" si="5"/>
        <v>11.249999999999995</v>
      </c>
      <c r="B42" s="172" t="s">
        <v>1206</v>
      </c>
      <c r="C42" s="531"/>
      <c r="D42" s="1335">
        <v>-2.99</v>
      </c>
      <c r="E42" s="1335">
        <v>0</v>
      </c>
      <c r="F42" s="1311">
        <f t="shared" si="7"/>
        <v>-1.4950000000000001</v>
      </c>
      <c r="G42" s="903"/>
      <c r="H42" s="903"/>
      <c r="I42" s="1327"/>
      <c r="J42" s="1311">
        <f t="shared" si="8"/>
        <v>0</v>
      </c>
      <c r="K42" s="1472"/>
      <c r="L42" s="1472"/>
      <c r="M42" s="1473"/>
      <c r="N42" s="1336" t="s">
        <v>200</v>
      </c>
    </row>
    <row r="43" spans="1:50">
      <c r="A43" s="740">
        <f t="shared" si="5"/>
        <v>11.259999999999994</v>
      </c>
      <c r="B43" s="172" t="s">
        <v>1207</v>
      </c>
      <c r="C43" s="531"/>
      <c r="D43" s="1335">
        <v>94695</v>
      </c>
      <c r="E43" s="1335">
        <v>102953.60000000001</v>
      </c>
      <c r="F43" s="1311">
        <f t="shared" si="7"/>
        <v>98824.3</v>
      </c>
      <c r="G43" s="903"/>
      <c r="H43" s="903"/>
      <c r="I43" s="1327"/>
      <c r="J43" s="1311">
        <f t="shared" si="8"/>
        <v>102953.60000000001</v>
      </c>
      <c r="K43" s="1472"/>
      <c r="L43" s="1472"/>
      <c r="M43" s="1473"/>
      <c r="N43" s="1336" t="s">
        <v>196</v>
      </c>
    </row>
    <row r="44" spans="1:50">
      <c r="A44" s="740">
        <f t="shared" si="5"/>
        <v>11.269999999999994</v>
      </c>
      <c r="B44" s="172" t="s">
        <v>1208</v>
      </c>
      <c r="C44" s="531"/>
      <c r="D44" s="1335">
        <v>400038.51</v>
      </c>
      <c r="E44" s="1335">
        <v>276283.49</v>
      </c>
      <c r="F44" s="1311">
        <f t="shared" si="7"/>
        <v>338161</v>
      </c>
      <c r="G44" s="903"/>
      <c r="H44" s="903"/>
      <c r="I44" s="1327"/>
      <c r="J44" s="1311">
        <f t="shared" si="8"/>
        <v>276283.49</v>
      </c>
      <c r="K44" s="1472"/>
      <c r="L44" s="1472"/>
      <c r="M44" s="1473"/>
      <c r="N44" s="1336" t="s">
        <v>196</v>
      </c>
    </row>
    <row r="45" spans="1:50">
      <c r="A45" s="740">
        <f t="shared" si="5"/>
        <v>11.279999999999994</v>
      </c>
      <c r="B45" s="172" t="s">
        <v>1209</v>
      </c>
      <c r="C45" s="531"/>
      <c r="D45" s="1335">
        <v>0</v>
      </c>
      <c r="E45" s="1335">
        <v>0</v>
      </c>
      <c r="F45" s="1311">
        <f t="shared" si="7"/>
        <v>0</v>
      </c>
      <c r="G45" s="903"/>
      <c r="H45" s="903"/>
      <c r="I45" s="1327"/>
      <c r="J45" s="1311">
        <f t="shared" si="8"/>
        <v>0</v>
      </c>
      <c r="K45" s="1472"/>
      <c r="L45" s="1472"/>
      <c r="M45" s="1473"/>
      <c r="N45" s="1336" t="s">
        <v>196</v>
      </c>
    </row>
    <row r="46" spans="1:50">
      <c r="A46" s="740">
        <f t="shared" si="5"/>
        <v>11.289999999999994</v>
      </c>
      <c r="B46" s="172" t="s">
        <v>1210</v>
      </c>
      <c r="C46" s="531"/>
      <c r="D46" s="1335">
        <v>75632.52</v>
      </c>
      <c r="E46" s="1335">
        <v>170386.62</v>
      </c>
      <c r="F46" s="1311">
        <f t="shared" si="7"/>
        <v>123009.57</v>
      </c>
      <c r="G46" s="903"/>
      <c r="H46" s="903"/>
      <c r="I46" s="1327"/>
      <c r="J46" s="1311">
        <f t="shared" si="8"/>
        <v>170386.62</v>
      </c>
      <c r="K46" s="1472"/>
      <c r="L46" s="1472"/>
      <c r="M46" s="1473"/>
      <c r="N46" s="1336" t="s">
        <v>196</v>
      </c>
    </row>
    <row r="47" spans="1:50">
      <c r="A47" s="740">
        <f t="shared" si="5"/>
        <v>11.299999999999994</v>
      </c>
      <c r="B47" s="172" t="s">
        <v>1211</v>
      </c>
      <c r="C47" s="531"/>
      <c r="D47" s="1335">
        <v>3499710.16</v>
      </c>
      <c r="E47" s="1335">
        <v>235774</v>
      </c>
      <c r="F47" s="1311"/>
      <c r="G47" s="903"/>
      <c r="H47" s="903"/>
      <c r="I47" s="1327">
        <f>+AVERAGE(D47:E47)</f>
        <v>1867742.08</v>
      </c>
      <c r="J47" s="1311"/>
      <c r="K47" s="903"/>
      <c r="L47" s="903"/>
      <c r="M47" s="1327">
        <f>+E47</f>
        <v>235774</v>
      </c>
      <c r="N47" s="1336" t="s">
        <v>196</v>
      </c>
    </row>
    <row r="48" spans="1:50">
      <c r="A48" s="740">
        <f t="shared" si="5"/>
        <v>11.309999999999993</v>
      </c>
      <c r="B48" s="172" t="s">
        <v>1212</v>
      </c>
      <c r="C48" s="531"/>
      <c r="D48" s="1335">
        <v>-0.25</v>
      </c>
      <c r="E48" s="1335">
        <v>0</v>
      </c>
      <c r="F48" s="1311"/>
      <c r="G48" s="903"/>
      <c r="H48" s="903"/>
      <c r="I48" s="1327">
        <f>+AVERAGE(D48:E48)</f>
        <v>-0.125</v>
      </c>
      <c r="J48" s="1311"/>
      <c r="K48" s="903"/>
      <c r="L48" s="903"/>
      <c r="M48" s="1327">
        <f>+E48</f>
        <v>0</v>
      </c>
      <c r="N48" s="1336" t="s">
        <v>196</v>
      </c>
    </row>
    <row r="49" spans="1:50" ht="26.4">
      <c r="A49" s="740">
        <f t="shared" si="5"/>
        <v>11.319999999999993</v>
      </c>
      <c r="B49" s="172" t="s">
        <v>1213</v>
      </c>
      <c r="C49" s="531"/>
      <c r="D49" s="1335">
        <v>-3707712.11</v>
      </c>
      <c r="E49" s="1335">
        <v>-2909915.79</v>
      </c>
      <c r="F49" s="1311">
        <f>+AVERAGE(D49:E49)</f>
        <v>-3308813.95</v>
      </c>
      <c r="G49" s="903"/>
      <c r="H49" s="903"/>
      <c r="I49" s="1327"/>
      <c r="J49" s="1311">
        <f>+E49</f>
        <v>-2909915.79</v>
      </c>
      <c r="K49" s="1472"/>
      <c r="L49" s="1472"/>
      <c r="M49" s="1473"/>
      <c r="N49" s="1336" t="s">
        <v>944</v>
      </c>
    </row>
    <row r="50" spans="1:50">
      <c r="A50" s="740">
        <f t="shared" si="5"/>
        <v>11.329999999999993</v>
      </c>
      <c r="B50" s="172" t="s">
        <v>1214</v>
      </c>
      <c r="C50" s="531"/>
      <c r="D50" s="1335">
        <v>-172942.35</v>
      </c>
      <c r="E50" s="1335">
        <v>0</v>
      </c>
      <c r="F50" s="1311">
        <f>+AVERAGE(D50:E50)</f>
        <v>-86471.175000000003</v>
      </c>
      <c r="G50" s="903"/>
      <c r="H50" s="903"/>
      <c r="I50" s="1327"/>
      <c r="J50" s="1311">
        <f>+E50</f>
        <v>0</v>
      </c>
      <c r="K50" s="1472"/>
      <c r="L50" s="1472"/>
      <c r="M50" s="1473"/>
      <c r="N50" s="1336" t="s">
        <v>197</v>
      </c>
    </row>
    <row r="51" spans="1:50" ht="15">
      <c r="A51" s="740">
        <f t="shared" si="5"/>
        <v>11.339999999999993</v>
      </c>
      <c r="B51" s="172" t="s">
        <v>1215</v>
      </c>
      <c r="C51" s="531"/>
      <c r="D51" s="1335">
        <v>0</v>
      </c>
      <c r="E51" s="1335">
        <v>0</v>
      </c>
      <c r="F51" s="1449"/>
      <c r="G51" s="903"/>
      <c r="H51" s="903"/>
      <c r="I51" s="1327">
        <f>+AVERAGE(D51:E51)</f>
        <v>0</v>
      </c>
      <c r="J51" s="1449"/>
      <c r="K51" s="903"/>
      <c r="L51" s="903"/>
      <c r="M51" s="1327">
        <f>+E51</f>
        <v>0</v>
      </c>
      <c r="N51" s="1336" t="s">
        <v>293</v>
      </c>
    </row>
    <row r="52" spans="1:50">
      <c r="A52" s="740">
        <f t="shared" si="5"/>
        <v>11.349999999999993</v>
      </c>
      <c r="B52" s="172" t="s">
        <v>1216</v>
      </c>
      <c r="C52" s="531"/>
      <c r="D52" s="1335">
        <v>875732.78</v>
      </c>
      <c r="E52" s="1335">
        <v>1245387.3400000001</v>
      </c>
      <c r="F52" s="1311">
        <f>+AVERAGE(D52:E52)</f>
        <v>1060560.06</v>
      </c>
      <c r="G52" s="1338"/>
      <c r="H52" s="1338"/>
      <c r="I52" s="1477"/>
      <c r="J52" s="1311">
        <f>+E52</f>
        <v>1245387.3400000001</v>
      </c>
      <c r="K52" s="1338"/>
      <c r="L52" s="1338"/>
      <c r="M52" s="1477"/>
      <c r="N52" s="1336" t="s">
        <v>945</v>
      </c>
      <c r="P52" s="531" t="s">
        <v>1123</v>
      </c>
    </row>
    <row r="53" spans="1:50">
      <c r="A53" s="740">
        <f t="shared" si="5"/>
        <v>11.359999999999992</v>
      </c>
      <c r="B53" s="172" t="s">
        <v>1217</v>
      </c>
      <c r="C53" s="531"/>
      <c r="D53" s="1335">
        <v>7450605.4400000004</v>
      </c>
      <c r="E53" s="1335">
        <v>6965793.75</v>
      </c>
      <c r="F53" s="1311">
        <f>+AVERAGE(D53:E53)</f>
        <v>7208199.5950000007</v>
      </c>
      <c r="G53" s="903"/>
      <c r="H53" s="903"/>
      <c r="I53" s="1327"/>
      <c r="J53" s="1311">
        <f>+E53</f>
        <v>6965793.75</v>
      </c>
      <c r="K53" s="903"/>
      <c r="L53" s="903"/>
      <c r="M53" s="1327"/>
      <c r="N53" s="1336" t="s">
        <v>204</v>
      </c>
    </row>
    <row r="54" spans="1:50">
      <c r="A54" s="740">
        <f t="shared" si="5"/>
        <v>11.369999999999992</v>
      </c>
      <c r="B54" s="172" t="s">
        <v>1218</v>
      </c>
      <c r="C54" s="531"/>
      <c r="D54" s="1335">
        <v>3374952</v>
      </c>
      <c r="E54" s="1335">
        <v>3365382</v>
      </c>
      <c r="F54" s="1311">
        <f>+AVERAGE(D54:E54)</f>
        <v>3370167</v>
      </c>
      <c r="G54" s="903"/>
      <c r="H54" s="903"/>
      <c r="I54" s="1327"/>
      <c r="J54" s="1311">
        <f>+E54</f>
        <v>3365382</v>
      </c>
      <c r="K54" s="903"/>
      <c r="L54" s="903"/>
      <c r="M54" s="1327"/>
      <c r="N54" s="1336" t="s">
        <v>204</v>
      </c>
    </row>
    <row r="55" spans="1:50" s="172" customFormat="1" ht="26.4">
      <c r="A55" s="834">
        <f t="shared" si="5"/>
        <v>11.379999999999992</v>
      </c>
      <c r="B55" s="164" t="s">
        <v>1219</v>
      </c>
      <c r="C55" s="164"/>
      <c r="D55" s="1447">
        <v>0</v>
      </c>
      <c r="E55" s="1447">
        <v>0</v>
      </c>
      <c r="F55" s="1450"/>
      <c r="G55" s="141"/>
      <c r="H55" s="141">
        <f>+AVERAGE(D55:E55)</f>
        <v>0</v>
      </c>
      <c r="I55" s="1474"/>
      <c r="J55" s="1450"/>
      <c r="K55" s="141"/>
      <c r="L55" s="141">
        <f>+E55</f>
        <v>0</v>
      </c>
      <c r="M55" s="1474"/>
      <c r="N55" s="1448" t="s">
        <v>946</v>
      </c>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row>
    <row r="56" spans="1:50">
      <c r="A56" s="740">
        <f t="shared" si="5"/>
        <v>11.389999999999992</v>
      </c>
      <c r="B56" s="531" t="s">
        <v>1220</v>
      </c>
      <c r="C56" s="531"/>
      <c r="D56" s="1335">
        <v>0</v>
      </c>
      <c r="E56" s="1335">
        <v>158550</v>
      </c>
      <c r="F56" s="1311">
        <f>+AVERAGE(D56:E56)</f>
        <v>79275</v>
      </c>
      <c r="G56" s="903"/>
      <c r="H56" s="903"/>
      <c r="I56" s="1327"/>
      <c r="J56" s="1311">
        <f>+E56</f>
        <v>158550</v>
      </c>
      <c r="K56" s="1472"/>
      <c r="L56" s="1472"/>
      <c r="M56" s="1473"/>
      <c r="N56" s="1336" t="s">
        <v>205</v>
      </c>
    </row>
    <row r="57" spans="1:50">
      <c r="A57" s="740">
        <f t="shared" si="5"/>
        <v>11.399999999999991</v>
      </c>
      <c r="B57" s="172" t="s">
        <v>1221</v>
      </c>
      <c r="C57" s="531"/>
      <c r="D57" s="1335">
        <v>276459</v>
      </c>
      <c r="E57" s="1335">
        <v>375831</v>
      </c>
      <c r="F57" s="1311"/>
      <c r="G57" s="903"/>
      <c r="H57" s="903"/>
      <c r="I57" s="1327">
        <f>+AVERAGE(D57:E57)</f>
        <v>326145</v>
      </c>
      <c r="J57" s="1311"/>
      <c r="K57" s="903"/>
      <c r="L57" s="903"/>
      <c r="M57" s="1327">
        <f>+E57</f>
        <v>375831</v>
      </c>
      <c r="N57" s="1336" t="s">
        <v>947</v>
      </c>
    </row>
    <row r="58" spans="1:50" s="172" customFormat="1" ht="26.4">
      <c r="A58" s="834">
        <f t="shared" si="5"/>
        <v>11.409999999999991</v>
      </c>
      <c r="B58" s="164" t="s">
        <v>1223</v>
      </c>
      <c r="C58" s="164"/>
      <c r="D58" s="1447">
        <v>0</v>
      </c>
      <c r="E58" s="1447">
        <v>0</v>
      </c>
      <c r="F58" s="1450"/>
      <c r="G58" s="141"/>
      <c r="H58" s="141">
        <v>0</v>
      </c>
      <c r="I58" s="1474"/>
      <c r="J58" s="1450"/>
      <c r="K58" s="141"/>
      <c r="L58" s="141">
        <f>+E58</f>
        <v>0</v>
      </c>
      <c r="M58" s="1474"/>
      <c r="N58" s="1448" t="s">
        <v>948</v>
      </c>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row>
    <row r="59" spans="1:50" s="172" customFormat="1" ht="26.4">
      <c r="A59" s="834">
        <f t="shared" si="5"/>
        <v>11.419999999999991</v>
      </c>
      <c r="B59" s="172" t="s">
        <v>1375</v>
      </c>
      <c r="C59" s="164"/>
      <c r="D59" s="1447">
        <v>0</v>
      </c>
      <c r="E59" s="1447">
        <v>0</v>
      </c>
      <c r="F59" s="1450"/>
      <c r="G59" s="141"/>
      <c r="H59" s="141">
        <f>+AVERAGE(D59:E59)</f>
        <v>0</v>
      </c>
      <c r="I59" s="1474"/>
      <c r="J59" s="1450"/>
      <c r="K59" s="141"/>
      <c r="L59" s="141">
        <f>+E59</f>
        <v>0</v>
      </c>
      <c r="M59" s="1474"/>
      <c r="N59" s="1448" t="s">
        <v>949</v>
      </c>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row>
    <row r="60" spans="1:50" s="172" customFormat="1" ht="26.4">
      <c r="A60" s="834">
        <f t="shared" si="5"/>
        <v>11.429999999999991</v>
      </c>
      <c r="B60" s="164" t="s">
        <v>1224</v>
      </c>
      <c r="C60" s="164"/>
      <c r="D60" s="1447">
        <v>0</v>
      </c>
      <c r="E60" s="1447">
        <v>0</v>
      </c>
      <c r="F60" s="1450"/>
      <c r="G60" s="141"/>
      <c r="H60" s="141">
        <v>0</v>
      </c>
      <c r="I60" s="1474"/>
      <c r="J60" s="1450"/>
      <c r="K60" s="141"/>
      <c r="L60" s="141">
        <f>+E60</f>
        <v>0</v>
      </c>
      <c r="M60" s="1474"/>
      <c r="N60" s="1448" t="s">
        <v>946</v>
      </c>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row>
    <row r="61" spans="1:50">
      <c r="A61" s="740">
        <f t="shared" si="5"/>
        <v>11.439999999999991</v>
      </c>
      <c r="B61" s="531" t="s">
        <v>1225</v>
      </c>
      <c r="C61" s="531"/>
      <c r="D61" s="1335">
        <v>0</v>
      </c>
      <c r="E61" s="1335">
        <v>0</v>
      </c>
      <c r="F61" s="1311">
        <v>0</v>
      </c>
      <c r="G61" s="903"/>
      <c r="H61" s="903"/>
      <c r="I61" s="1327"/>
      <c r="J61" s="1311">
        <f>+E61</f>
        <v>0</v>
      </c>
      <c r="K61" s="1472"/>
      <c r="L61" s="1472"/>
      <c r="M61" s="1473"/>
      <c r="N61" s="1336" t="s">
        <v>1162</v>
      </c>
    </row>
    <row r="62" spans="1:50">
      <c r="A62" s="740">
        <f t="shared" si="5"/>
        <v>11.44999999999999</v>
      </c>
      <c r="B62" s="172" t="s">
        <v>1222</v>
      </c>
      <c r="C62" s="531"/>
      <c r="D62" s="1335">
        <v>1800000</v>
      </c>
      <c r="E62" s="1335">
        <v>2500000</v>
      </c>
      <c r="F62" s="1311">
        <f>+AVERAGE(D62:E62)</f>
        <v>2150000</v>
      </c>
      <c r="G62" s="903"/>
      <c r="H62" s="903"/>
      <c r="I62" s="1327"/>
      <c r="J62" s="1311">
        <f>+E62</f>
        <v>2500000</v>
      </c>
      <c r="K62" s="1472"/>
      <c r="L62" s="1472"/>
      <c r="M62" s="1473"/>
      <c r="N62" s="1336" t="s">
        <v>155</v>
      </c>
    </row>
    <row r="63" spans="1:50">
      <c r="A63" s="1178">
        <f t="shared" si="5"/>
        <v>11.45999999999999</v>
      </c>
      <c r="B63" s="175" t="s">
        <v>1382</v>
      </c>
      <c r="C63" s="1359"/>
      <c r="D63" s="1335">
        <v>-128450</v>
      </c>
      <c r="E63" s="1335">
        <v>0</v>
      </c>
      <c r="F63" s="1364">
        <f>+AVERAGE(D63:E63)</f>
        <v>-64225</v>
      </c>
      <c r="G63" s="1355"/>
      <c r="H63" s="1355"/>
      <c r="I63" s="1356"/>
      <c r="J63" s="1364">
        <f>+E63</f>
        <v>0</v>
      </c>
      <c r="K63" s="1496"/>
      <c r="L63" s="1496"/>
      <c r="M63" s="1497"/>
      <c r="N63" s="1360" t="s">
        <v>197</v>
      </c>
      <c r="O63" s="531" t="s">
        <v>1422</v>
      </c>
    </row>
    <row r="64" spans="1:50">
      <c r="A64" s="1178">
        <f t="shared" si="5"/>
        <v>11.46999999999999</v>
      </c>
      <c r="B64" s="175" t="s">
        <v>1423</v>
      </c>
      <c r="C64" s="1359"/>
      <c r="D64" s="1335">
        <v>0</v>
      </c>
      <c r="E64" s="1335">
        <v>3143249.68</v>
      </c>
      <c r="F64" s="1364">
        <f>+AVERAGE(D64:E64)</f>
        <v>1571624.84</v>
      </c>
      <c r="G64" s="1355"/>
      <c r="H64" s="1355"/>
      <c r="I64" s="1356"/>
      <c r="J64" s="1364">
        <f>+E64</f>
        <v>3143249.68</v>
      </c>
      <c r="K64" s="1496"/>
      <c r="L64" s="1496"/>
      <c r="M64" s="1497"/>
      <c r="N64" s="1360" t="s">
        <v>196</v>
      </c>
      <c r="O64" s="531" t="s">
        <v>1424</v>
      </c>
    </row>
    <row r="65" spans="1:16">
      <c r="A65" s="1178">
        <f t="shared" si="5"/>
        <v>11.47999999999999</v>
      </c>
      <c r="B65" s="1339"/>
      <c r="C65" s="1339" t="s">
        <v>913</v>
      </c>
      <c r="D65" s="1335">
        <v>0</v>
      </c>
      <c r="E65" s="1335">
        <v>0</v>
      </c>
      <c r="F65" s="1364"/>
      <c r="G65" s="1355"/>
      <c r="H65" s="1355"/>
      <c r="I65" s="1356"/>
      <c r="J65" s="1364"/>
      <c r="K65" s="1355"/>
      <c r="L65" s="1355"/>
      <c r="M65" s="1356"/>
      <c r="N65" s="1341"/>
    </row>
    <row r="66" spans="1:16">
      <c r="A66" s="1179" t="s">
        <v>904</v>
      </c>
      <c r="B66" s="1339"/>
      <c r="C66" s="1339" t="s">
        <v>913</v>
      </c>
      <c r="D66" s="1340">
        <v>0</v>
      </c>
      <c r="E66" s="1340">
        <v>0</v>
      </c>
      <c r="F66" s="1364"/>
      <c r="G66" s="1355"/>
      <c r="H66" s="1355"/>
      <c r="I66" s="1356"/>
      <c r="J66" s="1364"/>
      <c r="K66" s="1355"/>
      <c r="L66" s="1355"/>
      <c r="M66" s="1356"/>
      <c r="N66" s="1341"/>
    </row>
    <row r="67" spans="1:16">
      <c r="A67" s="1178" t="str">
        <f>+A17&amp;".XX"</f>
        <v>11.XX</v>
      </c>
      <c r="B67" s="1339"/>
      <c r="C67" s="1339" t="s">
        <v>913</v>
      </c>
      <c r="D67" s="1342">
        <v>0</v>
      </c>
      <c r="E67" s="1342">
        <v>0</v>
      </c>
      <c r="F67" s="1478"/>
      <c r="G67" s="693"/>
      <c r="H67" s="693"/>
      <c r="I67" s="1479"/>
      <c r="J67" s="1478"/>
      <c r="K67" s="693"/>
      <c r="L67" s="693"/>
      <c r="M67" s="1479"/>
      <c r="N67" s="1341"/>
    </row>
    <row r="68" spans="1:16" ht="13.8" thickBot="1">
      <c r="A68" s="739">
        <f>+A17+1</f>
        <v>12</v>
      </c>
      <c r="B68" s="880"/>
      <c r="C68" s="880"/>
      <c r="D68" s="1332"/>
      <c r="E68" s="1332"/>
      <c r="F68" s="1480"/>
      <c r="G68" s="1481"/>
      <c r="H68" s="1481"/>
      <c r="I68" s="1482"/>
      <c r="J68" s="1480"/>
      <c r="K68" s="1481"/>
      <c r="L68" s="1481"/>
      <c r="M68" s="1482"/>
      <c r="N68" s="1075"/>
    </row>
    <row r="69" spans="1:16" s="531" customFormat="1" ht="14.4" thickBot="1">
      <c r="A69" s="739">
        <f>+A68+1</f>
        <v>13</v>
      </c>
      <c r="B69" s="1343" t="s">
        <v>523</v>
      </c>
      <c r="C69" s="1344"/>
      <c r="D69" s="1345">
        <f t="shared" ref="D69:I69" si="9">SUM(D18:D67)</f>
        <v>113333162.59000003</v>
      </c>
      <c r="E69" s="1345">
        <f t="shared" si="9"/>
        <v>114000798.89</v>
      </c>
      <c r="F69" s="1346">
        <f t="shared" si="9"/>
        <v>84712430.36999999</v>
      </c>
      <c r="G69" s="903">
        <f t="shared" si="9"/>
        <v>0</v>
      </c>
      <c r="H69" s="903">
        <f t="shared" si="9"/>
        <v>54035855.315000005</v>
      </c>
      <c r="I69" s="1327">
        <f t="shared" si="9"/>
        <v>-25081304.945</v>
      </c>
      <c r="J69" s="1346">
        <f>SUM(J18:J68)</f>
        <v>88717868.150000006</v>
      </c>
      <c r="K69" s="903">
        <f>SUM(K18:K68)</f>
        <v>0</v>
      </c>
      <c r="L69" s="903">
        <f>SUM(L18:L68)</f>
        <v>53707263.049999997</v>
      </c>
      <c r="M69" s="1327">
        <f>SUM(M18:M68)</f>
        <v>-28424332.310000002</v>
      </c>
      <c r="N69" s="1075" t="str">
        <f>+"Sum by Column of Line "&amp;A17&amp;" Subparts"</f>
        <v>Sum by Column of Line 11 Subparts</v>
      </c>
    </row>
    <row r="70" spans="1:16" ht="15">
      <c r="A70" s="739">
        <f>+A69+1</f>
        <v>14</v>
      </c>
      <c r="B70" s="1725" t="s">
        <v>562</v>
      </c>
      <c r="C70" s="1725"/>
      <c r="D70" s="1347">
        <f>D53+D54</f>
        <v>10825557.440000001</v>
      </c>
      <c r="E70" s="1347">
        <f t="shared" ref="E70:M70" si="10">E53+E54</f>
        <v>10331175.75</v>
      </c>
      <c r="F70" s="1398">
        <f t="shared" si="10"/>
        <v>10578366.595000001</v>
      </c>
      <c r="G70" s="1347">
        <f t="shared" si="10"/>
        <v>0</v>
      </c>
      <c r="H70" s="1347">
        <f t="shared" si="10"/>
        <v>0</v>
      </c>
      <c r="I70" s="1347">
        <f t="shared" si="10"/>
        <v>0</v>
      </c>
      <c r="J70" s="1347">
        <f t="shared" si="10"/>
        <v>10331175.75</v>
      </c>
      <c r="K70" s="1347">
        <f t="shared" si="10"/>
        <v>0</v>
      </c>
      <c r="L70" s="1347">
        <f t="shared" si="10"/>
        <v>0</v>
      </c>
      <c r="M70" s="1347">
        <f t="shared" si="10"/>
        <v>0</v>
      </c>
      <c r="N70" s="1310"/>
      <c r="P70" s="1838"/>
    </row>
    <row r="71" spans="1:16" ht="13.8">
      <c r="A71" s="739">
        <f>+A70+1</f>
        <v>15</v>
      </c>
      <c r="B71" s="1348" t="s">
        <v>521</v>
      </c>
      <c r="C71" s="1349"/>
      <c r="D71" s="903">
        <f>+D69-D70</f>
        <v>102507605.15000004</v>
      </c>
      <c r="E71" s="903">
        <f>+E69-E70</f>
        <v>103669623.14</v>
      </c>
      <c r="F71" s="1346">
        <f>+F69-F70</f>
        <v>74134063.774999991</v>
      </c>
      <c r="G71" s="903">
        <f t="shared" ref="G71:M71" si="11">+G69-G70</f>
        <v>0</v>
      </c>
      <c r="H71" s="903">
        <f t="shared" si="11"/>
        <v>54035855.315000005</v>
      </c>
      <c r="I71" s="1327">
        <f t="shared" si="11"/>
        <v>-25081304.945</v>
      </c>
      <c r="J71" s="1346">
        <f t="shared" si="11"/>
        <v>78386692.400000006</v>
      </c>
      <c r="K71" s="903">
        <f t="shared" si="11"/>
        <v>0</v>
      </c>
      <c r="L71" s="903">
        <f t="shared" si="11"/>
        <v>53707263.049999997</v>
      </c>
      <c r="M71" s="1327">
        <f t="shared" si="11"/>
        <v>-28424332.310000002</v>
      </c>
      <c r="N71" s="792" t="str">
        <f>+"Ln "&amp;A69&amp;" Less Ln "&amp;A70</f>
        <v>Ln 13 Less Ln 14</v>
      </c>
    </row>
    <row r="72" spans="1:16">
      <c r="A72" s="739">
        <f>+A71+1</f>
        <v>16</v>
      </c>
      <c r="B72" s="1350"/>
      <c r="C72" s="1350"/>
      <c r="D72" s="1350"/>
      <c r="E72" s="1351"/>
      <c r="F72" s="1483"/>
      <c r="G72" s="1483"/>
      <c r="H72" s="1483"/>
      <c r="I72" s="1483"/>
      <c r="J72" s="903"/>
      <c r="K72" s="903"/>
      <c r="L72" s="1483"/>
      <c r="M72" s="1483"/>
      <c r="N72" s="1075"/>
    </row>
    <row r="73" spans="1:16" ht="16.8">
      <c r="A73" s="739">
        <f>A72+1</f>
        <v>17</v>
      </c>
      <c r="B73" s="1399" t="s">
        <v>1115</v>
      </c>
      <c r="C73" s="912"/>
      <c r="D73" s="912"/>
      <c r="E73" s="1325"/>
      <c r="F73" s="1730" t="str">
        <f>F8</f>
        <v>Average of BOY/EOY (Col (C+D)/2)</v>
      </c>
      <c r="G73" s="1731"/>
      <c r="H73" s="1731"/>
      <c r="I73" s="1731"/>
      <c r="J73" s="1724" t="str">
        <f>J8</f>
        <v>EOY (Col D)</v>
      </c>
      <c r="K73" s="1724"/>
      <c r="L73" s="1724"/>
      <c r="M73" s="1724"/>
      <c r="N73" s="1391" t="s">
        <v>49</v>
      </c>
    </row>
    <row r="74" spans="1:16">
      <c r="A74" s="740">
        <f>+A73+0.01</f>
        <v>17.010000000000002</v>
      </c>
      <c r="B74" s="172" t="s">
        <v>1226</v>
      </c>
      <c r="C74" s="1312"/>
      <c r="D74" s="1352">
        <v>-10778.45</v>
      </c>
      <c r="E74" s="1352">
        <v>-10539.49</v>
      </c>
      <c r="F74" s="1311">
        <f>+AVERAGE(D74:E74)</f>
        <v>-10658.970000000001</v>
      </c>
      <c r="G74" s="903"/>
      <c r="H74" s="903"/>
      <c r="I74" s="1327"/>
      <c r="J74" s="1311">
        <f>+E74</f>
        <v>-10539.49</v>
      </c>
      <c r="K74" s="903"/>
      <c r="L74" s="903"/>
      <c r="M74" s="1327"/>
      <c r="N74" s="1353" t="s">
        <v>197</v>
      </c>
    </row>
    <row r="75" spans="1:16">
      <c r="A75" s="740">
        <f>+A74+0.01</f>
        <v>17.020000000000003</v>
      </c>
      <c r="B75" s="1354"/>
      <c r="C75" s="1339" t="s">
        <v>913</v>
      </c>
      <c r="D75" s="1352">
        <v>0</v>
      </c>
      <c r="E75" s="1352">
        <v>0</v>
      </c>
      <c r="F75" s="1364"/>
      <c r="G75" s="1355"/>
      <c r="H75" s="1355"/>
      <c r="I75" s="1356"/>
      <c r="J75" s="1364"/>
      <c r="K75" s="1355"/>
      <c r="L75" s="1355"/>
      <c r="M75" s="1356"/>
      <c r="N75" s="1357"/>
    </row>
    <row r="76" spans="1:16">
      <c r="A76" s="740" t="s">
        <v>904</v>
      </c>
      <c r="B76" s="1354"/>
      <c r="C76" s="1339" t="s">
        <v>913</v>
      </c>
      <c r="D76" s="1352">
        <v>0</v>
      </c>
      <c r="E76" s="1352">
        <v>0</v>
      </c>
      <c r="F76" s="1364"/>
      <c r="G76" s="1355"/>
      <c r="H76" s="1355"/>
      <c r="I76" s="1356"/>
      <c r="J76" s="1364"/>
      <c r="K76" s="1355"/>
      <c r="L76" s="1355"/>
      <c r="M76" s="1356"/>
      <c r="N76" s="1357"/>
    </row>
    <row r="77" spans="1:16" ht="13.8" thickBot="1">
      <c r="A77" s="740" t="str">
        <f>+A73&amp;".XX"</f>
        <v>17.XX</v>
      </c>
      <c r="B77" s="1354"/>
      <c r="C77" s="1339" t="s">
        <v>913</v>
      </c>
      <c r="D77" s="1352">
        <v>0</v>
      </c>
      <c r="E77" s="1352">
        <v>0</v>
      </c>
      <c r="F77" s="1364"/>
      <c r="G77" s="1355"/>
      <c r="H77" s="1355"/>
      <c r="I77" s="1356"/>
      <c r="J77" s="1364"/>
      <c r="K77" s="1355"/>
      <c r="L77" s="1355"/>
      <c r="M77" s="1356"/>
      <c r="N77" s="1357"/>
    </row>
    <row r="78" spans="1:16" s="531" customFormat="1" ht="14.4" thickBot="1">
      <c r="A78" s="739">
        <v>18</v>
      </c>
      <c r="B78" s="1343" t="s">
        <v>1116</v>
      </c>
      <c r="C78" s="1344"/>
      <c r="D78" s="1345">
        <f>SUM(D74:D77)</f>
        <v>-10778.45</v>
      </c>
      <c r="E78" s="1345">
        <f t="shared" ref="E78:M78" si="12">SUM(E74:E77)</f>
        <v>-10539.49</v>
      </c>
      <c r="F78" s="1311">
        <f t="shared" si="12"/>
        <v>-10658.970000000001</v>
      </c>
      <c r="G78" s="903">
        <f t="shared" si="12"/>
        <v>0</v>
      </c>
      <c r="H78" s="903">
        <f t="shared" si="12"/>
        <v>0</v>
      </c>
      <c r="I78" s="1327">
        <f t="shared" si="12"/>
        <v>0</v>
      </c>
      <c r="J78" s="1311">
        <f t="shared" si="12"/>
        <v>-10539.49</v>
      </c>
      <c r="K78" s="903">
        <f t="shared" si="12"/>
        <v>0</v>
      </c>
      <c r="L78" s="903">
        <f t="shared" si="12"/>
        <v>0</v>
      </c>
      <c r="M78" s="1327">
        <f t="shared" si="12"/>
        <v>0</v>
      </c>
      <c r="N78" s="1075" t="str">
        <f>+"Sum by Column of Line "&amp;A73&amp;" Subparts"</f>
        <v>Sum by Column of Line 17 Subparts</v>
      </c>
    </row>
    <row r="79" spans="1:16">
      <c r="A79" s="739"/>
      <c r="B79" s="1350"/>
      <c r="C79" s="1350"/>
      <c r="D79" s="1350"/>
      <c r="E79" s="1351"/>
      <c r="F79" s="1483"/>
      <c r="G79" s="1483"/>
      <c r="H79" s="1483"/>
      <c r="I79" s="1483"/>
      <c r="J79" s="903"/>
      <c r="K79" s="903"/>
      <c r="L79" s="1483"/>
      <c r="M79" s="1483"/>
      <c r="N79" s="1075"/>
    </row>
    <row r="80" spans="1:16" ht="16.8">
      <c r="A80" s="739">
        <f>A78+1</f>
        <v>19</v>
      </c>
      <c r="B80" s="1348" t="s">
        <v>772</v>
      </c>
      <c r="C80" s="912"/>
      <c r="D80" s="912"/>
      <c r="E80" s="1325"/>
      <c r="F80" s="1724" t="str">
        <f>F8</f>
        <v>Average of BOY/EOY (Col (C+D)/2)</v>
      </c>
      <c r="G80" s="1724"/>
      <c r="H80" s="1724"/>
      <c r="I80" s="1724"/>
      <c r="J80" s="1724" t="str">
        <f>J8</f>
        <v>EOY (Col D)</v>
      </c>
      <c r="K80" s="1724"/>
      <c r="L80" s="1724"/>
      <c r="M80" s="1724"/>
      <c r="N80" s="1323" t="s">
        <v>49</v>
      </c>
    </row>
    <row r="81" spans="1:16">
      <c r="A81" s="740">
        <f>A80+0.01</f>
        <v>19.010000000000002</v>
      </c>
      <c r="B81" s="172" t="s">
        <v>1227</v>
      </c>
      <c r="C81" s="1312"/>
      <c r="D81" s="1352">
        <v>-461601729.20000005</v>
      </c>
      <c r="E81" s="1358">
        <v>-510720045.15999997</v>
      </c>
      <c r="F81" s="886"/>
      <c r="G81" s="886"/>
      <c r="H81" s="886">
        <f>+AVERAGE(D81:E81)</f>
        <v>-486160887.18000001</v>
      </c>
      <c r="I81" s="1327"/>
      <c r="J81" s="886"/>
      <c r="K81" s="886"/>
      <c r="L81" s="886">
        <f>+E81</f>
        <v>-510720045.15999997</v>
      </c>
      <c r="M81" s="1327"/>
      <c r="N81" s="1353" t="s">
        <v>0</v>
      </c>
    </row>
    <row r="82" spans="1:16">
      <c r="A82" s="740">
        <f>+A81+0.01</f>
        <v>19.020000000000003</v>
      </c>
      <c r="B82" s="172" t="s">
        <v>1228</v>
      </c>
      <c r="C82" s="1312"/>
      <c r="D82" s="1352">
        <v>1305816.3500000001</v>
      </c>
      <c r="E82" s="1358">
        <v>999634.25</v>
      </c>
      <c r="F82" s="886"/>
      <c r="G82" s="886"/>
      <c r="H82" s="886">
        <f t="shared" ref="H82:H88" si="13">+AVERAGE(D82:E82)</f>
        <v>1152725.3</v>
      </c>
      <c r="I82" s="1327"/>
      <c r="J82" s="886"/>
      <c r="K82" s="886"/>
      <c r="L82" s="886">
        <f t="shared" ref="L82:L88" si="14">+E82</f>
        <v>999634.25</v>
      </c>
      <c r="M82" s="1327"/>
      <c r="N82" s="1353" t="s">
        <v>0</v>
      </c>
    </row>
    <row r="83" spans="1:16">
      <c r="A83" s="740">
        <f t="shared" ref="A83:A101" si="15">+A82+0.01</f>
        <v>19.030000000000005</v>
      </c>
      <c r="B83" s="172" t="s">
        <v>1229</v>
      </c>
      <c r="C83" s="1312"/>
      <c r="D83" s="1352">
        <v>-16247836.01</v>
      </c>
      <c r="E83" s="1358">
        <v>-17356189.77</v>
      </c>
      <c r="F83" s="886"/>
      <c r="G83" s="886"/>
      <c r="H83" s="886">
        <f t="shared" si="13"/>
        <v>-16802012.890000001</v>
      </c>
      <c r="I83" s="1327"/>
      <c r="J83" s="886"/>
      <c r="K83" s="886"/>
      <c r="L83" s="886">
        <f t="shared" si="14"/>
        <v>-17356189.77</v>
      </c>
      <c r="M83" s="1327"/>
      <c r="N83" s="1312" t="s">
        <v>950</v>
      </c>
    </row>
    <row r="84" spans="1:16">
      <c r="A84" s="740">
        <f t="shared" si="15"/>
        <v>19.040000000000006</v>
      </c>
      <c r="B84" s="172" t="s">
        <v>1230</v>
      </c>
      <c r="C84" s="1312"/>
      <c r="D84" s="1352">
        <v>-3979098.64</v>
      </c>
      <c r="E84" s="1358">
        <v>-3867395.4</v>
      </c>
      <c r="F84" s="886"/>
      <c r="G84" s="886"/>
      <c r="H84" s="886">
        <f t="shared" si="13"/>
        <v>-3923247.02</v>
      </c>
      <c r="I84" s="1327"/>
      <c r="J84" s="886"/>
      <c r="K84" s="886"/>
      <c r="L84" s="886">
        <f t="shared" si="14"/>
        <v>-3867395.4</v>
      </c>
      <c r="M84" s="1327"/>
      <c r="N84" s="1353" t="s">
        <v>1</v>
      </c>
    </row>
    <row r="85" spans="1:16">
      <c r="A85" s="740">
        <f t="shared" si="15"/>
        <v>19.050000000000008</v>
      </c>
      <c r="B85" s="172" t="s">
        <v>1231</v>
      </c>
      <c r="C85" s="1312"/>
      <c r="D85" s="1352">
        <v>-233032.38</v>
      </c>
      <c r="E85" s="1358">
        <v>-30245.87</v>
      </c>
      <c r="F85" s="886"/>
      <c r="G85" s="886"/>
      <c r="H85" s="886">
        <f t="shared" si="13"/>
        <v>-131639.125</v>
      </c>
      <c r="I85" s="1327"/>
      <c r="J85" s="886"/>
      <c r="K85" s="886"/>
      <c r="L85" s="886">
        <f t="shared" si="14"/>
        <v>-30245.87</v>
      </c>
      <c r="M85" s="1327"/>
      <c r="N85" s="1353" t="s">
        <v>1</v>
      </c>
    </row>
    <row r="86" spans="1:16">
      <c r="A86" s="740">
        <f t="shared" si="15"/>
        <v>19.060000000000009</v>
      </c>
      <c r="B86" s="172" t="s">
        <v>1232</v>
      </c>
      <c r="C86" s="1312"/>
      <c r="D86" s="1352">
        <v>-26568317.93</v>
      </c>
      <c r="E86" s="1358">
        <v>-25301810.91</v>
      </c>
      <c r="F86" s="886"/>
      <c r="G86" s="886"/>
      <c r="H86" s="886">
        <f t="shared" si="13"/>
        <v>-25935064.420000002</v>
      </c>
      <c r="I86" s="1327"/>
      <c r="J86" s="886"/>
      <c r="K86" s="886"/>
      <c r="L86" s="886">
        <f t="shared" si="14"/>
        <v>-25301810.91</v>
      </c>
      <c r="M86" s="1327"/>
      <c r="N86" s="1353" t="s">
        <v>1</v>
      </c>
    </row>
    <row r="87" spans="1:16">
      <c r="A87" s="740">
        <f t="shared" si="15"/>
        <v>19.070000000000011</v>
      </c>
      <c r="B87" s="172" t="s">
        <v>1233</v>
      </c>
      <c r="C87" s="1312"/>
      <c r="D87" s="1352">
        <v>-200026.97</v>
      </c>
      <c r="E87" s="1358">
        <v>-208843.48</v>
      </c>
      <c r="F87" s="886"/>
      <c r="G87" s="886"/>
      <c r="H87" s="886">
        <f t="shared" si="13"/>
        <v>-204435.22500000001</v>
      </c>
      <c r="I87" s="1327"/>
      <c r="J87" s="886"/>
      <c r="K87" s="886"/>
      <c r="L87" s="886">
        <f t="shared" si="14"/>
        <v>-208843.48</v>
      </c>
      <c r="M87" s="1327"/>
      <c r="N87" s="1353" t="s">
        <v>1</v>
      </c>
    </row>
    <row r="88" spans="1:16">
      <c r="A88" s="740">
        <f t="shared" si="15"/>
        <v>19.080000000000013</v>
      </c>
      <c r="B88" s="172" t="s">
        <v>1234</v>
      </c>
      <c r="C88" s="1312"/>
      <c r="D88" s="1352">
        <v>-184125.91</v>
      </c>
      <c r="E88" s="1358">
        <v>-137158.09</v>
      </c>
      <c r="F88" s="886"/>
      <c r="G88" s="886"/>
      <c r="H88" s="886">
        <f t="shared" si="13"/>
        <v>-160642</v>
      </c>
      <c r="I88" s="1327"/>
      <c r="J88" s="886"/>
      <c r="K88" s="886"/>
      <c r="L88" s="886">
        <f t="shared" si="14"/>
        <v>-137158.09</v>
      </c>
      <c r="M88" s="1327"/>
      <c r="N88" s="1353" t="s">
        <v>1</v>
      </c>
    </row>
    <row r="89" spans="1:16">
      <c r="A89" s="740">
        <f t="shared" si="15"/>
        <v>19.090000000000014</v>
      </c>
      <c r="B89" s="1312" t="s">
        <v>1235</v>
      </c>
      <c r="C89" s="1312"/>
      <c r="D89" s="1352">
        <v>0</v>
      </c>
      <c r="E89" s="1358">
        <v>0</v>
      </c>
      <c r="F89" s="1311">
        <v>0</v>
      </c>
      <c r="G89" s="903"/>
      <c r="H89" s="903"/>
      <c r="I89" s="1327"/>
      <c r="J89" s="1311">
        <f>+E89</f>
        <v>0</v>
      </c>
      <c r="K89" s="1472"/>
      <c r="L89" s="1472"/>
      <c r="M89" s="1473"/>
      <c r="N89" s="1353" t="s">
        <v>197</v>
      </c>
    </row>
    <row r="90" spans="1:16">
      <c r="A90" s="740">
        <f t="shared" si="15"/>
        <v>19.100000000000016</v>
      </c>
      <c r="B90" s="172" t="s">
        <v>1236</v>
      </c>
      <c r="C90" s="1312"/>
      <c r="D90" s="1352">
        <v>7337135.8899999997</v>
      </c>
      <c r="E90" s="1358">
        <v>8369628.7000000002</v>
      </c>
      <c r="F90" s="886"/>
      <c r="G90" s="886"/>
      <c r="H90" s="886">
        <f>+AVERAGE(D90:E90)</f>
        <v>7853382.2949999999</v>
      </c>
      <c r="I90" s="1327"/>
      <c r="J90" s="886"/>
      <c r="K90" s="886"/>
      <c r="L90" s="886">
        <f>+E90</f>
        <v>8369628.7000000002</v>
      </c>
      <c r="M90" s="1327"/>
      <c r="N90" s="1353" t="s">
        <v>1</v>
      </c>
    </row>
    <row r="91" spans="1:16" ht="15">
      <c r="A91" s="740">
        <f t="shared" si="15"/>
        <v>19.110000000000017</v>
      </c>
      <c r="B91" s="172" t="s">
        <v>1237</v>
      </c>
      <c r="C91" s="531"/>
      <c r="D91" s="1352">
        <v>80809.440000000002</v>
      </c>
      <c r="E91" s="1358">
        <v>18197.2</v>
      </c>
      <c r="F91" s="886">
        <f>+AVERAGE(D91:E91)</f>
        <v>49503.32</v>
      </c>
      <c r="G91" s="886"/>
      <c r="H91" s="1484"/>
      <c r="I91" s="1327"/>
      <c r="J91" s="1311">
        <f>+E91</f>
        <v>18197.2</v>
      </c>
      <c r="K91" s="886"/>
      <c r="L91" s="1484"/>
      <c r="M91" s="1327"/>
      <c r="N91" s="1353" t="s">
        <v>1</v>
      </c>
      <c r="P91" s="531" t="s">
        <v>1122</v>
      </c>
    </row>
    <row r="92" spans="1:16">
      <c r="A92" s="740">
        <f t="shared" si="15"/>
        <v>19.120000000000019</v>
      </c>
      <c r="B92" s="172" t="s">
        <v>1238</v>
      </c>
      <c r="C92" s="1312"/>
      <c r="D92" s="1352">
        <v>-8493299.2599999998</v>
      </c>
      <c r="E92" s="1358">
        <v>-8561360.5600000005</v>
      </c>
      <c r="F92" s="1311"/>
      <c r="G92" s="903"/>
      <c r="H92" s="903"/>
      <c r="I92" s="1327">
        <f>+AVERAGE(D92:E92)</f>
        <v>-8527329.9100000001</v>
      </c>
      <c r="J92" s="1311"/>
      <c r="K92" s="903"/>
      <c r="L92" s="903"/>
      <c r="M92" s="1327">
        <f>+E92</f>
        <v>-8561360.5600000005</v>
      </c>
      <c r="N92" s="1353" t="s">
        <v>2</v>
      </c>
    </row>
    <row r="93" spans="1:16">
      <c r="A93" s="740">
        <f t="shared" si="15"/>
        <v>19.13000000000002</v>
      </c>
      <c r="B93" s="172" t="s">
        <v>1239</v>
      </c>
      <c r="C93" s="1312"/>
      <c r="D93" s="1352">
        <v>85300595.650000006</v>
      </c>
      <c r="E93" s="1358">
        <v>82433188.180000007</v>
      </c>
      <c r="F93" s="886">
        <f>+AVERAGE(D93:E93)</f>
        <v>83866891.915000007</v>
      </c>
      <c r="G93" s="886"/>
      <c r="H93" s="886"/>
      <c r="I93" s="1327"/>
      <c r="J93" s="886">
        <f>+E93</f>
        <v>82433188.180000007</v>
      </c>
      <c r="K93" s="886"/>
      <c r="L93" s="886"/>
      <c r="M93" s="1327"/>
      <c r="N93" s="1353" t="s">
        <v>3</v>
      </c>
    </row>
    <row r="94" spans="1:16">
      <c r="A94" s="740">
        <f t="shared" si="15"/>
        <v>19.140000000000022</v>
      </c>
      <c r="B94" s="172" t="s">
        <v>1240</v>
      </c>
      <c r="C94" s="1312"/>
      <c r="D94" s="1352">
        <v>-225389670.90000001</v>
      </c>
      <c r="E94" s="1358">
        <v>-222008936.00999999</v>
      </c>
      <c r="F94" s="886"/>
      <c r="G94" s="886"/>
      <c r="H94" s="886">
        <f>+AVERAGE(D94:E94)</f>
        <v>-223699303.45499998</v>
      </c>
      <c r="I94" s="1327"/>
      <c r="J94" s="886"/>
      <c r="K94" s="886"/>
      <c r="L94" s="886">
        <f>+E94</f>
        <v>-222008936.00999999</v>
      </c>
      <c r="M94" s="1327"/>
      <c r="N94" s="1353" t="s">
        <v>1</v>
      </c>
    </row>
    <row r="95" spans="1:16">
      <c r="A95" s="740">
        <f t="shared" si="15"/>
        <v>19.150000000000023</v>
      </c>
      <c r="B95" s="172" t="s">
        <v>1241</v>
      </c>
      <c r="C95" s="1312"/>
      <c r="D95" s="1352">
        <v>-68582748.439999998</v>
      </c>
      <c r="E95" s="1358">
        <v>-67108290.210000001</v>
      </c>
      <c r="F95" s="886">
        <f>+AVERAGE(D95:E95)</f>
        <v>-67845519.325000003</v>
      </c>
      <c r="G95" s="886"/>
      <c r="H95" s="886"/>
      <c r="I95" s="1327"/>
      <c r="J95" s="886">
        <f>+E95</f>
        <v>-67108290.210000001</v>
      </c>
      <c r="K95" s="886"/>
      <c r="L95" s="886"/>
      <c r="M95" s="1327"/>
      <c r="N95" s="1353" t="s">
        <v>204</v>
      </c>
    </row>
    <row r="96" spans="1:16">
      <c r="A96" s="740">
        <f t="shared" si="15"/>
        <v>19.160000000000025</v>
      </c>
      <c r="B96" s="172" t="s">
        <v>1242</v>
      </c>
      <c r="C96" s="1312"/>
      <c r="D96" s="1352">
        <v>-24967938.82</v>
      </c>
      <c r="E96" s="1358">
        <v>-32043061.280000001</v>
      </c>
      <c r="F96" s="886"/>
      <c r="G96" s="886"/>
      <c r="H96" s="886">
        <f>+AVERAGE($D96:$E96)</f>
        <v>-28505500.050000001</v>
      </c>
      <c r="I96" s="1327"/>
      <c r="J96" s="886"/>
      <c r="K96" s="886"/>
      <c r="L96" s="886">
        <f>+$E96</f>
        <v>-32043061.280000001</v>
      </c>
      <c r="M96" s="1327"/>
      <c r="N96" s="1353" t="s">
        <v>1</v>
      </c>
    </row>
    <row r="97" spans="1:50">
      <c r="A97" s="740">
        <f t="shared" si="15"/>
        <v>19.170000000000027</v>
      </c>
      <c r="B97" s="172" t="s">
        <v>1243</v>
      </c>
      <c r="C97" s="1312"/>
      <c r="D97" s="1352">
        <v>1985277.93</v>
      </c>
      <c r="E97" s="1358">
        <v>-11442765.810000001</v>
      </c>
      <c r="F97" s="1311">
        <f>+AVERAGE(D97:E97)</f>
        <v>-4728743.9400000004</v>
      </c>
      <c r="G97" s="903"/>
      <c r="H97" s="903"/>
      <c r="I97" s="1327"/>
      <c r="J97" s="1311">
        <f>+E97</f>
        <v>-11442765.810000001</v>
      </c>
      <c r="K97" s="1472"/>
      <c r="L97" s="1472"/>
      <c r="M97" s="1473"/>
      <c r="N97" s="1353" t="s">
        <v>197</v>
      </c>
    </row>
    <row r="98" spans="1:50">
      <c r="A98" s="740">
        <f t="shared" si="15"/>
        <v>19.180000000000028</v>
      </c>
      <c r="B98" s="172" t="s">
        <v>1244</v>
      </c>
      <c r="C98" s="1312"/>
      <c r="D98" s="1352">
        <v>-17106532.030000001</v>
      </c>
      <c r="E98" s="1358">
        <v>-13943244.699999999</v>
      </c>
      <c r="F98" s="1311">
        <f>+AVERAGE(D98:E98)</f>
        <v>-15524888.365</v>
      </c>
      <c r="G98" s="903"/>
      <c r="H98" s="903"/>
      <c r="I98" s="1327"/>
      <c r="J98" s="1311">
        <f>+E98</f>
        <v>-13943244.699999999</v>
      </c>
      <c r="K98" s="1485"/>
      <c r="L98" s="1485"/>
      <c r="M98" s="1486"/>
      <c r="N98" s="1353" t="s">
        <v>197</v>
      </c>
      <c r="P98" s="531" t="s">
        <v>1123</v>
      </c>
    </row>
    <row r="99" spans="1:50">
      <c r="A99" s="740">
        <f t="shared" si="15"/>
        <v>19.19000000000003</v>
      </c>
      <c r="B99" s="172" t="s">
        <v>1245</v>
      </c>
      <c r="C99" s="531"/>
      <c r="D99" s="1352">
        <v>-6330989.9000000004</v>
      </c>
      <c r="E99" s="1358">
        <v>-6196400.2400000002</v>
      </c>
      <c r="F99" s="886"/>
      <c r="G99" s="886">
        <f>+AVERAGE($D99:$E99)</f>
        <v>-6263695.0700000003</v>
      </c>
      <c r="H99" s="886"/>
      <c r="I99" s="1327"/>
      <c r="J99" s="886"/>
      <c r="K99" s="886">
        <f>+$E99</f>
        <v>-6196400.2400000002</v>
      </c>
      <c r="L99" s="886"/>
      <c r="M99" s="1327"/>
      <c r="N99" s="1353" t="s">
        <v>864</v>
      </c>
      <c r="P99" s="531" t="s">
        <v>1122</v>
      </c>
    </row>
    <row r="100" spans="1:50">
      <c r="A100" s="740">
        <f t="shared" si="15"/>
        <v>19.200000000000031</v>
      </c>
      <c r="B100" s="172" t="s">
        <v>1246</v>
      </c>
      <c r="C100" s="1312"/>
      <c r="D100" s="1352">
        <v>0.35</v>
      </c>
      <c r="E100" s="1358">
        <v>0.35</v>
      </c>
      <c r="F100" s="886"/>
      <c r="G100" s="903"/>
      <c r="H100" s="903">
        <f>+AVERAGE(D100:E100)</f>
        <v>0.35</v>
      </c>
      <c r="I100" s="1327"/>
      <c r="J100" s="903"/>
      <c r="K100" s="903"/>
      <c r="L100" s="903">
        <f>+E100</f>
        <v>0.35</v>
      </c>
      <c r="M100" s="1327"/>
      <c r="N100" s="1353" t="s">
        <v>0</v>
      </c>
    </row>
    <row r="101" spans="1:50">
      <c r="A101" s="1178">
        <f t="shared" si="15"/>
        <v>19.210000000000033</v>
      </c>
      <c r="B101" s="1359"/>
      <c r="C101" s="1339" t="s">
        <v>913</v>
      </c>
      <c r="D101" s="1335">
        <v>0</v>
      </c>
      <c r="E101" s="1335">
        <v>0</v>
      </c>
      <c r="F101" s="1364"/>
      <c r="G101" s="1355"/>
      <c r="H101" s="1355"/>
      <c r="I101" s="1356"/>
      <c r="J101" s="1355"/>
      <c r="K101" s="1355"/>
      <c r="L101" s="1355"/>
      <c r="M101" s="1356"/>
      <c r="N101" s="1360"/>
    </row>
    <row r="102" spans="1:50">
      <c r="A102" s="1179" t="s">
        <v>904</v>
      </c>
      <c r="B102" s="1359"/>
      <c r="C102" s="1339" t="s">
        <v>913</v>
      </c>
      <c r="D102" s="1340">
        <v>0</v>
      </c>
      <c r="E102" s="1340">
        <v>0</v>
      </c>
      <c r="F102" s="1364"/>
      <c r="G102" s="1355"/>
      <c r="H102" s="1355"/>
      <c r="I102" s="1356"/>
      <c r="J102" s="1355"/>
      <c r="K102" s="1355"/>
      <c r="L102" s="1355"/>
      <c r="M102" s="1356"/>
      <c r="N102" s="1360"/>
    </row>
    <row r="103" spans="1:50">
      <c r="A103" s="1180" t="s">
        <v>953</v>
      </c>
      <c r="B103" s="1339"/>
      <c r="C103" s="1339" t="s">
        <v>913</v>
      </c>
      <c r="D103" s="1342">
        <v>0</v>
      </c>
      <c r="E103" s="1342">
        <v>0</v>
      </c>
      <c r="F103" s="1478"/>
      <c r="G103" s="693"/>
      <c r="H103" s="693"/>
      <c r="I103" s="1479"/>
      <c r="J103" s="693"/>
      <c r="K103" s="693"/>
      <c r="L103" s="693"/>
      <c r="M103" s="1479"/>
      <c r="N103" s="1341"/>
    </row>
    <row r="104" spans="1:50" ht="13.8" thickBot="1">
      <c r="A104" s="739">
        <v>20</v>
      </c>
      <c r="B104" s="880"/>
      <c r="C104" s="880"/>
      <c r="D104" s="1332"/>
      <c r="E104" s="1332"/>
      <c r="F104" s="1480"/>
      <c r="G104" s="1481"/>
      <c r="H104" s="1481"/>
      <c r="I104" s="1482"/>
      <c r="J104" s="1480"/>
      <c r="K104" s="1481"/>
      <c r="L104" s="1481"/>
      <c r="M104" s="1482"/>
      <c r="N104" s="166"/>
    </row>
    <row r="105" spans="1:50" s="531" customFormat="1" ht="14.4" thickBot="1">
      <c r="A105" s="739">
        <f>+A104+1</f>
        <v>21</v>
      </c>
      <c r="B105" s="1559" t="s">
        <v>524</v>
      </c>
      <c r="C105" s="1560"/>
      <c r="D105" s="1561">
        <f t="shared" ref="D105:M105" si="16">SUM(D81:D103)</f>
        <v>-763875710.77999997</v>
      </c>
      <c r="E105" s="1561">
        <f t="shared" si="16"/>
        <v>-827105098.80999982</v>
      </c>
      <c r="F105" s="1346">
        <f t="shared" si="16"/>
        <v>-4182756.3950000051</v>
      </c>
      <c r="G105" s="903">
        <f t="shared" si="16"/>
        <v>-6263695.0700000003</v>
      </c>
      <c r="H105" s="903">
        <f t="shared" si="16"/>
        <v>-776516623.41999996</v>
      </c>
      <c r="I105" s="1327">
        <f t="shared" si="16"/>
        <v>-8527329.9100000001</v>
      </c>
      <c r="J105" s="1346">
        <f t="shared" si="16"/>
        <v>-10042915.339999991</v>
      </c>
      <c r="K105" s="903">
        <f t="shared" si="16"/>
        <v>-6196400.2400000002</v>
      </c>
      <c r="L105" s="903">
        <f t="shared" si="16"/>
        <v>-802304422.66999984</v>
      </c>
      <c r="M105" s="1327">
        <f t="shared" si="16"/>
        <v>-8561360.5600000005</v>
      </c>
      <c r="N105" s="1075" t="str">
        <f>+"Sum by Column of Line "&amp;A80&amp;" Subparts"</f>
        <v>Sum by Column of Line 19 Subparts</v>
      </c>
    </row>
    <row r="106" spans="1:50" s="38" customFormat="1">
      <c r="A106" s="739">
        <f t="shared" ref="A106" si="17">+A105+1</f>
        <v>22</v>
      </c>
      <c r="B106" s="69" t="s">
        <v>1403</v>
      </c>
      <c r="C106" s="40"/>
      <c r="D106" s="249">
        <f>+'WP06 ADIT Support'!D31</f>
        <v>4.1999999061226839E-2</v>
      </c>
      <c r="E106" s="249">
        <f>+'WP06 ADIT Support'!E31</f>
        <v>-2155050.7999999998</v>
      </c>
      <c r="F106" s="1431"/>
      <c r="G106" s="249"/>
      <c r="H106" s="1542">
        <f t="shared" ref="H106" si="18">+SUM($D106:$E106)/2</f>
        <v>-1077525.3790000004</v>
      </c>
      <c r="I106" s="1543"/>
      <c r="J106" s="1431"/>
      <c r="K106" s="249"/>
      <c r="L106" s="249">
        <f>+E106</f>
        <v>-2155050.7999999998</v>
      </c>
      <c r="M106" s="1543"/>
      <c r="N106" s="1544" t="s">
        <v>1404</v>
      </c>
      <c r="O106" s="1839" t="s">
        <v>1471</v>
      </c>
    </row>
    <row r="107" spans="1:50" ht="15">
      <c r="A107" s="739">
        <f>+A105+1</f>
        <v>22</v>
      </c>
      <c r="B107" s="1733" t="s">
        <v>522</v>
      </c>
      <c r="C107" s="1733"/>
      <c r="D107" s="1347">
        <f>D95</f>
        <v>-68582748.439999998</v>
      </c>
      <c r="E107" s="1347">
        <f t="shared" ref="E107:M107" si="19">E95</f>
        <v>-67108290.210000001</v>
      </c>
      <c r="F107" s="1398">
        <f t="shared" si="19"/>
        <v>-67845519.325000003</v>
      </c>
      <c r="G107" s="1347">
        <f t="shared" si="19"/>
        <v>0</v>
      </c>
      <c r="H107" s="1347">
        <f t="shared" si="19"/>
        <v>0</v>
      </c>
      <c r="I107" s="1347">
        <f t="shared" si="19"/>
        <v>0</v>
      </c>
      <c r="J107" s="1347">
        <f t="shared" si="19"/>
        <v>-67108290.210000001</v>
      </c>
      <c r="K107" s="1347">
        <f t="shared" si="19"/>
        <v>0</v>
      </c>
      <c r="L107" s="1347">
        <f t="shared" si="19"/>
        <v>0</v>
      </c>
      <c r="M107" s="1347">
        <f t="shared" si="19"/>
        <v>0</v>
      </c>
      <c r="N107" s="1310"/>
      <c r="O107" s="38"/>
    </row>
    <row r="108" spans="1:50" s="39" customFormat="1" ht="13.8">
      <c r="A108" s="812">
        <f t="shared" ref="A108" si="20">+A107+1</f>
        <v>23</v>
      </c>
      <c r="B108" s="1545" t="s">
        <v>1458</v>
      </c>
      <c r="C108" s="1501"/>
      <c r="D108" s="249">
        <f t="shared" ref="D108:M108" si="21">+D105+D106-D107</f>
        <v>-695292962.29799986</v>
      </c>
      <c r="E108" s="249">
        <f t="shared" si="21"/>
        <v>-762151859.39999974</v>
      </c>
      <c r="F108" s="1431">
        <f t="shared" si="21"/>
        <v>63662762.93</v>
      </c>
      <c r="G108" s="249">
        <f t="shared" si="21"/>
        <v>-6263695.0700000003</v>
      </c>
      <c r="H108" s="249">
        <f t="shared" si="21"/>
        <v>-777594148.79899991</v>
      </c>
      <c r="I108" s="1543">
        <f t="shared" si="21"/>
        <v>-8527329.9100000001</v>
      </c>
      <c r="J108" s="1431">
        <f t="shared" si="21"/>
        <v>57065374.870000012</v>
      </c>
      <c r="K108" s="249">
        <f t="shared" si="21"/>
        <v>-6196400.2400000002</v>
      </c>
      <c r="L108" s="249">
        <f t="shared" si="21"/>
        <v>-804459473.46999979</v>
      </c>
      <c r="M108" s="1543">
        <f t="shared" si="21"/>
        <v>-8561360.5600000005</v>
      </c>
      <c r="N108" s="1546" t="str">
        <f>+"Ln "&amp;A105&amp;" Plus Ln "&amp;A106&amp;" Less Ln "&amp;A107</f>
        <v>Ln 21 Plus Ln 22 Less Ln 22</v>
      </c>
      <c r="O108" s="1839" t="s">
        <v>1472</v>
      </c>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row>
    <row r="109" spans="1:50">
      <c r="A109" s="739">
        <f>+A108+1</f>
        <v>24</v>
      </c>
      <c r="B109" s="1350"/>
      <c r="C109" s="1350"/>
      <c r="D109" s="1350"/>
      <c r="E109" s="1351"/>
      <c r="F109" s="1483"/>
      <c r="G109" s="1483"/>
      <c r="H109" s="1483"/>
      <c r="I109" s="1483"/>
      <c r="J109" s="903"/>
      <c r="K109" s="903"/>
      <c r="L109" s="1483"/>
      <c r="M109" s="1483"/>
      <c r="N109" s="1075"/>
    </row>
    <row r="110" spans="1:50" ht="16.8">
      <c r="A110" s="739">
        <f>+A109+1</f>
        <v>25</v>
      </c>
      <c r="B110" s="1348" t="s">
        <v>771</v>
      </c>
      <c r="C110" s="912"/>
      <c r="D110" s="912"/>
      <c r="E110" s="1325"/>
      <c r="F110" s="1736" t="str">
        <f>F8</f>
        <v>Average of BOY/EOY (Col (C+D)/2)</v>
      </c>
      <c r="G110" s="1731"/>
      <c r="H110" s="1731"/>
      <c r="I110" s="1737"/>
      <c r="J110" s="1736" t="str">
        <f>J8</f>
        <v>EOY (Col D)</v>
      </c>
      <c r="K110" s="1731"/>
      <c r="L110" s="1731"/>
      <c r="M110" s="1737"/>
      <c r="N110" s="1323" t="s">
        <v>49</v>
      </c>
    </row>
    <row r="111" spans="1:50" ht="12.75" customHeight="1">
      <c r="A111" s="740">
        <f t="shared" ref="A111:A126" si="22">+A110+0.01</f>
        <v>25.01</v>
      </c>
      <c r="B111" s="172" t="s">
        <v>1247</v>
      </c>
      <c r="C111" s="1312"/>
      <c r="D111" s="1352">
        <v>-121990829.54999998</v>
      </c>
      <c r="E111" s="1352">
        <v>-105862923.34999999</v>
      </c>
      <c r="F111" s="886">
        <f>+AVERAGE($D111:$E111)</f>
        <v>-113926876.44999999</v>
      </c>
      <c r="G111" s="886"/>
      <c r="H111" s="903"/>
      <c r="I111" s="1477"/>
      <c r="J111" s="903">
        <f>+E111</f>
        <v>-105862923.34999999</v>
      </c>
      <c r="K111" s="886"/>
      <c r="L111" s="903"/>
      <c r="M111" s="1327"/>
      <c r="N111" s="1353" t="s">
        <v>1146</v>
      </c>
      <c r="P111" s="1444"/>
      <c r="Q111" s="1445"/>
      <c r="R111" s="1445"/>
      <c r="S111" s="1445"/>
    </row>
    <row r="112" spans="1:50">
      <c r="A112" s="740">
        <f t="shared" si="22"/>
        <v>25.020000000000003</v>
      </c>
      <c r="B112" s="172" t="s">
        <v>1248</v>
      </c>
      <c r="C112" s="1312"/>
      <c r="D112" s="1352">
        <v>-44282.89</v>
      </c>
      <c r="E112" s="1352">
        <v>0</v>
      </c>
      <c r="F112" s="1311"/>
      <c r="G112" s="886">
        <f>+AVERAGE($D112:$E112)</f>
        <v>-22141.445</v>
      </c>
      <c r="H112" s="903"/>
      <c r="I112" s="1477"/>
      <c r="J112" s="1337"/>
      <c r="K112" s="903">
        <f>+E112</f>
        <v>0</v>
      </c>
      <c r="L112" s="1338"/>
      <c r="M112" s="1477"/>
      <c r="N112" s="1353" t="s">
        <v>294</v>
      </c>
    </row>
    <row r="113" spans="1:16">
      <c r="A113" s="740">
        <f t="shared" si="22"/>
        <v>25.030000000000005</v>
      </c>
      <c r="B113" s="172" t="s">
        <v>1249</v>
      </c>
      <c r="C113" s="1312"/>
      <c r="D113" s="1352">
        <v>0</v>
      </c>
      <c r="E113" s="1352">
        <v>1314673.95</v>
      </c>
      <c r="F113" s="1311">
        <f t="shared" ref="F113:F120" si="23">+AVERAGE(D113:E113)</f>
        <v>657336.97499999998</v>
      </c>
      <c r="G113" s="903"/>
      <c r="H113" s="903"/>
      <c r="I113" s="1327"/>
      <c r="J113" s="1311">
        <f t="shared" ref="J113:J120" si="24">+E113</f>
        <v>1314673.95</v>
      </c>
      <c r="K113" s="903"/>
      <c r="L113" s="903"/>
      <c r="M113" s="1327"/>
      <c r="N113" s="1353" t="s">
        <v>4</v>
      </c>
    </row>
    <row r="114" spans="1:16">
      <c r="A114" s="740">
        <f t="shared" si="22"/>
        <v>25.040000000000006</v>
      </c>
      <c r="B114" s="172" t="s">
        <v>1250</v>
      </c>
      <c r="C114" s="1312"/>
      <c r="D114" s="1352">
        <v>-65289842.670000002</v>
      </c>
      <c r="E114" s="1352">
        <v>-68238226.370000005</v>
      </c>
      <c r="F114" s="1311">
        <f t="shared" si="23"/>
        <v>-66764034.520000003</v>
      </c>
      <c r="G114" s="903"/>
      <c r="H114" s="903"/>
      <c r="I114" s="1327"/>
      <c r="J114" s="1311">
        <f t="shared" si="24"/>
        <v>-68238226.370000005</v>
      </c>
      <c r="K114" s="903"/>
      <c r="L114" s="903"/>
      <c r="M114" s="1327"/>
      <c r="N114" s="1353" t="s">
        <v>196</v>
      </c>
    </row>
    <row r="115" spans="1:16">
      <c r="A115" s="740">
        <f t="shared" si="22"/>
        <v>25.050000000000008</v>
      </c>
      <c r="B115" s="172" t="s">
        <v>1251</v>
      </c>
      <c r="C115" s="1312"/>
      <c r="D115" s="1352">
        <v>-3297289.0900000003</v>
      </c>
      <c r="E115" s="1352">
        <v>-3051531.3000000003</v>
      </c>
      <c r="F115" s="1311"/>
      <c r="G115" s="886"/>
      <c r="H115" s="886">
        <f>+AVERAGE(D115:E115)</f>
        <v>-3174410.1950000003</v>
      </c>
      <c r="I115" s="1327"/>
      <c r="J115" s="886"/>
      <c r="K115" s="886"/>
      <c r="L115" s="886">
        <f>+E115</f>
        <v>-3051531.3000000003</v>
      </c>
      <c r="M115" s="1327"/>
      <c r="N115" s="1353" t="s">
        <v>276</v>
      </c>
    </row>
    <row r="116" spans="1:16">
      <c r="A116" s="740">
        <f t="shared" si="22"/>
        <v>25.060000000000009</v>
      </c>
      <c r="B116" s="172" t="s">
        <v>1252</v>
      </c>
      <c r="C116" s="1312"/>
      <c r="D116" s="1352">
        <v>703475.7</v>
      </c>
      <c r="E116" s="1352">
        <v>140286.15</v>
      </c>
      <c r="F116" s="1311">
        <f t="shared" si="23"/>
        <v>421880.92499999999</v>
      </c>
      <c r="G116" s="903"/>
      <c r="H116" s="903"/>
      <c r="I116" s="1327"/>
      <c r="J116" s="1311">
        <f t="shared" si="24"/>
        <v>140286.15</v>
      </c>
      <c r="K116" s="903"/>
      <c r="L116" s="903"/>
      <c r="M116" s="1327"/>
      <c r="N116" s="1353" t="s">
        <v>5</v>
      </c>
    </row>
    <row r="117" spans="1:16">
      <c r="A117" s="740">
        <f t="shared" si="22"/>
        <v>25.070000000000011</v>
      </c>
      <c r="B117" s="172" t="s">
        <v>1253</v>
      </c>
      <c r="C117" s="1312"/>
      <c r="D117" s="1352">
        <v>0.4</v>
      </c>
      <c r="E117" s="1352">
        <v>0.4</v>
      </c>
      <c r="F117" s="1311">
        <f t="shared" si="23"/>
        <v>0.4</v>
      </c>
      <c r="G117" s="903"/>
      <c r="H117" s="903"/>
      <c r="I117" s="1327"/>
      <c r="J117" s="1311">
        <f t="shared" si="24"/>
        <v>0.4</v>
      </c>
      <c r="K117" s="903"/>
      <c r="L117" s="903"/>
      <c r="M117" s="1327"/>
      <c r="N117" s="1353" t="s">
        <v>6</v>
      </c>
    </row>
    <row r="118" spans="1:16" ht="12.75" customHeight="1">
      <c r="A118" s="740">
        <f t="shared" si="22"/>
        <v>25.080000000000013</v>
      </c>
      <c r="B118" s="172" t="s">
        <v>1254</v>
      </c>
      <c r="C118" s="1312"/>
      <c r="D118" s="1352">
        <v>-20079846.309999999</v>
      </c>
      <c r="E118" s="1352">
        <v>-23404613.559999999</v>
      </c>
      <c r="F118" s="1311">
        <f t="shared" ref="F118" si="25">+AVERAGE(D118:E118)</f>
        <v>-21742229.934999999</v>
      </c>
      <c r="G118" s="886"/>
      <c r="H118" s="903"/>
      <c r="I118" s="1327"/>
      <c r="J118" s="903">
        <f>+E118</f>
        <v>-23404613.559999999</v>
      </c>
      <c r="K118" s="886"/>
      <c r="L118" s="903"/>
      <c r="M118" s="1327"/>
      <c r="N118" s="1353" t="s">
        <v>1147</v>
      </c>
      <c r="P118" s="1444"/>
    </row>
    <row r="119" spans="1:16" ht="12.75" customHeight="1">
      <c r="A119" s="740">
        <f t="shared" si="22"/>
        <v>25.090000000000014</v>
      </c>
      <c r="B119" s="172" t="s">
        <v>1255</v>
      </c>
      <c r="C119" s="1312"/>
      <c r="D119" s="1352">
        <v>-56999807.149999999</v>
      </c>
      <c r="E119" s="1352">
        <v>-47438060.619999997</v>
      </c>
      <c r="F119" s="1311">
        <f t="shared" si="23"/>
        <v>-52218933.884999998</v>
      </c>
      <c r="G119" s="903"/>
      <c r="H119" s="903"/>
      <c r="I119" s="1327"/>
      <c r="J119" s="1311">
        <f t="shared" si="24"/>
        <v>-47438060.619999997</v>
      </c>
      <c r="K119" s="1472"/>
      <c r="L119" s="1472"/>
      <c r="M119" s="1473"/>
      <c r="N119" s="1353" t="s">
        <v>951</v>
      </c>
    </row>
    <row r="120" spans="1:16">
      <c r="A120" s="740">
        <f t="shared" si="22"/>
        <v>25.100000000000016</v>
      </c>
      <c r="B120" s="172" t="s">
        <v>1256</v>
      </c>
      <c r="C120" s="1312"/>
      <c r="D120" s="1352">
        <v>-2896740.16</v>
      </c>
      <c r="E120" s="1352">
        <v>-1975840.27</v>
      </c>
      <c r="F120" s="1311">
        <f t="shared" si="23"/>
        <v>-2436290.2149999999</v>
      </c>
      <c r="G120" s="903"/>
      <c r="H120" s="903"/>
      <c r="I120" s="1327"/>
      <c r="J120" s="1311">
        <f t="shared" si="24"/>
        <v>-1975840.27</v>
      </c>
      <c r="K120" s="1485"/>
      <c r="L120" s="1485"/>
      <c r="M120" s="1486"/>
      <c r="N120" s="1353" t="s">
        <v>6</v>
      </c>
    </row>
    <row r="121" spans="1:16" ht="16.8">
      <c r="A121" s="740">
        <f t="shared" si="22"/>
        <v>25.110000000000017</v>
      </c>
      <c r="B121" s="172" t="s">
        <v>1257</v>
      </c>
      <c r="C121" s="1312"/>
      <c r="D121" s="1352">
        <v>-3554954.21</v>
      </c>
      <c r="E121" s="1352">
        <v>-3739467.15</v>
      </c>
      <c r="F121" s="1311"/>
      <c r="G121" s="903"/>
      <c r="H121" s="886">
        <f>+AVERAGE(D121:E121)</f>
        <v>-3647210.6799999997</v>
      </c>
      <c r="I121" s="1487"/>
      <c r="J121" s="1311"/>
      <c r="K121" s="903"/>
      <c r="L121" s="886">
        <f>+E121</f>
        <v>-3739467.15</v>
      </c>
      <c r="M121" s="1487"/>
      <c r="N121" s="1353" t="s">
        <v>7</v>
      </c>
    </row>
    <row r="122" spans="1:16">
      <c r="A122" s="740">
        <f t="shared" si="22"/>
        <v>25.120000000000019</v>
      </c>
      <c r="B122" s="172" t="s">
        <v>1258</v>
      </c>
      <c r="C122" s="1312"/>
      <c r="D122" s="1352">
        <v>-53795.31</v>
      </c>
      <c r="E122" s="1352">
        <v>-52602.7</v>
      </c>
      <c r="F122" s="1311">
        <f>+AVERAGE(D122:E122)</f>
        <v>-53199.004999999997</v>
      </c>
      <c r="G122" s="903"/>
      <c r="H122" s="903"/>
      <c r="I122" s="1327"/>
      <c r="J122" s="1311">
        <f>+E122</f>
        <v>-52602.7</v>
      </c>
      <c r="K122" s="1472"/>
      <c r="L122" s="1472"/>
      <c r="M122" s="1473"/>
      <c r="N122" s="1353" t="s">
        <v>1161</v>
      </c>
    </row>
    <row r="123" spans="1:16" ht="39.75" customHeight="1">
      <c r="A123" s="740">
        <f t="shared" si="22"/>
        <v>25.13000000000002</v>
      </c>
      <c r="B123" s="166" t="s">
        <v>1259</v>
      </c>
      <c r="C123" s="1312"/>
      <c r="D123" s="1352">
        <v>-375668.37</v>
      </c>
      <c r="E123" s="1352">
        <v>-1.69</v>
      </c>
      <c r="F123" s="1311">
        <f>+AVERAGE(D123:E123)</f>
        <v>-187835.03</v>
      </c>
      <c r="G123" s="903"/>
      <c r="H123" s="903"/>
      <c r="I123" s="1327"/>
      <c r="J123" s="1311">
        <f>+E123</f>
        <v>-1.69</v>
      </c>
      <c r="K123" s="1472"/>
      <c r="L123" s="1472"/>
      <c r="M123" s="1473"/>
      <c r="N123" s="1353" t="s">
        <v>952</v>
      </c>
    </row>
    <row r="124" spans="1:16">
      <c r="A124" s="740">
        <f t="shared" si="22"/>
        <v>25.140000000000022</v>
      </c>
      <c r="B124" s="172" t="s">
        <v>1260</v>
      </c>
      <c r="C124" s="1312"/>
      <c r="D124" s="1352">
        <v>-36929165.580000006</v>
      </c>
      <c r="E124" s="1352">
        <v>-36135226.510000005</v>
      </c>
      <c r="F124" s="1311">
        <f>+AVERAGE(D124:E124)</f>
        <v>-36532196.045000002</v>
      </c>
      <c r="G124" s="903"/>
      <c r="H124" s="903"/>
      <c r="I124" s="1327"/>
      <c r="J124" s="1311">
        <f>+E124</f>
        <v>-36135226.510000005</v>
      </c>
      <c r="K124" s="1472"/>
      <c r="L124" s="1472"/>
      <c r="M124" s="1473"/>
      <c r="N124" s="1353" t="s">
        <v>204</v>
      </c>
    </row>
    <row r="125" spans="1:16">
      <c r="A125" s="740">
        <f t="shared" si="22"/>
        <v>25.150000000000023</v>
      </c>
      <c r="B125" s="172" t="s">
        <v>1261</v>
      </c>
      <c r="C125" s="1312"/>
      <c r="D125" s="1352">
        <v>-12812481.08</v>
      </c>
      <c r="E125" s="1352">
        <v>-12903868.08</v>
      </c>
      <c r="F125" s="1311">
        <f>+AVERAGE(D125:E125)</f>
        <v>-12858174.58</v>
      </c>
      <c r="G125" s="903"/>
      <c r="H125" s="903"/>
      <c r="I125" s="1327"/>
      <c r="J125" s="1311">
        <f>+E125</f>
        <v>-12903868.08</v>
      </c>
      <c r="K125" s="1472"/>
      <c r="L125" s="1472"/>
      <c r="M125" s="1473"/>
      <c r="N125" s="1353" t="s">
        <v>204</v>
      </c>
    </row>
    <row r="126" spans="1:16">
      <c r="A126" s="1178">
        <f t="shared" si="22"/>
        <v>25.160000000000025</v>
      </c>
      <c r="B126" s="1361"/>
      <c r="C126" s="1339" t="s">
        <v>913</v>
      </c>
      <c r="D126" s="1335">
        <v>0</v>
      </c>
      <c r="E126" s="1335">
        <v>0</v>
      </c>
      <c r="F126" s="1362"/>
      <c r="G126" s="1488"/>
      <c r="H126" s="1488"/>
      <c r="I126" s="1489"/>
      <c r="J126" s="1362"/>
      <c r="K126" s="1488"/>
      <c r="L126" s="1488"/>
      <c r="M126" s="1489"/>
      <c r="N126" s="1363"/>
    </row>
    <row r="127" spans="1:16">
      <c r="A127" s="1181" t="s">
        <v>904</v>
      </c>
      <c r="B127" s="1361"/>
      <c r="C127" s="1339" t="s">
        <v>913</v>
      </c>
      <c r="D127" s="1340">
        <v>0</v>
      </c>
      <c r="E127" s="1340">
        <v>0</v>
      </c>
      <c r="F127" s="1362"/>
      <c r="G127" s="1488"/>
      <c r="H127" s="1488"/>
      <c r="I127" s="1489"/>
      <c r="J127" s="1362"/>
      <c r="K127" s="1488"/>
      <c r="L127" s="1488"/>
      <c r="M127" s="1489"/>
      <c r="N127" s="1363"/>
    </row>
    <row r="128" spans="1:16">
      <c r="A128" s="1178" t="s">
        <v>954</v>
      </c>
      <c r="B128" s="1359"/>
      <c r="C128" s="1339" t="s">
        <v>913</v>
      </c>
      <c r="D128" s="1342">
        <v>0</v>
      </c>
      <c r="E128" s="1342">
        <v>0</v>
      </c>
      <c r="F128" s="1364"/>
      <c r="G128" s="1355"/>
      <c r="H128" s="1355"/>
      <c r="I128" s="1356"/>
      <c r="J128" s="1364"/>
      <c r="K128" s="1355"/>
      <c r="L128" s="1355"/>
      <c r="M128" s="1356"/>
      <c r="N128" s="1360"/>
    </row>
    <row r="129" spans="1:14" ht="13.8" thickBot="1">
      <c r="A129" s="739">
        <f>+A110+1</f>
        <v>26</v>
      </c>
      <c r="B129" s="880"/>
      <c r="C129" s="880"/>
      <c r="D129" s="1332"/>
      <c r="E129" s="1332"/>
      <c r="F129" s="1480"/>
      <c r="G129" s="1481"/>
      <c r="H129" s="1481"/>
      <c r="I129" s="1482"/>
      <c r="J129" s="1480"/>
      <c r="K129" s="1481"/>
      <c r="L129" s="1481"/>
      <c r="M129" s="1482"/>
      <c r="N129" s="1075"/>
    </row>
    <row r="130" spans="1:14" s="531" customFormat="1" ht="14.4" thickBot="1">
      <c r="A130" s="739">
        <f>+A129+1</f>
        <v>27</v>
      </c>
      <c r="B130" s="1343" t="s">
        <v>525</v>
      </c>
      <c r="C130" s="1344"/>
      <c r="D130" s="1345">
        <f t="shared" ref="D130:M130" si="26">SUM(D111:D128)</f>
        <v>-323621226.26999998</v>
      </c>
      <c r="E130" s="1345">
        <f t="shared" si="26"/>
        <v>-301347401.09999996</v>
      </c>
      <c r="F130" s="1346">
        <f>SUM(F111:F128)</f>
        <v>-305640551.36499995</v>
      </c>
      <c r="G130" s="903">
        <f t="shared" si="26"/>
        <v>-22141.445</v>
      </c>
      <c r="H130" s="903">
        <f t="shared" si="26"/>
        <v>-6821620.875</v>
      </c>
      <c r="I130" s="1327">
        <f t="shared" si="26"/>
        <v>0</v>
      </c>
      <c r="J130" s="1346">
        <f>SUM(J111:J128)</f>
        <v>-294556402.64999998</v>
      </c>
      <c r="K130" s="903">
        <f t="shared" si="26"/>
        <v>0</v>
      </c>
      <c r="L130" s="903">
        <f t="shared" si="26"/>
        <v>-6790998.4500000002</v>
      </c>
      <c r="M130" s="1327">
        <f t="shared" si="26"/>
        <v>0</v>
      </c>
      <c r="N130" s="1075" t="str">
        <f>+"Sum by Column of Line "&amp;A110&amp;" Subparts"</f>
        <v>Sum by Column of Line 25 Subparts</v>
      </c>
    </row>
    <row r="131" spans="1:14" ht="15">
      <c r="A131" s="739">
        <f t="shared" ref="A131:A141" si="27">+A130+1</f>
        <v>28</v>
      </c>
      <c r="B131" s="1725" t="s">
        <v>563</v>
      </c>
      <c r="C131" s="1725"/>
      <c r="D131" s="1347">
        <f>D124+D125</f>
        <v>-49741646.660000004</v>
      </c>
      <c r="E131" s="1347">
        <f t="shared" ref="E131:M131" si="28">E124+E125</f>
        <v>-49039094.590000004</v>
      </c>
      <c r="F131" s="1347">
        <f t="shared" si="28"/>
        <v>-49390370.625</v>
      </c>
      <c r="G131" s="1347">
        <f t="shared" si="28"/>
        <v>0</v>
      </c>
      <c r="H131" s="1347">
        <f t="shared" si="28"/>
        <v>0</v>
      </c>
      <c r="I131" s="1347">
        <f t="shared" si="28"/>
        <v>0</v>
      </c>
      <c r="J131" s="1347">
        <f t="shared" si="28"/>
        <v>-49039094.590000004</v>
      </c>
      <c r="K131" s="1347">
        <f t="shared" si="28"/>
        <v>0</v>
      </c>
      <c r="L131" s="1347">
        <f t="shared" si="28"/>
        <v>0</v>
      </c>
      <c r="M131" s="1347">
        <f t="shared" si="28"/>
        <v>0</v>
      </c>
      <c r="N131" s="792"/>
    </row>
    <row r="132" spans="1:14">
      <c r="A132" s="739">
        <f t="shared" si="27"/>
        <v>29</v>
      </c>
      <c r="B132" s="1733" t="s">
        <v>564</v>
      </c>
      <c r="C132" s="1733"/>
      <c r="D132" s="903">
        <f t="shared" ref="D132:M132" si="29">+D130-D131</f>
        <v>-273879579.60999995</v>
      </c>
      <c r="E132" s="903">
        <f t="shared" si="29"/>
        <v>-252308306.50999996</v>
      </c>
      <c r="F132" s="1346">
        <f t="shared" si="29"/>
        <v>-256250180.73999995</v>
      </c>
      <c r="G132" s="903">
        <f t="shared" si="29"/>
        <v>-22141.445</v>
      </c>
      <c r="H132" s="903">
        <f t="shared" si="29"/>
        <v>-6821620.875</v>
      </c>
      <c r="I132" s="1327">
        <f t="shared" si="29"/>
        <v>0</v>
      </c>
      <c r="J132" s="1346">
        <f t="shared" si="29"/>
        <v>-245517308.05999997</v>
      </c>
      <c r="K132" s="903">
        <f t="shared" si="29"/>
        <v>0</v>
      </c>
      <c r="L132" s="903">
        <f t="shared" si="29"/>
        <v>-6790998.4500000002</v>
      </c>
      <c r="M132" s="1327">
        <f t="shared" si="29"/>
        <v>0</v>
      </c>
      <c r="N132" s="792" t="str">
        <f>+"Ln "&amp;A130&amp;" Less Ln "&amp;A131</f>
        <v>Ln 27 Less Ln 28</v>
      </c>
    </row>
    <row r="133" spans="1:14" ht="13.8">
      <c r="A133" s="739">
        <f t="shared" si="27"/>
        <v>30</v>
      </c>
      <c r="B133" s="880"/>
      <c r="C133" s="880"/>
      <c r="D133" s="880"/>
      <c r="E133" s="1349"/>
      <c r="F133" s="792"/>
      <c r="G133" s="1332"/>
      <c r="H133" s="1332"/>
      <c r="I133" s="1332"/>
      <c r="J133" s="1332"/>
      <c r="K133" s="1332"/>
      <c r="L133" s="1332"/>
      <c r="M133" s="1332"/>
      <c r="N133" s="1332"/>
    </row>
    <row r="134" spans="1:14">
      <c r="A134" s="739">
        <f t="shared" si="27"/>
        <v>31</v>
      </c>
      <c r="B134" s="1735" t="s">
        <v>430</v>
      </c>
      <c r="C134" s="1735"/>
      <c r="D134" s="1735"/>
      <c r="E134" s="1735"/>
      <c r="F134" s="1735"/>
      <c r="G134" s="1735"/>
      <c r="H134" s="1735"/>
      <c r="I134" s="792"/>
      <c r="J134" s="1075"/>
      <c r="K134" s="1075"/>
      <c r="L134" s="1075"/>
      <c r="M134" s="1075"/>
      <c r="N134" s="1075"/>
    </row>
    <row r="135" spans="1:14" ht="13.95" customHeight="1">
      <c r="A135" s="739">
        <f t="shared" si="27"/>
        <v>32</v>
      </c>
      <c r="B135" s="1706" t="str">
        <f>+"1.  ADIT items related only to Non-Electric Operations (e.g., Gas, Water, Sewer) or Production are directly assigned to Column "&amp;F$5&amp;" for True-up and Column "&amp;J$5&amp;" for Projected"</f>
        <v>1.  ADIT items related only to Non-Electric Operations (e.g., Gas, Water, Sewer) or Production are directly assigned to Column E for True-up and Column I  for Projected</v>
      </c>
      <c r="C135" s="1706"/>
      <c r="D135" s="1706"/>
      <c r="E135" s="1706"/>
      <c r="F135" s="1706"/>
      <c r="G135" s="1706"/>
      <c r="H135" s="1706"/>
      <c r="I135" s="1706"/>
      <c r="J135" s="1706"/>
      <c r="K135" s="1706"/>
      <c r="L135" s="1706"/>
      <c r="M135" s="1706"/>
      <c r="N135" s="1365"/>
    </row>
    <row r="136" spans="1:14">
      <c r="A136" s="739">
        <f t="shared" si="27"/>
        <v>33</v>
      </c>
      <c r="B136" s="1735" t="str">
        <f>+"2.  ADIT items related only to Transmission are directly assigned to Column "&amp;G$5&amp;" for True-up and Column "&amp;K$5&amp;" for Projected"</f>
        <v>2.  ADIT items related only to Transmission are directly assigned to Column F for True-up and Column J for Projected</v>
      </c>
      <c r="C136" s="1735"/>
      <c r="D136" s="1735"/>
      <c r="E136" s="1735"/>
      <c r="F136" s="1735"/>
      <c r="G136" s="1735"/>
      <c r="H136" s="1735"/>
      <c r="I136" s="792"/>
      <c r="J136" s="1075"/>
      <c r="K136" s="1075"/>
      <c r="L136" s="1075"/>
      <c r="M136" s="1075"/>
      <c r="N136" s="1075"/>
    </row>
    <row r="137" spans="1:14">
      <c r="A137" s="739">
        <f t="shared" si="27"/>
        <v>34</v>
      </c>
      <c r="B137" s="880" t="str">
        <f>+"3.  ADIT items related to Plant and not in Columns "&amp;F5&amp;" &amp; "&amp;G5&amp;" for True-up and Columns "&amp;J5&amp;" &amp; "&amp;K5&amp;" for Projected are included in Column "&amp;H$5&amp;" for True-up and Column "&amp;L$5&amp;" for Projected"</f>
        <v>3.  ADIT items related to Plant and not in Columns E &amp; F for True-up and Columns I  &amp; J for Projected are included in Column G for True-up and Column K for Projected</v>
      </c>
      <c r="C137" s="880"/>
      <c r="D137" s="880"/>
      <c r="E137" s="880"/>
      <c r="F137" s="880"/>
      <c r="G137" s="880"/>
      <c r="H137" s="880"/>
      <c r="I137" s="880"/>
      <c r="J137" s="1366"/>
      <c r="K137" s="1366"/>
      <c r="L137" s="1366"/>
      <c r="M137" s="1366"/>
      <c r="N137" s="1365"/>
    </row>
    <row r="138" spans="1:14">
      <c r="A138" s="739">
        <f t="shared" si="27"/>
        <v>35</v>
      </c>
      <c r="B138" s="880" t="str">
        <f>+"4.  ADIT items related to labor and not in Columns "&amp;G5&amp;" &amp; "&amp;H5&amp;" for True-up and Columns "&amp;K5&amp;" &amp; "&amp;L5&amp;" for Projected  are included in Column "&amp;I$5&amp;" for True-up and Column "&amp;M$5&amp;" for Projected"</f>
        <v>4.  ADIT items related to labor and not in Columns F &amp; G for True-up and Columns J &amp; K for Projected  are included in Column H for True-up and Column L for Projected</v>
      </c>
      <c r="C138" s="880"/>
      <c r="D138" s="880"/>
      <c r="E138" s="880"/>
      <c r="F138" s="880"/>
      <c r="G138" s="880"/>
      <c r="H138" s="880"/>
      <c r="I138" s="880"/>
      <c r="J138" s="1316"/>
      <c r="K138" s="1316"/>
      <c r="L138" s="1316"/>
      <c r="M138" s="1316"/>
      <c r="N138" s="1075"/>
    </row>
    <row r="139" spans="1:14">
      <c r="A139" s="739">
        <f t="shared" si="27"/>
        <v>36</v>
      </c>
      <c r="B139" s="1732" t="s">
        <v>1148</v>
      </c>
      <c r="C139" s="1732"/>
      <c r="D139" s="1732"/>
      <c r="E139" s="1732"/>
      <c r="F139" s="1732"/>
      <c r="G139" s="1732"/>
      <c r="H139" s="1732"/>
      <c r="I139" s="1732"/>
      <c r="J139" s="1732"/>
      <c r="K139" s="1732"/>
      <c r="L139" s="1732"/>
      <c r="M139" s="1732"/>
      <c r="N139" s="1732"/>
    </row>
    <row r="140" spans="1:14" ht="13.2" customHeight="1">
      <c r="A140" s="739">
        <f t="shared" si="27"/>
        <v>37</v>
      </c>
      <c r="B140" s="1732" t="s">
        <v>1149</v>
      </c>
      <c r="C140" s="1732"/>
      <c r="D140" s="1732"/>
      <c r="E140" s="1732"/>
      <c r="F140" s="1732"/>
      <c r="G140" s="1732"/>
      <c r="H140" s="1732"/>
      <c r="I140" s="1732"/>
      <c r="J140" s="1732"/>
      <c r="K140" s="1732"/>
      <c r="L140" s="1732"/>
      <c r="M140" s="1732"/>
      <c r="N140" s="1732"/>
    </row>
    <row r="141" spans="1:14">
      <c r="A141" s="739">
        <f t="shared" si="27"/>
        <v>38</v>
      </c>
      <c r="B141" s="1547" t="s">
        <v>1405</v>
      </c>
      <c r="C141" s="644"/>
      <c r="D141" s="644"/>
      <c r="E141" s="644"/>
      <c r="F141" s="644"/>
      <c r="G141" s="792"/>
      <c r="H141" s="792"/>
      <c r="I141" s="792"/>
      <c r="J141" s="792"/>
      <c r="K141" s="792"/>
      <c r="L141" s="792"/>
      <c r="M141" s="792"/>
      <c r="N141" s="792"/>
    </row>
    <row r="142" spans="1:14">
      <c r="A142" s="740"/>
      <c r="B142" s="644"/>
      <c r="C142" s="644"/>
      <c r="D142" s="644"/>
      <c r="E142" s="644"/>
      <c r="F142" s="644"/>
      <c r="G142" s="792"/>
      <c r="H142" s="792"/>
      <c r="I142" s="792"/>
      <c r="J142" s="792"/>
      <c r="K142" s="792"/>
      <c r="L142" s="792"/>
      <c r="M142" s="792"/>
      <c r="N142" s="792"/>
    </row>
  </sheetData>
  <customSheetViews>
    <customSheetView guid="{16940A0E-2B20-4241-BF05-A4686E5A0274}" scale="75" fitToPage="1" hiddenColumns="1" showRuler="0">
      <selection activeCell="B41" sqref="B41"/>
      <rowBreaks count="9" manualBreakCount="9">
        <brk id="57" max="8" man="1"/>
        <brk id="58" max="8" man="1"/>
        <brk id="59" max="8" man="1"/>
        <brk id="61" max="8" man="1"/>
        <brk id="110" max="7" man="1"/>
        <brk id="126" max="8" man="1"/>
        <brk id="129" max="8" man="1"/>
        <brk id="138" max="8" man="1"/>
        <brk id="146" max="8" man="1"/>
      </rowBreaks>
      <pageMargins left="0.5" right="0.5" top="1" bottom="0.5" header="0.5" footer="0.5"/>
      <printOptions horizontalCentered="1"/>
      <pageSetup scale="45" fitToHeight="4" orientation="portrait" r:id="rId1"/>
      <headerFooter alignWithMargins="0">
        <oddHeader>&amp;R&amp;12Page &amp;P of &amp;N</oddHeader>
      </headerFooter>
    </customSheetView>
    <customSheetView guid="{44504B44-F20F-4B6F-B585-74D55BA74563}" scale="75" showPageBreaks="1" fitToPage="1" printArea="1" hiddenColumns="1" showRuler="0">
      <selection activeCell="B19" sqref="B19"/>
      <rowBreaks count="9" manualBreakCount="9">
        <brk id="57" max="8" man="1"/>
        <brk id="58" max="8" man="1"/>
        <brk id="59" max="8" man="1"/>
        <brk id="61" max="8" man="1"/>
        <brk id="110" max="7" man="1"/>
        <brk id="126" max="8" man="1"/>
        <brk id="129" max="8" man="1"/>
        <brk id="138" max="8" man="1"/>
        <brk id="146" max="8" man="1"/>
      </rowBreaks>
      <pageMargins left="0.5" right="0.5" top="1" bottom="0.5" header="0.5" footer="0.5"/>
      <printOptions horizontalCentered="1"/>
      <pageSetup scale="45" fitToHeight="4" orientation="portrait" r:id="rId2"/>
      <headerFooter alignWithMargins="0">
        <oddHeader>&amp;R&amp;12Page &amp;P of &amp;N</oddHeader>
      </headerFooter>
    </customSheetView>
    <customSheetView guid="{FAAD9AAC-1337-43AB-BF1F-CCF9DFCF5B78}" scale="75" showPageBreaks="1" fitToPage="1" printArea="1" hiddenColumns="1" showRuler="0" topLeftCell="A4">
      <selection activeCell="A20" sqref="A20"/>
      <rowBreaks count="7" manualBreakCount="7">
        <brk id="61" max="8" man="1"/>
        <brk id="63" max="8" man="1"/>
        <brk id="87" max="7" man="1"/>
        <brk id="146" max="7" man="1"/>
        <brk id="211" max="8" man="1"/>
        <brk id="214" max="8" man="1"/>
        <brk id="231" max="8" man="1"/>
      </rowBreaks>
      <pageMargins left="0.5" right="0.5" top="1" bottom="0.5" header="0.5" footer="0.5"/>
      <printOptions horizontalCentered="1"/>
      <pageSetup scale="43" fitToHeight="0" orientation="portrait" r:id="rId3"/>
      <headerFooter alignWithMargins="0">
        <oddHeader>&amp;R&amp;12Page &amp;P of &amp;N</oddHeader>
      </headerFooter>
    </customSheetView>
    <customSheetView guid="{71B42B22-A376-44B5-B0C1-23FC1AA3DBA2}" scale="75" showPageBreaks="1" fitToPage="1" printArea="1" hiddenColumns="1" showRuler="0">
      <selection activeCell="B42" sqref="B42"/>
      <rowBreaks count="3" manualBreakCount="3">
        <brk id="61" max="8" man="1"/>
        <brk id="87" max="7" man="1"/>
        <brk id="146" max="7" man="1"/>
      </rowBreaks>
      <pageMargins left="0.5" right="0.5" top="1" bottom="0.5" header="0.5" footer="0.5"/>
      <printOptions horizontalCentered="1"/>
      <pageSetup scale="45" fitToHeight="0" orientation="portrait" r:id="rId4"/>
      <headerFooter alignWithMargins="0">
        <oddHeader>&amp;R&amp;14Page &amp;P of &amp;N</oddHeader>
      </headerFooter>
    </customSheetView>
    <customSheetView guid="{28948E05-8F34-4F1E-96FB-A80A6A844600}" scale="75" showPageBreaks="1" fitToPage="1" printArea="1" hiddenColumns="1" showRuler="0">
      <selection sqref="A1:I1"/>
      <rowBreaks count="5" manualBreakCount="5">
        <brk id="61" max="8" man="1"/>
        <brk id="87" max="7" man="1"/>
        <brk id="146" max="7" man="1"/>
        <brk id="211" max="8" man="1"/>
        <brk id="231" max="8" man="1"/>
      </rowBreaks>
      <pageMargins left="0.5" right="0.5" top="1" bottom="0.5" header="0.5" footer="0.5"/>
      <printOptions horizontalCentered="1"/>
      <pageSetup scale="43" fitToHeight="0" orientation="portrait" r:id="rId5"/>
      <headerFooter alignWithMargins="0">
        <oddHeader>&amp;R&amp;12Page &amp;P of &amp;N</oddHeader>
      </headerFooter>
    </customSheetView>
    <customSheetView guid="{B647CB7F-C846-4278-B6B1-1EF7F3C004F5}" scale="75" showPageBreaks="1" fitToPage="1" printArea="1" hiddenColumns="1" showRuler="0" topLeftCell="A71">
      <selection activeCell="B218" sqref="B218"/>
      <rowBreaks count="5" manualBreakCount="5">
        <brk id="61" max="8" man="1"/>
        <brk id="87" max="7" man="1"/>
        <brk id="146" max="7" man="1"/>
        <brk id="211" max="8" man="1"/>
        <brk id="231" max="8" man="1"/>
      </rowBreaks>
      <pageMargins left="0.5" right="0.5" top="1" bottom="0.5" header="0.5" footer="0.5"/>
      <printOptions horizontalCentered="1"/>
      <pageSetup scale="45" fitToHeight="0" orientation="portrait" r:id="rId6"/>
      <headerFooter alignWithMargins="0">
        <oddHeader>&amp;R&amp;12Page &amp;P of &amp;N</oddHeader>
      </headerFooter>
    </customSheetView>
    <customSheetView guid="{63011E91-4609-4523-98FE-FD252E915668}" scale="60" showPageBreaks="1" fitToPage="1" printArea="1" hiddenColumns="1" view="pageBreakPreview" showRuler="0" topLeftCell="A223">
      <selection activeCell="B218" sqref="B218"/>
      <rowBreaks count="5" manualBreakCount="5">
        <brk id="61" max="8" man="1"/>
        <brk id="87" max="7" man="1"/>
        <brk id="146" max="7" man="1"/>
        <brk id="211" max="8" man="1"/>
        <brk id="231" max="8" man="1"/>
      </rowBreaks>
      <pageMargins left="0.5" right="0.5" top="1" bottom="0.5" header="0.5" footer="0.5"/>
      <printOptions horizontalCentered="1"/>
      <pageSetup scale="43" fitToHeight="0" orientation="portrait" r:id="rId7"/>
      <headerFooter alignWithMargins="0">
        <oddHeader>&amp;R&amp;12Page &amp;P of &amp;N</oddHeader>
      </headerFooter>
    </customSheetView>
    <customSheetView guid="{DC91DEF3-837B-4BB9-A81E-3B78C5914E6C}" scale="75" showPageBreaks="1" fitToPage="1" printArea="1" hiddenColumns="1" showRuler="0" topLeftCell="A55">
      <selection activeCell="I58" sqref="I58"/>
      <rowBreaks count="8" manualBreakCount="8">
        <brk id="60" max="8" man="1"/>
        <brk id="61" max="8" man="1"/>
        <brk id="63" max="8" man="1"/>
        <brk id="87" max="7" man="1"/>
        <brk id="146" max="7" man="1"/>
        <brk id="211" max="8" man="1"/>
        <brk id="214" max="8" man="1"/>
        <brk id="231" max="8" man="1"/>
      </rowBreaks>
      <pageMargins left="0.5" right="0.5" top="1" bottom="0.5" header="0.5" footer="0.5"/>
      <printOptions horizontalCentered="1"/>
      <pageSetup scale="45" fitToHeight="0" orientation="portrait" r:id="rId8"/>
      <headerFooter alignWithMargins="0">
        <oddHeader>&amp;R&amp;12Page &amp;P of &amp;N</oddHeader>
      </headerFooter>
    </customSheetView>
    <customSheetView guid="{1155D18F-BFDD-426B-8E78-817CEB25FB23}" scale="75" showPageBreaks="1" fitToPage="1" printArea="1" hiddenColumns="1" showRuler="0" topLeftCell="A206">
      <selection activeCell="E221" sqref="E221"/>
      <rowBreaks count="8" manualBreakCount="8">
        <brk id="60" max="8" man="1"/>
        <brk id="61" max="8" man="1"/>
        <brk id="63" max="8" man="1"/>
        <brk id="87" max="7" man="1"/>
        <brk id="146" max="7" man="1"/>
        <brk id="211" max="8" man="1"/>
        <brk id="214" max="8" man="1"/>
        <brk id="231" max="8" man="1"/>
      </rowBreaks>
      <pageMargins left="0.5" right="0.5" top="1" bottom="0.5" header="0.5" footer="0.5"/>
      <printOptions horizontalCentered="1"/>
      <pageSetup scale="45" fitToHeight="0" orientation="portrait" r:id="rId9"/>
      <headerFooter alignWithMargins="0">
        <oddHeader>&amp;R&amp;12Page &amp;P of &amp;N</oddHeader>
      </headerFooter>
    </customSheetView>
  </customSheetViews>
  <mergeCells count="27">
    <mergeCell ref="B140:N140"/>
    <mergeCell ref="B139:N139"/>
    <mergeCell ref="B132:C132"/>
    <mergeCell ref="F8:I8"/>
    <mergeCell ref="J8:M8"/>
    <mergeCell ref="J15:M15"/>
    <mergeCell ref="F15:I15"/>
    <mergeCell ref="B107:C107"/>
    <mergeCell ref="B136:H136"/>
    <mergeCell ref="B135:M135"/>
    <mergeCell ref="F110:I110"/>
    <mergeCell ref="J110:M110"/>
    <mergeCell ref="B134:H134"/>
    <mergeCell ref="B131:C131"/>
    <mergeCell ref="A1:N1"/>
    <mergeCell ref="A2:N2"/>
    <mergeCell ref="F80:I80"/>
    <mergeCell ref="J80:M80"/>
    <mergeCell ref="A3:N3"/>
    <mergeCell ref="B70:C70"/>
    <mergeCell ref="A4:A5"/>
    <mergeCell ref="F17:I17"/>
    <mergeCell ref="J17:M17"/>
    <mergeCell ref="F6:I6"/>
    <mergeCell ref="J6:M6"/>
    <mergeCell ref="F73:I73"/>
    <mergeCell ref="J73:M73"/>
  </mergeCells>
  <phoneticPr fontId="0" type="noConversion"/>
  <printOptions horizontalCentered="1"/>
  <pageMargins left="0.5" right="0.5" top="0.5" bottom="0.5" header="0.3" footer="0.5"/>
  <pageSetup scale="50" fitToHeight="6" orientation="landscape" r:id="rId10"/>
  <headerFooter>
    <oddFooter>&amp;R&amp;14&amp;A</oddFooter>
  </headerFooter>
  <rowBreaks count="1" manualBreakCount="1">
    <brk id="202" max="16383" man="1"/>
  </rowBreaks>
  <ignoredErrors>
    <ignoredError sqref="A107"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6"/>
  <sheetViews>
    <sheetView workbookViewId="0">
      <selection activeCell="A9" sqref="A9"/>
    </sheetView>
  </sheetViews>
  <sheetFormatPr defaultRowHeight="13.2"/>
  <cols>
    <col min="1" max="1" width="4.5546875" customWidth="1"/>
    <col min="2" max="2" width="22" customWidth="1"/>
    <col min="3" max="3" width="13" customWidth="1"/>
    <col min="4" max="5" width="14.109375" bestFit="1" customWidth="1"/>
    <col min="6" max="6" width="21.33203125" customWidth="1"/>
    <col min="7" max="38" width="8.88671875" style="1602"/>
  </cols>
  <sheetData>
    <row r="1" spans="1:17">
      <c r="A1" s="1703" t="str">
        <f>+'MISO Cover'!C6</f>
        <v>Entergy Texas, Inc.</v>
      </c>
      <c r="B1" s="1703"/>
      <c r="C1" s="1703"/>
      <c r="D1" s="1703"/>
      <c r="E1" s="1703"/>
      <c r="F1" s="1703"/>
      <c r="G1" s="164"/>
      <c r="H1" s="164"/>
      <c r="I1" s="164"/>
      <c r="J1" s="164"/>
      <c r="K1" s="164"/>
      <c r="L1" s="164"/>
      <c r="M1" s="164"/>
      <c r="N1" s="164"/>
      <c r="O1" s="164"/>
      <c r="P1" s="164"/>
      <c r="Q1" s="164"/>
    </row>
    <row r="2" spans="1:17">
      <c r="A2" s="1738" t="s">
        <v>1459</v>
      </c>
      <c r="B2" s="1738"/>
      <c r="C2" s="1738"/>
      <c r="D2" s="1738"/>
      <c r="E2" s="1738"/>
      <c r="F2" s="1738"/>
      <c r="G2" s="164"/>
      <c r="H2" s="164"/>
      <c r="I2" s="164"/>
      <c r="J2" s="164"/>
      <c r="K2" s="164"/>
      <c r="L2" s="164"/>
      <c r="M2" s="164"/>
      <c r="N2" s="164"/>
      <c r="O2" s="164"/>
      <c r="P2" s="164"/>
      <c r="Q2" s="164"/>
    </row>
    <row r="3" spans="1:17">
      <c r="A3" s="1703" t="str">
        <f>+'MISO Cover'!K4</f>
        <v>For  the 12 Months Ended 12/31/2016</v>
      </c>
      <c r="B3" s="1703"/>
      <c r="C3" s="1703"/>
      <c r="D3" s="1703"/>
      <c r="E3" s="1703"/>
      <c r="F3" s="1703"/>
      <c r="G3" s="164"/>
      <c r="H3" s="164"/>
      <c r="I3" s="164"/>
      <c r="J3" s="164"/>
      <c r="K3" s="164"/>
      <c r="L3" s="164"/>
      <c r="M3" s="164"/>
      <c r="N3" s="164"/>
      <c r="O3" s="164"/>
      <c r="P3" s="164"/>
      <c r="Q3" s="164"/>
    </row>
    <row r="5" spans="1:17">
      <c r="A5" t="s">
        <v>277</v>
      </c>
      <c r="B5" s="181" t="s">
        <v>67</v>
      </c>
      <c r="C5" s="181" t="s">
        <v>114</v>
      </c>
      <c r="D5" s="181" t="s">
        <v>55</v>
      </c>
      <c r="E5" s="181" t="s">
        <v>68</v>
      </c>
      <c r="F5" s="1623" t="s">
        <v>66</v>
      </c>
    </row>
    <row r="6" spans="1:17">
      <c r="B6" s="181"/>
      <c r="C6" s="181"/>
      <c r="D6" s="181"/>
      <c r="E6" s="181"/>
      <c r="F6" s="1624"/>
    </row>
    <row r="7" spans="1:17" ht="15">
      <c r="A7" s="181">
        <v>1</v>
      </c>
      <c r="B7" s="1502" t="s">
        <v>1409</v>
      </c>
      <c r="C7" s="1502" t="s">
        <v>1412</v>
      </c>
      <c r="D7" s="1498" t="s">
        <v>1415</v>
      </c>
      <c r="E7" s="1498" t="s">
        <v>1416</v>
      </c>
      <c r="F7" s="1625" t="s">
        <v>140</v>
      </c>
    </row>
    <row r="8" spans="1:17">
      <c r="A8" s="181">
        <f>+A7+1</f>
        <v>2</v>
      </c>
      <c r="B8" t="s">
        <v>410</v>
      </c>
      <c r="C8" t="s">
        <v>1411</v>
      </c>
      <c r="D8" s="1506">
        <v>98146179.269999996</v>
      </c>
      <c r="E8" s="1506">
        <v>104399198</v>
      </c>
      <c r="F8" s="1624" t="s">
        <v>1600</v>
      </c>
    </row>
    <row r="9" spans="1:17">
      <c r="A9" s="181">
        <f t="shared" ref="A9:A31" si="0">+A8+1</f>
        <v>3</v>
      </c>
      <c r="C9" t="s">
        <v>1410</v>
      </c>
      <c r="D9" s="1548">
        <f>'WP04 PIS'!C28</f>
        <v>98146179</v>
      </c>
      <c r="E9" s="1548">
        <f>'WP04 PIS'!C40</f>
        <v>104399198</v>
      </c>
      <c r="F9" s="1624" t="s">
        <v>1419</v>
      </c>
    </row>
    <row r="10" spans="1:17">
      <c r="A10" s="181">
        <f t="shared" si="0"/>
        <v>4</v>
      </c>
      <c r="C10" t="s">
        <v>1413</v>
      </c>
      <c r="D10" s="1500">
        <f>+D8-D9</f>
        <v>0.26999999582767487</v>
      </c>
      <c r="E10" s="1500">
        <f>+E8-E9</f>
        <v>0</v>
      </c>
      <c r="F10" s="1624" t="str">
        <f>+"Ln "&amp;A8&amp;" - Ln "&amp;A9</f>
        <v>Ln 2 - Ln 3</v>
      </c>
    </row>
    <row r="11" spans="1:17">
      <c r="A11" s="181">
        <f t="shared" si="0"/>
        <v>5</v>
      </c>
      <c r="D11" s="1500"/>
      <c r="E11" s="1500"/>
      <c r="F11" s="1624"/>
    </row>
    <row r="12" spans="1:17">
      <c r="A12" s="181">
        <f t="shared" si="0"/>
        <v>6</v>
      </c>
      <c r="B12" t="s">
        <v>597</v>
      </c>
      <c r="C12" t="s">
        <v>1411</v>
      </c>
      <c r="D12" s="1506">
        <f>+'WP04 PIS'!G28</f>
        <v>309959548</v>
      </c>
      <c r="E12" s="1506">
        <v>328169685</v>
      </c>
      <c r="F12" s="1624" t="s">
        <v>1599</v>
      </c>
    </row>
    <row r="13" spans="1:17">
      <c r="A13" s="181">
        <f t="shared" si="0"/>
        <v>7</v>
      </c>
      <c r="C13" t="s">
        <v>1410</v>
      </c>
      <c r="D13" s="1505">
        <f>'WP04 PIS'!G28</f>
        <v>309959548</v>
      </c>
      <c r="E13" s="1505">
        <f>'WP04 PIS'!G40</f>
        <v>326837777</v>
      </c>
      <c r="F13" s="1624" t="str">
        <f>+F9</f>
        <v>WP04 Ln 23 &amp; 35 (3)</v>
      </c>
    </row>
    <row r="14" spans="1:17">
      <c r="A14" s="181">
        <f t="shared" si="0"/>
        <v>8</v>
      </c>
      <c r="C14" t="s">
        <v>1413</v>
      </c>
      <c r="D14" s="1500">
        <f>+D12-D13</f>
        <v>0</v>
      </c>
      <c r="E14" s="1500">
        <f>+E12-E13</f>
        <v>1331908</v>
      </c>
      <c r="F14" s="1624" t="str">
        <f>+"Ln "&amp;A12&amp;" - Ln "&amp;A13</f>
        <v>Ln 6 - Ln 7</v>
      </c>
    </row>
    <row r="15" spans="1:17">
      <c r="A15" s="181">
        <f t="shared" si="0"/>
        <v>9</v>
      </c>
      <c r="D15" s="1500"/>
      <c r="E15" s="1500"/>
      <c r="F15" s="1624"/>
    </row>
    <row r="16" spans="1:17">
      <c r="A16" s="181">
        <f t="shared" si="0"/>
        <v>10</v>
      </c>
      <c r="B16" t="s">
        <v>191</v>
      </c>
      <c r="C16" t="s">
        <v>1411</v>
      </c>
      <c r="D16" s="1506">
        <v>28208744.850000001</v>
      </c>
      <c r="E16" s="1506">
        <v>33482759</v>
      </c>
      <c r="F16" s="1624" t="s">
        <v>1598</v>
      </c>
    </row>
    <row r="17" spans="1:9">
      <c r="A17" s="181">
        <f t="shared" si="0"/>
        <v>11</v>
      </c>
      <c r="C17" t="s">
        <v>1410</v>
      </c>
      <c r="D17" s="1505">
        <f>'WP04 PIS'!K28</f>
        <v>28208745</v>
      </c>
      <c r="E17" s="1505">
        <f>'WP04 PIS'!K40</f>
        <v>52303551</v>
      </c>
      <c r="F17" s="1624" t="str">
        <f>+F9</f>
        <v>WP04 Ln 23 &amp; 35 (3)</v>
      </c>
    </row>
    <row r="18" spans="1:9">
      <c r="A18" s="181">
        <f t="shared" si="0"/>
        <v>12</v>
      </c>
      <c r="C18" t="s">
        <v>1413</v>
      </c>
      <c r="D18" s="1500">
        <f>+D16-D17</f>
        <v>-0.14999999850988388</v>
      </c>
      <c r="E18" s="1500">
        <f>+E16-E17</f>
        <v>-18820792</v>
      </c>
      <c r="F18" s="1624" t="str">
        <f>+"Ln "&amp;A16&amp;" - Ln "&amp;A17</f>
        <v>Ln 10 - Ln 11</v>
      </c>
    </row>
    <row r="19" spans="1:9">
      <c r="A19" s="181">
        <f t="shared" si="0"/>
        <v>13</v>
      </c>
      <c r="D19" s="1500"/>
      <c r="E19" s="1500"/>
      <c r="F19" s="1624"/>
    </row>
    <row r="20" spans="1:9">
      <c r="A20" s="181">
        <f t="shared" si="0"/>
        <v>14</v>
      </c>
      <c r="B20" t="s">
        <v>409</v>
      </c>
      <c r="C20" t="s">
        <v>1411</v>
      </c>
      <c r="D20" s="1506">
        <v>595329362</v>
      </c>
      <c r="E20" s="1506">
        <v>563206841</v>
      </c>
      <c r="F20" s="1624" t="s">
        <v>1587</v>
      </c>
    </row>
    <row r="21" spans="1:9">
      <c r="A21" s="181">
        <f t="shared" si="0"/>
        <v>15</v>
      </c>
      <c r="C21" t="s">
        <v>1410</v>
      </c>
      <c r="D21" s="1500">
        <f>'WP04 PIS'!F28</f>
        <v>595329362</v>
      </c>
      <c r="E21" s="1500">
        <f>'WP04 PIS'!F40</f>
        <v>556600324</v>
      </c>
      <c r="F21" s="1624" t="str">
        <f>+F17</f>
        <v>WP04 Ln 23 &amp; 35 (3)</v>
      </c>
    </row>
    <row r="22" spans="1:9">
      <c r="A22" s="181">
        <f t="shared" si="0"/>
        <v>16</v>
      </c>
      <c r="C22" t="s">
        <v>1413</v>
      </c>
      <c r="D22" s="1549">
        <f>D20-D21</f>
        <v>0</v>
      </c>
      <c r="E22" s="1549">
        <f>E20-E21</f>
        <v>6606517</v>
      </c>
      <c r="F22" s="1624" t="str">
        <f>+"Ln "&amp;A20&amp;" - Ln "&amp;A21</f>
        <v>Ln 14 - Ln 15</v>
      </c>
    </row>
    <row r="23" spans="1:9">
      <c r="A23" s="181">
        <f t="shared" si="0"/>
        <v>17</v>
      </c>
      <c r="D23" s="1500"/>
      <c r="E23" s="1500"/>
      <c r="F23" s="1624"/>
    </row>
    <row r="24" spans="1:9">
      <c r="A24" s="181">
        <f t="shared" si="0"/>
        <v>18</v>
      </c>
      <c r="B24" t="s">
        <v>20</v>
      </c>
      <c r="C24" t="s">
        <v>1411</v>
      </c>
      <c r="D24" s="1506">
        <v>418770838</v>
      </c>
      <c r="E24" s="1506">
        <v>461885410</v>
      </c>
      <c r="F24" s="1624" t="s">
        <v>1597</v>
      </c>
    </row>
    <row r="25" spans="1:9">
      <c r="A25" s="181">
        <f t="shared" si="0"/>
        <v>19</v>
      </c>
      <c r="C25" t="s">
        <v>1410</v>
      </c>
      <c r="D25" s="1500">
        <f>'WP04 PIS'!J28</f>
        <v>418770839</v>
      </c>
      <c r="E25" s="1500">
        <f>'WP04 PIS'!J40</f>
        <v>457160331</v>
      </c>
      <c r="F25" s="1624" t="str">
        <f>+F21</f>
        <v>WP04 Ln 23 &amp; 35 (3)</v>
      </c>
    </row>
    <row r="26" spans="1:9">
      <c r="A26" s="181">
        <f t="shared" si="0"/>
        <v>20</v>
      </c>
      <c r="C26" t="s">
        <v>1413</v>
      </c>
      <c r="D26" s="1549">
        <f>D24-D25</f>
        <v>-1</v>
      </c>
      <c r="E26" s="1549">
        <f>E24-E25</f>
        <v>4725079</v>
      </c>
      <c r="F26" s="1624" t="str">
        <f>+"Ln "&amp;A24&amp;" - Ln "&amp;A25</f>
        <v>Ln 18 - Ln 19</v>
      </c>
    </row>
    <row r="27" spans="1:9">
      <c r="A27" s="181">
        <f t="shared" si="0"/>
        <v>21</v>
      </c>
      <c r="D27" s="1500"/>
      <c r="E27" s="1500"/>
      <c r="F27" s="1624"/>
    </row>
    <row r="28" spans="1:9" ht="25.2" customHeight="1">
      <c r="A28" s="1632">
        <f t="shared" si="0"/>
        <v>22</v>
      </c>
      <c r="B28" s="1739" t="s">
        <v>8</v>
      </c>
      <c r="C28" s="1739"/>
      <c r="D28" s="1500">
        <f>+D10+D14+D18</f>
        <v>0.11999999731779099</v>
      </c>
      <c r="E28" s="1500">
        <f>+E10+E14+E18+E22+E26</f>
        <v>-6157288</v>
      </c>
      <c r="F28" s="1626" t="str">
        <f>+"Ln "&amp;A10&amp;" + Ln "&amp;A14&amp;" + Ln "&amp;A18&amp;" + Ln "&amp;A22&amp;" + Ln "&amp;A26</f>
        <v>Ln 4 + Ln 8 + Ln 12 + Ln 16 + Ln 20</v>
      </c>
      <c r="I28" s="1602" t="s">
        <v>1605</v>
      </c>
    </row>
    <row r="29" spans="1:9">
      <c r="A29" s="181">
        <f t="shared" si="0"/>
        <v>23</v>
      </c>
      <c r="B29" t="s">
        <v>1414</v>
      </c>
      <c r="D29" s="1636">
        <f>'Appendix A'!G225</f>
        <v>0.35</v>
      </c>
      <c r="E29" s="1636">
        <f>D29</f>
        <v>0.35</v>
      </c>
      <c r="F29" s="1624" t="s">
        <v>1420</v>
      </c>
    </row>
    <row r="30" spans="1:9">
      <c r="A30" s="181">
        <f t="shared" si="0"/>
        <v>24</v>
      </c>
      <c r="D30" s="1622"/>
      <c r="E30" s="1622"/>
      <c r="F30" s="1624"/>
    </row>
    <row r="31" spans="1:9">
      <c r="A31" s="181">
        <f t="shared" si="0"/>
        <v>25</v>
      </c>
      <c r="B31" t="str">
        <f>+'WP06 ADIT'!B106</f>
        <v>FERC Liberalized Depreciation Adjustment</v>
      </c>
      <c r="D31" s="1500">
        <f>+D28*D29</f>
        <v>4.1999999061226839E-2</v>
      </c>
      <c r="E31" s="1500">
        <f>+E28*E29</f>
        <v>-2155050.7999999998</v>
      </c>
      <c r="F31" s="1627" t="str">
        <f>+"Ln "&amp;A28&amp;" * Ln "&amp;A29</f>
        <v>Ln 22 * Ln 23</v>
      </c>
    </row>
    <row r="32" spans="1:9">
      <c r="F32" s="1624"/>
    </row>
    <row r="33" spans="1:38">
      <c r="A33" t="s">
        <v>124</v>
      </c>
    </row>
    <row r="34" spans="1:38" s="639" customFormat="1">
      <c r="A34" s="1507" t="s">
        <v>170</v>
      </c>
      <c r="B34" s="1739" t="s">
        <v>1417</v>
      </c>
      <c r="C34" s="1739"/>
      <c r="D34" s="1739"/>
      <c r="E34" s="1739"/>
      <c r="F34" s="1739"/>
      <c r="G34" s="1610"/>
      <c r="H34" s="1610"/>
      <c r="I34" s="1610"/>
      <c r="J34" s="1610"/>
      <c r="K34" s="1610"/>
      <c r="L34" s="1610"/>
      <c r="M34" s="1610"/>
      <c r="N34" s="1610"/>
      <c r="O34" s="1610"/>
      <c r="P34" s="1610"/>
      <c r="Q34" s="1610"/>
      <c r="R34" s="1610"/>
      <c r="S34" s="1610"/>
      <c r="T34" s="1610"/>
      <c r="U34" s="1610"/>
      <c r="V34" s="1610"/>
      <c r="W34" s="1610"/>
      <c r="X34" s="1610"/>
      <c r="Y34" s="1610"/>
      <c r="Z34" s="1610"/>
      <c r="AA34" s="1610"/>
      <c r="AB34" s="1610"/>
      <c r="AC34" s="1610"/>
      <c r="AD34" s="1610"/>
      <c r="AE34" s="1610"/>
      <c r="AF34" s="1610"/>
      <c r="AG34" s="1610"/>
      <c r="AH34" s="1610"/>
      <c r="AI34" s="1610"/>
      <c r="AJ34" s="1610"/>
      <c r="AK34" s="1610"/>
      <c r="AL34" s="1610"/>
    </row>
    <row r="35" spans="1:38">
      <c r="A35" s="1504" t="s">
        <v>316</v>
      </c>
      <c r="B35" t="s">
        <v>1418</v>
      </c>
    </row>
    <row r="36" spans="1:38">
      <c r="A36" s="1504" t="s">
        <v>317</v>
      </c>
      <c r="B36" t="s">
        <v>1585</v>
      </c>
      <c r="I36" s="1602" t="s">
        <v>1586</v>
      </c>
    </row>
  </sheetData>
  <mergeCells count="5">
    <mergeCell ref="A1:F1"/>
    <mergeCell ref="A2:F2"/>
    <mergeCell ref="A3:F3"/>
    <mergeCell ref="B34:F34"/>
    <mergeCell ref="B28:C28"/>
  </mergeCells>
  <printOptions horizontalCentered="1"/>
  <pageMargins left="0.7" right="0.7" top="0.75" bottom="0.75" header="0.3" footer="0.5"/>
  <pageSetup orientation="portrait" r:id="rId1"/>
  <headerFooter>
    <oddFooter>&amp;R&amp;A</oddFooter>
  </headerFooter>
  <ignoredErrors>
    <ignoredError sqref="A34:A36"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15"/>
  <sheetViews>
    <sheetView zoomScaleNormal="100" workbookViewId="0">
      <selection activeCell="A9" sqref="A9"/>
    </sheetView>
  </sheetViews>
  <sheetFormatPr defaultColWidth="9.109375" defaultRowHeight="13.2"/>
  <cols>
    <col min="1" max="1" width="3.109375" style="717" bestFit="1" customWidth="1"/>
    <col min="2" max="2" width="5.33203125" style="39" customWidth="1"/>
    <col min="3" max="3" width="19.6640625" style="39" bestFit="1" customWidth="1"/>
    <col min="4" max="15" width="11.33203125" style="39" bestFit="1" customWidth="1"/>
    <col min="16" max="17" width="11.44140625" style="39" bestFit="1" customWidth="1"/>
    <col min="18" max="16384" width="9.109375" style="39"/>
  </cols>
  <sheetData>
    <row r="1" spans="1:19" s="60" customFormat="1">
      <c r="A1" s="1703" t="str">
        <f>+'MISO Cover'!C6</f>
        <v>Entergy Texas, Inc.</v>
      </c>
      <c r="B1" s="1703"/>
      <c r="C1" s="1703"/>
      <c r="D1" s="1703"/>
      <c r="E1" s="1703"/>
      <c r="F1" s="1703"/>
      <c r="G1" s="1703"/>
      <c r="H1" s="1703"/>
      <c r="I1" s="1703"/>
      <c r="J1" s="1703"/>
      <c r="K1" s="1703"/>
      <c r="L1" s="1703"/>
      <c r="M1" s="1703"/>
      <c r="N1" s="1703"/>
      <c r="O1" s="1703"/>
      <c r="P1" s="1703"/>
      <c r="Q1" s="1703"/>
    </row>
    <row r="2" spans="1:19" s="60" customFormat="1">
      <c r="A2" s="1695" t="s">
        <v>876</v>
      </c>
      <c r="B2" s="1695"/>
      <c r="C2" s="1695"/>
      <c r="D2" s="1695"/>
      <c r="E2" s="1695"/>
      <c r="F2" s="1695"/>
      <c r="G2" s="1695"/>
      <c r="H2" s="1695"/>
      <c r="I2" s="1695"/>
      <c r="J2" s="1695"/>
      <c r="K2" s="1695"/>
      <c r="L2" s="1695"/>
      <c r="M2" s="1695"/>
      <c r="N2" s="1695"/>
      <c r="O2" s="1695"/>
      <c r="P2" s="1695"/>
      <c r="Q2" s="1695"/>
    </row>
    <row r="3" spans="1:19" s="60" customFormat="1">
      <c r="A3" s="1703" t="str">
        <f>+'MISO Cover'!K4</f>
        <v>For  the 12 Months Ended 12/31/2016</v>
      </c>
      <c r="B3" s="1703"/>
      <c r="C3" s="1703"/>
      <c r="D3" s="1703"/>
      <c r="E3" s="1703"/>
      <c r="F3" s="1703"/>
      <c r="G3" s="1703"/>
      <c r="H3" s="1703"/>
      <c r="I3" s="1703"/>
      <c r="J3" s="1703"/>
      <c r="K3" s="1703"/>
      <c r="L3" s="1703"/>
      <c r="M3" s="1703"/>
      <c r="N3" s="1703"/>
      <c r="O3" s="1703"/>
      <c r="P3" s="1703"/>
      <c r="Q3" s="1703"/>
    </row>
    <row r="4" spans="1:19" s="60" customFormat="1">
      <c r="A4" s="211"/>
      <c r="B4" s="753"/>
      <c r="C4" s="39"/>
      <c r="D4" s="39"/>
      <c r="E4" s="209"/>
      <c r="F4" s="74"/>
      <c r="G4" s="74"/>
      <c r="H4" s="74"/>
      <c r="I4" s="74"/>
    </row>
    <row r="5" spans="1:19" s="60" customFormat="1">
      <c r="A5" s="211"/>
      <c r="B5" s="713"/>
      <c r="C5" s="713"/>
      <c r="D5" s="713"/>
      <c r="E5" s="713"/>
      <c r="F5" s="713"/>
      <c r="G5" s="713"/>
      <c r="H5" s="713"/>
      <c r="I5" s="713"/>
      <c r="J5" s="713"/>
      <c r="K5" s="713"/>
      <c r="L5" s="713"/>
      <c r="M5" s="713"/>
      <c r="N5" s="713"/>
      <c r="O5" s="713"/>
      <c r="P5" s="713"/>
      <c r="Q5" s="713"/>
    </row>
    <row r="6" spans="1:19" s="717" customFormat="1">
      <c r="A6" s="717" t="s">
        <v>277</v>
      </c>
      <c r="B6" s="717" t="s">
        <v>67</v>
      </c>
      <c r="C6" s="717" t="s">
        <v>114</v>
      </c>
      <c r="D6" s="717" t="s">
        <v>55</v>
      </c>
      <c r="E6" s="717" t="s">
        <v>68</v>
      </c>
      <c r="F6" s="717" t="s">
        <v>66</v>
      </c>
      <c r="G6" s="717" t="s">
        <v>156</v>
      </c>
      <c r="H6" s="717" t="s">
        <v>69</v>
      </c>
      <c r="I6" s="717" t="s">
        <v>169</v>
      </c>
      <c r="J6" s="717" t="s">
        <v>59</v>
      </c>
      <c r="K6" s="717" t="s">
        <v>60</v>
      </c>
      <c r="L6" s="717" t="s">
        <v>71</v>
      </c>
      <c r="M6" s="717" t="s">
        <v>98</v>
      </c>
      <c r="N6" s="717" t="s">
        <v>99</v>
      </c>
      <c r="O6" s="717" t="s">
        <v>157</v>
      </c>
      <c r="P6" s="717" t="s">
        <v>219</v>
      </c>
      <c r="Q6" s="717" t="s">
        <v>220</v>
      </c>
    </row>
    <row r="7" spans="1:19" s="60" customFormat="1">
      <c r="A7" s="211"/>
      <c r="B7" s="255"/>
      <c r="C7" s="252"/>
      <c r="D7" s="40"/>
      <c r="E7" s="40"/>
      <c r="F7" s="40"/>
      <c r="G7" s="40"/>
      <c r="H7" s="40"/>
      <c r="I7" s="40"/>
      <c r="J7" s="40"/>
      <c r="K7" s="40"/>
      <c r="L7" s="40"/>
      <c r="M7" s="40"/>
      <c r="N7" s="40"/>
      <c r="O7" s="40"/>
      <c r="P7" s="40"/>
      <c r="Q7" s="455" t="s">
        <v>48</v>
      </c>
      <c r="R7" s="75"/>
    </row>
    <row r="8" spans="1:19" s="211" customFormat="1">
      <c r="A8" s="211">
        <v>1</v>
      </c>
      <c r="B8" s="1087" t="s">
        <v>454</v>
      </c>
      <c r="C8" s="1087" t="s">
        <v>112</v>
      </c>
      <c r="D8" s="1409" t="s">
        <v>37</v>
      </c>
      <c r="E8" s="1409" t="s">
        <v>27</v>
      </c>
      <c r="F8" s="1409" t="s">
        <v>28</v>
      </c>
      <c r="G8" s="1409" t="s">
        <v>29</v>
      </c>
      <c r="H8" s="1409" t="s">
        <v>30</v>
      </c>
      <c r="I8" s="1409" t="s">
        <v>26</v>
      </c>
      <c r="J8" s="1409" t="s">
        <v>31</v>
      </c>
      <c r="K8" s="1409" t="s">
        <v>32</v>
      </c>
      <c r="L8" s="1409" t="s">
        <v>33</v>
      </c>
      <c r="M8" s="1409" t="s">
        <v>34</v>
      </c>
      <c r="N8" s="1409" t="s">
        <v>35</v>
      </c>
      <c r="O8" s="1409" t="s">
        <v>36</v>
      </c>
      <c r="P8" s="1409" t="s">
        <v>37</v>
      </c>
      <c r="Q8" s="1087" t="s">
        <v>141</v>
      </c>
      <c r="R8" s="219"/>
    </row>
    <row r="9" spans="1:19" s="60" customFormat="1">
      <c r="A9" s="211">
        <f>+A8+1</f>
        <v>2</v>
      </c>
      <c r="B9" s="508">
        <v>154</v>
      </c>
      <c r="C9" s="253" t="s">
        <v>506</v>
      </c>
      <c r="D9" s="179">
        <v>3983695.61</v>
      </c>
      <c r="E9" s="179">
        <v>4017435.32</v>
      </c>
      <c r="F9" s="179">
        <v>3924805.98</v>
      </c>
      <c r="G9" s="179">
        <v>3789582.15</v>
      </c>
      <c r="H9" s="179">
        <v>3822025.66</v>
      </c>
      <c r="I9" s="179">
        <v>4030188.31</v>
      </c>
      <c r="J9" s="179">
        <v>4211864.33</v>
      </c>
      <c r="K9" s="179">
        <v>4080890.05</v>
      </c>
      <c r="L9" s="179">
        <v>4413511.93</v>
      </c>
      <c r="M9" s="179">
        <v>4483969.6900000004</v>
      </c>
      <c r="N9" s="179">
        <v>4377074</v>
      </c>
      <c r="O9" s="179">
        <v>4387130.0199999996</v>
      </c>
      <c r="P9" s="179">
        <v>4573358.8099999996</v>
      </c>
      <c r="Q9" s="249">
        <f>+SUM(D9:P9)/13</f>
        <v>4161194.7584615382</v>
      </c>
      <c r="R9" s="75"/>
      <c r="S9" s="211"/>
    </row>
    <row r="10" spans="1:19" s="60" customFormat="1">
      <c r="A10" s="211">
        <f>+A9+1</f>
        <v>3</v>
      </c>
      <c r="B10" s="249">
        <v>163</v>
      </c>
      <c r="C10" s="248" t="s">
        <v>507</v>
      </c>
      <c r="D10" s="179">
        <v>1689299.85</v>
      </c>
      <c r="E10" s="179">
        <v>1452107.08</v>
      </c>
      <c r="F10" s="179">
        <v>1385161.92</v>
      </c>
      <c r="G10" s="179">
        <v>1494301.59</v>
      </c>
      <c r="H10" s="179">
        <v>1550610.54</v>
      </c>
      <c r="I10" s="179">
        <v>1524771.22</v>
      </c>
      <c r="J10" s="179">
        <v>1481489.91</v>
      </c>
      <c r="K10" s="179">
        <v>1526309.21</v>
      </c>
      <c r="L10" s="179">
        <v>1379688.56</v>
      </c>
      <c r="M10" s="179">
        <v>1615299.67</v>
      </c>
      <c r="N10" s="179">
        <v>1624298.15</v>
      </c>
      <c r="O10" s="179">
        <v>1622854.08</v>
      </c>
      <c r="P10" s="179">
        <v>1523246.64</v>
      </c>
      <c r="Q10" s="249">
        <f>+SUM(D10:P10)/13</f>
        <v>1528418.34</v>
      </c>
      <c r="R10" s="75"/>
    </row>
    <row r="11" spans="1:19" s="60" customFormat="1">
      <c r="A11" s="211"/>
      <c r="B11" s="254"/>
      <c r="C11" s="254"/>
      <c r="D11" s="633"/>
      <c r="E11" s="248"/>
      <c r="F11" s="248"/>
      <c r="G11" s="248"/>
      <c r="H11" s="206"/>
      <c r="I11" s="206"/>
      <c r="J11" s="187"/>
      <c r="K11" s="206"/>
      <c r="L11" s="206"/>
      <c r="M11" s="513"/>
      <c r="N11" s="513"/>
      <c r="O11" s="248"/>
      <c r="P11" s="633"/>
      <c r="Q11" s="248"/>
      <c r="R11" s="75"/>
    </row>
    <row r="12" spans="1:19">
      <c r="A12" s="173" t="s">
        <v>295</v>
      </c>
      <c r="C12" s="173"/>
      <c r="D12" s="173"/>
      <c r="E12" s="173"/>
      <c r="F12" s="173"/>
      <c r="G12" s="173"/>
      <c r="H12" s="173"/>
      <c r="I12" s="173"/>
      <c r="J12" s="173"/>
      <c r="K12" s="173"/>
      <c r="L12" s="173"/>
      <c r="M12" s="173"/>
      <c r="N12" s="173"/>
      <c r="O12" s="173"/>
      <c r="P12" s="173"/>
      <c r="Q12" s="173"/>
      <c r="R12" s="173"/>
    </row>
    <row r="13" spans="1:19">
      <c r="A13" s="741" t="s">
        <v>170</v>
      </c>
      <c r="B13" s="38" t="s">
        <v>579</v>
      </c>
      <c r="C13" s="38"/>
    </row>
    <row r="14" spans="1:19">
      <c r="A14" s="665" t="s">
        <v>316</v>
      </c>
      <c r="B14" s="38" t="s">
        <v>580</v>
      </c>
      <c r="C14" s="38"/>
    </row>
    <row r="15" spans="1:19">
      <c r="A15" s="211"/>
      <c r="B15" s="38"/>
      <c r="C15" s="38"/>
    </row>
  </sheetData>
  <mergeCells count="3">
    <mergeCell ref="A2:Q2"/>
    <mergeCell ref="A1:Q1"/>
    <mergeCell ref="A3:Q3"/>
  </mergeCells>
  <pageMargins left="0.7" right="0.7" top="0.7" bottom="0.7" header="0.3" footer="0.5"/>
  <pageSetup scale="66" orientation="landscape" r:id="rId1"/>
  <headerFooter>
    <oddFooter>&amp;CPage &amp;P of &amp;N&amp;R&amp;A</oddFooter>
  </headerFooter>
  <ignoredErrors>
    <ignoredError sqref="A13:A14"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68"/>
  <sheetViews>
    <sheetView zoomScaleNormal="100" workbookViewId="0">
      <selection activeCell="A9" sqref="A9"/>
    </sheetView>
  </sheetViews>
  <sheetFormatPr defaultColWidth="8.88671875" defaultRowHeight="13.2"/>
  <cols>
    <col min="1" max="1" width="4.88671875" style="1164" customWidth="1"/>
    <col min="2" max="2" width="8.5546875" style="1150" bestFit="1" customWidth="1"/>
    <col min="3" max="3" width="34.5546875" style="1150" bestFit="1" customWidth="1"/>
    <col min="4" max="4" width="11.5546875" style="1150" customWidth="1"/>
    <col min="5" max="5" width="13.109375" style="1150" bestFit="1" customWidth="1"/>
    <col min="6" max="6" width="12.33203125" style="1150" bestFit="1" customWidth="1"/>
    <col min="7" max="11" width="10.44140625" style="1150" bestFit="1" customWidth="1"/>
    <col min="12" max="16" width="11.44140625" style="1150" bestFit="1" customWidth="1"/>
    <col min="17" max="17" width="11.33203125" style="1150" bestFit="1" customWidth="1"/>
    <col min="18" max="18" width="8.88671875" style="1148"/>
    <col min="19" max="16384" width="8.88671875" style="1150"/>
  </cols>
  <sheetData>
    <row r="1" spans="1:18" s="39" customFormat="1">
      <c r="A1" s="1703" t="str">
        <f>+'MISO Cover'!C6</f>
        <v>Entergy Texas, Inc.</v>
      </c>
      <c r="B1" s="1703"/>
      <c r="C1" s="1703"/>
      <c r="D1" s="1703"/>
      <c r="E1" s="1703"/>
      <c r="F1" s="1703"/>
      <c r="G1" s="1703"/>
      <c r="H1" s="1703"/>
      <c r="I1" s="1703"/>
      <c r="J1" s="1703"/>
      <c r="K1" s="1703"/>
      <c r="L1" s="1703"/>
      <c r="M1" s="1703"/>
      <c r="N1" s="1703"/>
      <c r="O1" s="1703"/>
      <c r="P1" s="1703"/>
      <c r="Q1" s="1703"/>
      <c r="R1" s="38"/>
    </row>
    <row r="2" spans="1:18" s="39" customFormat="1">
      <c r="A2" s="1695" t="s">
        <v>877</v>
      </c>
      <c r="B2" s="1695"/>
      <c r="C2" s="1695"/>
      <c r="D2" s="1695"/>
      <c r="E2" s="1695"/>
      <c r="F2" s="1695"/>
      <c r="G2" s="1695"/>
      <c r="H2" s="1695"/>
      <c r="I2" s="1695"/>
      <c r="J2" s="1695"/>
      <c r="K2" s="1695"/>
      <c r="L2" s="1695"/>
      <c r="M2" s="1695"/>
      <c r="N2" s="1695"/>
      <c r="O2" s="1695"/>
      <c r="P2" s="1695"/>
      <c r="Q2" s="1695"/>
      <c r="R2" s="38"/>
    </row>
    <row r="3" spans="1:18" s="39" customFormat="1">
      <c r="A3" s="1703" t="str">
        <f>+'MISO Cover'!K4</f>
        <v>For  the 12 Months Ended 12/31/2016</v>
      </c>
      <c r="B3" s="1703"/>
      <c r="C3" s="1703"/>
      <c r="D3" s="1703"/>
      <c r="E3" s="1703"/>
      <c r="F3" s="1703"/>
      <c r="G3" s="1703"/>
      <c r="H3" s="1703"/>
      <c r="I3" s="1703"/>
      <c r="J3" s="1703"/>
      <c r="K3" s="1703"/>
      <c r="L3" s="1703"/>
      <c r="M3" s="1703"/>
      <c r="N3" s="1703"/>
      <c r="O3" s="1703"/>
      <c r="P3" s="1703"/>
      <c r="Q3" s="1703"/>
      <c r="R3" s="38"/>
    </row>
    <row r="4" spans="1:18" s="39" customFormat="1">
      <c r="A4" s="1144"/>
      <c r="B4" s="201"/>
      <c r="C4" s="201"/>
      <c r="D4" s="201"/>
      <c r="E4" s="1145"/>
      <c r="F4" s="1145"/>
      <c r="G4" s="1145"/>
      <c r="H4" s="1145"/>
      <c r="I4" s="1145"/>
      <c r="J4" s="1145"/>
      <c r="K4" s="1145"/>
      <c r="L4" s="1145"/>
      <c r="M4" s="1145"/>
      <c r="R4" s="38"/>
    </row>
    <row r="5" spans="1:18" s="1144" customFormat="1">
      <c r="A5" s="1144" t="s">
        <v>277</v>
      </c>
      <c r="B5" s="1144" t="s">
        <v>67</v>
      </c>
      <c r="C5" s="1144" t="s">
        <v>114</v>
      </c>
      <c r="D5" s="1144" t="s">
        <v>55</v>
      </c>
      <c r="E5" s="1144" t="s">
        <v>68</v>
      </c>
      <c r="F5" s="1144" t="s">
        <v>66</v>
      </c>
      <c r="G5" s="1144" t="s">
        <v>156</v>
      </c>
      <c r="H5" s="1144" t="s">
        <v>69</v>
      </c>
      <c r="I5" s="1144" t="s">
        <v>169</v>
      </c>
      <c r="J5" s="1144" t="s">
        <v>59</v>
      </c>
      <c r="K5" s="1144" t="s">
        <v>60</v>
      </c>
      <c r="L5" s="1144" t="s">
        <v>71</v>
      </c>
      <c r="M5" s="1144" t="s">
        <v>98</v>
      </c>
      <c r="N5" s="1144" t="s">
        <v>99</v>
      </c>
      <c r="O5" s="1144" t="s">
        <v>157</v>
      </c>
      <c r="P5" s="1144" t="s">
        <v>219</v>
      </c>
      <c r="Q5" s="1144" t="s">
        <v>220</v>
      </c>
      <c r="R5" s="1143"/>
    </row>
    <row r="6" spans="1:18" s="39" customFormat="1" ht="13.2" customHeight="1">
      <c r="B6" s="1410"/>
      <c r="C6" s="1410"/>
      <c r="D6" s="1410"/>
      <c r="E6" s="1410"/>
      <c r="F6" s="1410"/>
      <c r="G6" s="1410"/>
      <c r="H6" s="1410"/>
      <c r="I6" s="1410"/>
      <c r="J6" s="1410"/>
      <c r="K6" s="173"/>
      <c r="L6" s="173"/>
      <c r="M6" s="173"/>
      <c r="N6" s="173"/>
      <c r="O6" s="173"/>
      <c r="P6" s="173"/>
      <c r="Q6" s="1742" t="s">
        <v>264</v>
      </c>
      <c r="R6" s="38"/>
    </row>
    <row r="7" spans="1:18" s="1148" customFormat="1">
      <c r="A7" s="1146">
        <v>1</v>
      </c>
      <c r="B7" s="1411" t="s">
        <v>173</v>
      </c>
      <c r="C7" s="1411" t="s">
        <v>266</v>
      </c>
      <c r="D7" s="1409" t="s">
        <v>37</v>
      </c>
      <c r="E7" s="1409" t="s">
        <v>27</v>
      </c>
      <c r="F7" s="1409" t="s">
        <v>28</v>
      </c>
      <c r="G7" s="1409" t="s">
        <v>29</v>
      </c>
      <c r="H7" s="1409" t="s">
        <v>30</v>
      </c>
      <c r="I7" s="1409" t="s">
        <v>26</v>
      </c>
      <c r="J7" s="1409" t="s">
        <v>31</v>
      </c>
      <c r="K7" s="1409" t="s">
        <v>32</v>
      </c>
      <c r="L7" s="1409" t="s">
        <v>33</v>
      </c>
      <c r="M7" s="1409" t="s">
        <v>34</v>
      </c>
      <c r="N7" s="1409" t="s">
        <v>35</v>
      </c>
      <c r="O7" s="1409" t="s">
        <v>36</v>
      </c>
      <c r="P7" s="1409" t="s">
        <v>37</v>
      </c>
      <c r="Q7" s="1743"/>
    </row>
    <row r="8" spans="1:18">
      <c r="A8" s="1149">
        <f>+A7+1</f>
        <v>2</v>
      </c>
    </row>
    <row r="9" spans="1:18">
      <c r="A9" s="1151">
        <f>+A8+0.01</f>
        <v>2.0099999999999998</v>
      </c>
      <c r="B9" s="264" t="s">
        <v>1262</v>
      </c>
      <c r="C9" s="1309"/>
      <c r="D9" s="1447">
        <v>166590.32</v>
      </c>
      <c r="E9" s="192">
        <v>177608.59</v>
      </c>
      <c r="F9" s="192">
        <v>47528.25</v>
      </c>
      <c r="G9" s="192">
        <v>181394.08</v>
      </c>
      <c r="H9" s="192">
        <v>189435.94999999998</v>
      </c>
      <c r="I9" s="192">
        <v>196063.4</v>
      </c>
      <c r="J9" s="192">
        <v>203293.38999999998</v>
      </c>
      <c r="K9" s="192">
        <v>220485.13</v>
      </c>
      <c r="L9" s="192">
        <v>221504.66</v>
      </c>
      <c r="M9" s="192">
        <v>86841.79</v>
      </c>
      <c r="N9" s="192">
        <v>93243.599999999991</v>
      </c>
      <c r="O9" s="192">
        <v>109615.61</v>
      </c>
      <c r="P9" s="192">
        <v>130893.43</v>
      </c>
      <c r="Q9" s="73">
        <f t="shared" ref="Q9:Q30" si="0">SUM(D9:P9)/13</f>
        <v>155730.63076923077</v>
      </c>
      <c r="R9" s="491"/>
    </row>
    <row r="10" spans="1:18">
      <c r="A10" s="1151">
        <f>+A9+0.01</f>
        <v>2.0199999999999996</v>
      </c>
      <c r="B10" s="264" t="s">
        <v>1263</v>
      </c>
      <c r="C10" s="1309"/>
      <c r="D10" s="192">
        <v>2400278.5299999993</v>
      </c>
      <c r="E10" s="192">
        <v>1987515.0599999996</v>
      </c>
      <c r="F10" s="192">
        <v>1574751.6499999994</v>
      </c>
      <c r="G10" s="192">
        <v>1305179.1099999994</v>
      </c>
      <c r="H10" s="192">
        <v>891789.54999999981</v>
      </c>
      <c r="I10" s="192">
        <v>478400.07999999961</v>
      </c>
      <c r="J10" s="192">
        <v>3516202.1699999995</v>
      </c>
      <c r="K10" s="192">
        <v>3146119.5099999993</v>
      </c>
      <c r="L10" s="192">
        <v>2776036.8499999992</v>
      </c>
      <c r="M10" s="192">
        <v>2405954.189999999</v>
      </c>
      <c r="N10" s="192">
        <v>2035871.6399999992</v>
      </c>
      <c r="O10" s="192">
        <v>2496923.4099999992</v>
      </c>
      <c r="P10" s="192">
        <v>2140252.0599999987</v>
      </c>
      <c r="Q10" s="73">
        <f t="shared" si="0"/>
        <v>2088867.2161538454</v>
      </c>
      <c r="R10" s="491"/>
    </row>
    <row r="11" spans="1:18">
      <c r="A11" s="1151">
        <f>+A10+0.01</f>
        <v>2.0299999999999994</v>
      </c>
      <c r="B11" s="264" t="s">
        <v>1264</v>
      </c>
      <c r="C11" s="1309"/>
      <c r="D11" s="192">
        <v>64384.450000000012</v>
      </c>
      <c r="E11" s="192">
        <v>53653.700000000012</v>
      </c>
      <c r="F11" s="192">
        <v>42922.950000000012</v>
      </c>
      <c r="G11" s="192">
        <v>32192.200000000012</v>
      </c>
      <c r="H11" s="192">
        <v>21461.450000000012</v>
      </c>
      <c r="I11" s="192">
        <v>10730.700000000012</v>
      </c>
      <c r="J11" s="192">
        <v>0</v>
      </c>
      <c r="K11" s="192">
        <v>123321.94</v>
      </c>
      <c r="L11" s="192">
        <v>112110.85</v>
      </c>
      <c r="M11" s="192">
        <v>100899.76</v>
      </c>
      <c r="N11" s="192">
        <v>89688.67</v>
      </c>
      <c r="O11" s="192">
        <v>78477.58</v>
      </c>
      <c r="P11" s="192">
        <v>67266.490000000005</v>
      </c>
      <c r="Q11" s="73">
        <f t="shared" si="0"/>
        <v>61316.210769230776</v>
      </c>
      <c r="R11" s="491"/>
    </row>
    <row r="12" spans="1:18">
      <c r="A12" s="1151">
        <f t="shared" ref="A12:A27" si="1">+A11+0.01</f>
        <v>2.0399999999999991</v>
      </c>
      <c r="B12" s="264" t="s">
        <v>1265</v>
      </c>
      <c r="C12" s="1309"/>
      <c r="D12" s="192">
        <v>20035</v>
      </c>
      <c r="E12" s="192">
        <v>20035</v>
      </c>
      <c r="F12" s="192">
        <v>20035</v>
      </c>
      <c r="G12" s="192">
        <v>85023.5</v>
      </c>
      <c r="H12" s="192">
        <v>85023.5</v>
      </c>
      <c r="I12" s="192">
        <v>85023.5</v>
      </c>
      <c r="J12" s="192">
        <v>70012</v>
      </c>
      <c r="K12" s="192">
        <v>70012</v>
      </c>
      <c r="L12" s="192">
        <v>55000.5</v>
      </c>
      <c r="M12" s="192">
        <v>55000.5</v>
      </c>
      <c r="N12" s="192">
        <v>55000.5</v>
      </c>
      <c r="O12" s="192">
        <v>19953</v>
      </c>
      <c r="P12" s="192">
        <v>19953</v>
      </c>
      <c r="Q12" s="73">
        <f t="shared" si="0"/>
        <v>50777.461538461539</v>
      </c>
      <c r="R12" s="491"/>
    </row>
    <row r="13" spans="1:18">
      <c r="A13" s="1151">
        <f t="shared" si="1"/>
        <v>2.0499999999999989</v>
      </c>
      <c r="B13" s="264" t="s">
        <v>1266</v>
      </c>
      <c r="C13" s="1309"/>
      <c r="D13" s="192">
        <v>0</v>
      </c>
      <c r="E13" s="192">
        <v>1742624</v>
      </c>
      <c r="F13" s="192">
        <v>871312</v>
      </c>
      <c r="G13" s="192">
        <v>0</v>
      </c>
      <c r="H13" s="192">
        <v>1672676</v>
      </c>
      <c r="I13" s="192">
        <v>836338</v>
      </c>
      <c r="J13" s="192">
        <v>0</v>
      </c>
      <c r="K13" s="192">
        <v>1683872</v>
      </c>
      <c r="L13" s="192">
        <v>841936</v>
      </c>
      <c r="M13" s="192">
        <v>0</v>
      </c>
      <c r="N13" s="192">
        <v>1901098</v>
      </c>
      <c r="O13" s="192">
        <v>950549</v>
      </c>
      <c r="P13" s="192">
        <v>0</v>
      </c>
      <c r="Q13" s="73">
        <f t="shared" si="0"/>
        <v>807723.4615384615</v>
      </c>
      <c r="R13" s="491"/>
    </row>
    <row r="14" spans="1:18">
      <c r="A14" s="1151">
        <f t="shared" si="1"/>
        <v>2.0599999999999987</v>
      </c>
      <c r="B14" s="264" t="s">
        <v>1267</v>
      </c>
      <c r="C14" s="1309"/>
      <c r="D14" s="192">
        <v>7552440</v>
      </c>
      <c r="E14" s="192">
        <v>6293700</v>
      </c>
      <c r="F14" s="192">
        <v>5034960</v>
      </c>
      <c r="G14" s="192">
        <v>3776220</v>
      </c>
      <c r="H14" s="192">
        <v>2517480</v>
      </c>
      <c r="I14" s="192">
        <v>1258740</v>
      </c>
      <c r="J14" s="192">
        <v>0</v>
      </c>
      <c r="K14" s="192">
        <v>2173295.04</v>
      </c>
      <c r="L14" s="192">
        <v>12946580</v>
      </c>
      <c r="M14" s="192">
        <v>11651922</v>
      </c>
      <c r="N14" s="192">
        <v>10357264</v>
      </c>
      <c r="O14" s="192">
        <v>9062606</v>
      </c>
      <c r="P14" s="192">
        <v>7767948</v>
      </c>
      <c r="Q14" s="73">
        <f t="shared" si="0"/>
        <v>6184088.8492307682</v>
      </c>
      <c r="R14" s="491"/>
    </row>
    <row r="15" spans="1:18">
      <c r="A15" s="1151">
        <f t="shared" si="1"/>
        <v>2.0699999999999985</v>
      </c>
      <c r="B15" s="264" t="s">
        <v>1268</v>
      </c>
      <c r="C15" s="1309"/>
      <c r="D15" s="192">
        <v>155694</v>
      </c>
      <c r="E15" s="192">
        <v>129745</v>
      </c>
      <c r="F15" s="192">
        <v>103796</v>
      </c>
      <c r="G15" s="192">
        <v>77847</v>
      </c>
      <c r="H15" s="192">
        <v>51898</v>
      </c>
      <c r="I15" s="192">
        <v>25949</v>
      </c>
      <c r="J15" s="192">
        <v>0</v>
      </c>
      <c r="K15" s="192">
        <v>268015</v>
      </c>
      <c r="L15" s="192">
        <v>243650</v>
      </c>
      <c r="M15" s="192">
        <v>219285</v>
      </c>
      <c r="N15" s="192">
        <v>194920</v>
      </c>
      <c r="O15" s="192">
        <v>170555</v>
      </c>
      <c r="P15" s="192">
        <v>146190</v>
      </c>
      <c r="Q15" s="73">
        <f t="shared" si="0"/>
        <v>137503.38461538462</v>
      </c>
      <c r="R15" s="491"/>
    </row>
    <row r="16" spans="1:18">
      <c r="A16" s="1151">
        <f t="shared" si="1"/>
        <v>2.0799999999999983</v>
      </c>
      <c r="B16" s="264" t="s">
        <v>1269</v>
      </c>
      <c r="C16" s="1309"/>
      <c r="D16" s="192">
        <v>0</v>
      </c>
      <c r="E16" s="192">
        <v>195999.74</v>
      </c>
      <c r="F16" s="192">
        <v>178181.58</v>
      </c>
      <c r="G16" s="192">
        <v>160363.42000000001</v>
      </c>
      <c r="H16" s="192">
        <v>142545.26</v>
      </c>
      <c r="I16" s="192">
        <v>124727.1</v>
      </c>
      <c r="J16" s="192">
        <v>106908.94</v>
      </c>
      <c r="K16" s="192">
        <v>89090.78</v>
      </c>
      <c r="L16" s="192">
        <v>71272.62</v>
      </c>
      <c r="M16" s="192">
        <v>53454.46</v>
      </c>
      <c r="N16" s="192">
        <v>35636.300000000003</v>
      </c>
      <c r="O16" s="192">
        <v>17818.14</v>
      </c>
      <c r="P16" s="192">
        <v>0</v>
      </c>
      <c r="Q16" s="73">
        <f t="shared" si="0"/>
        <v>90461.410769230759</v>
      </c>
    </row>
    <row r="17" spans="1:18">
      <c r="A17" s="1151">
        <f t="shared" si="1"/>
        <v>2.0899999999999981</v>
      </c>
      <c r="B17" s="264" t="s">
        <v>1270</v>
      </c>
      <c r="C17" s="1309"/>
      <c r="D17" s="192">
        <v>0</v>
      </c>
      <c r="E17" s="192">
        <v>309387</v>
      </c>
      <c r="F17" s="192">
        <v>281261</v>
      </c>
      <c r="G17" s="192">
        <v>253135</v>
      </c>
      <c r="H17" s="192">
        <v>225009</v>
      </c>
      <c r="I17" s="192">
        <v>196883</v>
      </c>
      <c r="J17" s="192">
        <v>168757</v>
      </c>
      <c r="K17" s="192">
        <v>140631</v>
      </c>
      <c r="L17" s="192">
        <v>112505</v>
      </c>
      <c r="M17" s="192">
        <v>84379</v>
      </c>
      <c r="N17" s="192">
        <v>56253</v>
      </c>
      <c r="O17" s="192">
        <v>28127</v>
      </c>
      <c r="P17" s="192">
        <v>0</v>
      </c>
      <c r="Q17" s="73">
        <f t="shared" si="0"/>
        <v>142794.38461538462</v>
      </c>
      <c r="R17" s="491"/>
    </row>
    <row r="18" spans="1:18">
      <c r="A18" s="1151">
        <f t="shared" si="1"/>
        <v>2.0999999999999979</v>
      </c>
      <c r="B18" s="264" t="s">
        <v>1271</v>
      </c>
      <c r="C18" s="1309"/>
      <c r="D18" s="192">
        <v>11340</v>
      </c>
      <c r="E18" s="192">
        <v>10710</v>
      </c>
      <c r="F18" s="192">
        <v>10080</v>
      </c>
      <c r="G18" s="192">
        <v>9450</v>
      </c>
      <c r="H18" s="192">
        <v>8820</v>
      </c>
      <c r="I18" s="192">
        <v>8190</v>
      </c>
      <c r="J18" s="192">
        <v>7560</v>
      </c>
      <c r="K18" s="192">
        <v>6930</v>
      </c>
      <c r="L18" s="192">
        <v>6300</v>
      </c>
      <c r="M18" s="192">
        <v>5670</v>
      </c>
      <c r="N18" s="192">
        <v>5040</v>
      </c>
      <c r="O18" s="192">
        <v>4410</v>
      </c>
      <c r="P18" s="192">
        <v>3780</v>
      </c>
      <c r="Q18" s="73">
        <f t="shared" si="0"/>
        <v>7560</v>
      </c>
      <c r="R18" s="491"/>
    </row>
    <row r="19" spans="1:18">
      <c r="A19" s="1151">
        <f t="shared" si="1"/>
        <v>2.1099999999999977</v>
      </c>
      <c r="B19" s="264" t="s">
        <v>1272</v>
      </c>
      <c r="C19" s="1309"/>
      <c r="D19" s="192">
        <v>113634.24000000001</v>
      </c>
      <c r="E19" s="192">
        <v>113992.96000000009</v>
      </c>
      <c r="F19" s="192">
        <v>114404.45000000007</v>
      </c>
      <c r="G19" s="192">
        <v>114754.09999999996</v>
      </c>
      <c r="H19" s="192">
        <v>118294.90000000001</v>
      </c>
      <c r="I19" s="192">
        <v>118661.77</v>
      </c>
      <c r="J19" s="192">
        <v>120321.70000000006</v>
      </c>
      <c r="K19" s="192">
        <v>120321.71000000006</v>
      </c>
      <c r="L19" s="192">
        <v>120321.72000000007</v>
      </c>
      <c r="M19" s="192">
        <v>80415.970000000074</v>
      </c>
      <c r="N19" s="192">
        <v>80415.960000000065</v>
      </c>
      <c r="O19" s="192">
        <v>80415.970000000074</v>
      </c>
      <c r="P19" s="192">
        <v>77289.160000000076</v>
      </c>
      <c r="Q19" s="73">
        <f t="shared" si="0"/>
        <v>105634.2007692308</v>
      </c>
      <c r="R19" s="491"/>
    </row>
    <row r="20" spans="1:18" s="1153" customFormat="1">
      <c r="A20" s="1151">
        <f t="shared" si="1"/>
        <v>2.1199999999999974</v>
      </c>
      <c r="B20" s="264" t="s">
        <v>1273</v>
      </c>
      <c r="C20" s="1309"/>
      <c r="D20" s="192">
        <v>-376.39000000004194</v>
      </c>
      <c r="E20" s="192">
        <v>-376.39000000004194</v>
      </c>
      <c r="F20" s="192">
        <v>-376.39000000004194</v>
      </c>
      <c r="G20" s="192">
        <v>0</v>
      </c>
      <c r="H20" s="192">
        <v>0</v>
      </c>
      <c r="I20" s="192">
        <v>0</v>
      </c>
      <c r="J20" s="192">
        <v>0</v>
      </c>
      <c r="K20" s="192">
        <v>0</v>
      </c>
      <c r="L20" s="192">
        <v>0</v>
      </c>
      <c r="M20" s="192">
        <v>0</v>
      </c>
      <c r="N20" s="192">
        <v>0</v>
      </c>
      <c r="O20" s="192">
        <v>0</v>
      </c>
      <c r="P20" s="192">
        <v>0</v>
      </c>
      <c r="Q20" s="73">
        <f t="shared" si="0"/>
        <v>-86.85923076924044</v>
      </c>
      <c r="R20" s="507"/>
    </row>
    <row r="21" spans="1:18">
      <c r="A21" s="1151">
        <f t="shared" si="1"/>
        <v>2.1299999999999972</v>
      </c>
      <c r="B21" s="264" t="s">
        <v>1274</v>
      </c>
      <c r="C21" s="1309"/>
      <c r="D21" s="192">
        <v>208773.49999999953</v>
      </c>
      <c r="E21" s="192">
        <v>208773.49999999953</v>
      </c>
      <c r="F21" s="192">
        <v>208773.49999999953</v>
      </c>
      <c r="G21" s="192">
        <v>0</v>
      </c>
      <c r="H21" s="192">
        <v>0</v>
      </c>
      <c r="I21" s="192">
        <v>0</v>
      </c>
      <c r="J21" s="192">
        <v>0</v>
      </c>
      <c r="K21" s="192">
        <v>0</v>
      </c>
      <c r="L21" s="192">
        <v>0</v>
      </c>
      <c r="M21" s="192">
        <v>0</v>
      </c>
      <c r="N21" s="192">
        <v>0</v>
      </c>
      <c r="O21" s="192">
        <v>0</v>
      </c>
      <c r="P21" s="192">
        <v>276031.49999999953</v>
      </c>
      <c r="Q21" s="73">
        <f t="shared" si="0"/>
        <v>69411.692307692167</v>
      </c>
      <c r="R21" s="491"/>
    </row>
    <row r="22" spans="1:18">
      <c r="A22" s="1255">
        <f>+A21+0.01</f>
        <v>2.139999999999997</v>
      </c>
      <c r="B22" s="1197" t="s">
        <v>1524</v>
      </c>
      <c r="C22" s="1587"/>
      <c r="D22" s="192">
        <v>0</v>
      </c>
      <c r="E22" s="192">
        <v>0</v>
      </c>
      <c r="F22" s="192">
        <v>0</v>
      </c>
      <c r="G22" s="192">
        <v>0</v>
      </c>
      <c r="H22" s="192">
        <v>0</v>
      </c>
      <c r="I22" s="192">
        <v>0</v>
      </c>
      <c r="J22" s="192">
        <v>0</v>
      </c>
      <c r="K22" s="192">
        <v>0</v>
      </c>
      <c r="L22" s="192">
        <v>720728</v>
      </c>
      <c r="M22" s="192">
        <v>540546</v>
      </c>
      <c r="N22" s="192">
        <v>360364</v>
      </c>
      <c r="O22" s="192">
        <v>180182</v>
      </c>
      <c r="P22" s="192">
        <v>0</v>
      </c>
      <c r="Q22" s="73">
        <f t="shared" ref="Q22:Q28" si="2">SUM(D22:P22)/13</f>
        <v>138601.53846153847</v>
      </c>
      <c r="R22" s="491"/>
    </row>
    <row r="23" spans="1:18">
      <c r="A23" s="1255">
        <f>+A22+0.01</f>
        <v>2.1499999999999968</v>
      </c>
      <c r="B23" s="1197" t="s">
        <v>1525</v>
      </c>
      <c r="C23" s="1587"/>
      <c r="D23" s="192">
        <v>0</v>
      </c>
      <c r="E23" s="192">
        <v>0</v>
      </c>
      <c r="F23" s="192">
        <v>0</v>
      </c>
      <c r="G23" s="192">
        <v>1463.01</v>
      </c>
      <c r="H23" s="192">
        <v>0</v>
      </c>
      <c r="I23" s="192">
        <v>0</v>
      </c>
      <c r="J23" s="192">
        <v>0</v>
      </c>
      <c r="K23" s="192">
        <v>0</v>
      </c>
      <c r="L23" s="192">
        <v>0</v>
      </c>
      <c r="M23" s="192">
        <v>0</v>
      </c>
      <c r="N23" s="192">
        <v>0</v>
      </c>
      <c r="O23" s="192">
        <v>0</v>
      </c>
      <c r="P23" s="192">
        <v>0</v>
      </c>
      <c r="Q23" s="73">
        <f t="shared" si="2"/>
        <v>112.53923076923077</v>
      </c>
      <c r="R23" s="491"/>
    </row>
    <row r="24" spans="1:18">
      <c r="A24" s="1255">
        <f>+A23+0.01</f>
        <v>2.1599999999999966</v>
      </c>
      <c r="B24" s="1197" t="s">
        <v>1521</v>
      </c>
      <c r="C24" s="1587"/>
      <c r="D24" s="192">
        <v>18195.400000000001</v>
      </c>
      <c r="E24" s="192">
        <v>12130.24</v>
      </c>
      <c r="F24" s="192">
        <v>18195.400000000001</v>
      </c>
      <c r="G24" s="192">
        <v>0</v>
      </c>
      <c r="H24" s="192">
        <v>0</v>
      </c>
      <c r="I24" s="192">
        <v>0</v>
      </c>
      <c r="J24" s="192">
        <v>0</v>
      </c>
      <c r="K24" s="192">
        <v>0</v>
      </c>
      <c r="L24" s="192">
        <v>0</v>
      </c>
      <c r="M24" s="192">
        <v>0</v>
      </c>
      <c r="N24" s="192">
        <v>0</v>
      </c>
      <c r="O24" s="192">
        <v>0</v>
      </c>
      <c r="P24" s="192">
        <v>0</v>
      </c>
      <c r="Q24" s="73">
        <f t="shared" si="2"/>
        <v>3732.3876923076923</v>
      </c>
      <c r="R24" s="491"/>
    </row>
    <row r="25" spans="1:18">
      <c r="A25" s="1255">
        <f t="shared" si="1"/>
        <v>2.1699999999999964</v>
      </c>
      <c r="B25" s="1197" t="s">
        <v>1522</v>
      </c>
      <c r="C25" s="1205"/>
      <c r="D25" s="192">
        <v>0</v>
      </c>
      <c r="E25" s="192">
        <v>0</v>
      </c>
      <c r="F25" s="192">
        <v>0</v>
      </c>
      <c r="G25" s="192">
        <v>0</v>
      </c>
      <c r="H25" s="192">
        <v>0</v>
      </c>
      <c r="I25" s="192">
        <v>0</v>
      </c>
      <c r="J25" s="192">
        <v>0</v>
      </c>
      <c r="K25" s="192">
        <v>0</v>
      </c>
      <c r="L25" s="192">
        <v>0</v>
      </c>
      <c r="M25" s="192">
        <v>0</v>
      </c>
      <c r="N25" s="192">
        <v>0</v>
      </c>
      <c r="O25" s="192">
        <v>0</v>
      </c>
      <c r="P25" s="192">
        <v>15035.16</v>
      </c>
      <c r="Q25" s="73">
        <f t="shared" si="2"/>
        <v>1156.5507692307692</v>
      </c>
      <c r="R25" s="491"/>
    </row>
    <row r="26" spans="1:18">
      <c r="A26" s="1255">
        <f t="shared" si="1"/>
        <v>2.1799999999999962</v>
      </c>
      <c r="B26" s="1197" t="s">
        <v>1526</v>
      </c>
      <c r="C26" s="1205"/>
      <c r="D26" s="192">
        <v>0</v>
      </c>
      <c r="E26" s="192">
        <v>0</v>
      </c>
      <c r="F26" s="192">
        <v>0</v>
      </c>
      <c r="G26" s="192">
        <v>13350</v>
      </c>
      <c r="H26" s="192">
        <v>0</v>
      </c>
      <c r="I26" s="192">
        <v>0</v>
      </c>
      <c r="J26" s="192">
        <v>0</v>
      </c>
      <c r="K26" s="192">
        <v>0</v>
      </c>
      <c r="L26" s="192">
        <v>0</v>
      </c>
      <c r="M26" s="192">
        <v>0</v>
      </c>
      <c r="N26" s="192">
        <v>0</v>
      </c>
      <c r="O26" s="192">
        <v>0</v>
      </c>
      <c r="P26" s="192">
        <v>0</v>
      </c>
      <c r="Q26" s="73">
        <f t="shared" si="2"/>
        <v>1026.9230769230769</v>
      </c>
      <c r="R26" s="491"/>
    </row>
    <row r="27" spans="1:18">
      <c r="A27" s="1255">
        <f t="shared" si="1"/>
        <v>2.1899999999999959</v>
      </c>
      <c r="B27" s="1197" t="s">
        <v>1523</v>
      </c>
      <c r="C27" s="1205"/>
      <c r="D27" s="192">
        <v>0</v>
      </c>
      <c r="E27" s="192">
        <v>0</v>
      </c>
      <c r="F27" s="192">
        <v>0</v>
      </c>
      <c r="G27" s="192">
        <v>0</v>
      </c>
      <c r="H27" s="192">
        <v>0</v>
      </c>
      <c r="I27" s="192">
        <v>0</v>
      </c>
      <c r="J27" s="192">
        <v>0</v>
      </c>
      <c r="K27" s="192">
        <v>0</v>
      </c>
      <c r="L27" s="192">
        <v>0</v>
      </c>
      <c r="M27" s="192">
        <v>0</v>
      </c>
      <c r="N27" s="192">
        <v>0</v>
      </c>
      <c r="O27" s="192">
        <v>0</v>
      </c>
      <c r="P27" s="192">
        <v>402956.18</v>
      </c>
      <c r="Q27" s="73">
        <f t="shared" si="2"/>
        <v>30996.629230769231</v>
      </c>
      <c r="R27" s="491"/>
    </row>
    <row r="28" spans="1:18">
      <c r="A28" s="1255">
        <f>+A27+0.01</f>
        <v>2.1999999999999957</v>
      </c>
      <c r="B28" s="738"/>
      <c r="C28" s="1205" t="s">
        <v>913</v>
      </c>
      <c r="D28" s="192">
        <v>0</v>
      </c>
      <c r="E28" s="192">
        <v>0</v>
      </c>
      <c r="F28" s="192">
        <v>0</v>
      </c>
      <c r="G28" s="192">
        <v>0</v>
      </c>
      <c r="H28" s="192">
        <v>0</v>
      </c>
      <c r="I28" s="192">
        <v>0</v>
      </c>
      <c r="J28" s="192">
        <v>0</v>
      </c>
      <c r="K28" s="192">
        <v>0</v>
      </c>
      <c r="L28" s="192">
        <v>0</v>
      </c>
      <c r="M28" s="192">
        <v>0</v>
      </c>
      <c r="N28" s="192">
        <v>0</v>
      </c>
      <c r="O28" s="192">
        <v>0</v>
      </c>
      <c r="P28" s="192">
        <v>0</v>
      </c>
      <c r="Q28" s="73">
        <f t="shared" si="2"/>
        <v>0</v>
      </c>
      <c r="R28" s="491"/>
    </row>
    <row r="29" spans="1:18">
      <c r="A29" s="1255" t="s">
        <v>904</v>
      </c>
      <c r="B29" s="738"/>
      <c r="C29" s="1205" t="s">
        <v>913</v>
      </c>
      <c r="D29" s="192">
        <v>0</v>
      </c>
      <c r="E29" s="192">
        <v>0</v>
      </c>
      <c r="F29" s="192">
        <v>0</v>
      </c>
      <c r="G29" s="192">
        <v>0</v>
      </c>
      <c r="H29" s="192">
        <v>0</v>
      </c>
      <c r="I29" s="192">
        <v>0</v>
      </c>
      <c r="J29" s="192">
        <v>0</v>
      </c>
      <c r="K29" s="192">
        <v>0</v>
      </c>
      <c r="L29" s="192">
        <v>0</v>
      </c>
      <c r="M29" s="192">
        <v>0</v>
      </c>
      <c r="N29" s="192">
        <v>0</v>
      </c>
      <c r="O29" s="192">
        <v>0</v>
      </c>
      <c r="P29" s="192">
        <v>0</v>
      </c>
      <c r="Q29" s="73">
        <f t="shared" si="0"/>
        <v>0</v>
      </c>
      <c r="R29" s="491"/>
    </row>
    <row r="30" spans="1:18" s="1153" customFormat="1">
      <c r="A30" s="1255" t="s">
        <v>906</v>
      </c>
      <c r="B30" s="738"/>
      <c r="C30" s="1205" t="s">
        <v>913</v>
      </c>
      <c r="D30" s="244">
        <v>0</v>
      </c>
      <c r="E30" s="244">
        <v>0</v>
      </c>
      <c r="F30" s="244">
        <v>0</v>
      </c>
      <c r="G30" s="244">
        <v>0</v>
      </c>
      <c r="H30" s="244">
        <v>0</v>
      </c>
      <c r="I30" s="244">
        <v>0</v>
      </c>
      <c r="J30" s="244">
        <v>0</v>
      </c>
      <c r="K30" s="244">
        <v>0</v>
      </c>
      <c r="L30" s="244">
        <v>0</v>
      </c>
      <c r="M30" s="244">
        <v>0</v>
      </c>
      <c r="N30" s="244">
        <v>0</v>
      </c>
      <c r="O30" s="244">
        <v>0</v>
      </c>
      <c r="P30" s="244">
        <v>0</v>
      </c>
      <c r="Q30" s="532">
        <f t="shared" si="0"/>
        <v>0</v>
      </c>
      <c r="R30" s="507"/>
    </row>
    <row r="31" spans="1:18">
      <c r="A31" s="1149">
        <f>+A8+1</f>
        <v>3</v>
      </c>
      <c r="B31" s="1150" t="s">
        <v>113</v>
      </c>
      <c r="C31" s="1148" t="str">
        <f>+"Sum Line "&amp;A8&amp;" Subparts"</f>
        <v>Sum Line 2 Subparts</v>
      </c>
      <c r="D31" s="1154">
        <f t="shared" ref="D31:Q31" si="3">SUM(D9:D30)</f>
        <v>10710989.049999999</v>
      </c>
      <c r="E31" s="1154">
        <f t="shared" si="3"/>
        <v>11255498.4</v>
      </c>
      <c r="F31" s="1154">
        <f t="shared" si="3"/>
        <v>8505825.3900000006</v>
      </c>
      <c r="G31" s="1154">
        <f t="shared" si="3"/>
        <v>6010371.419999999</v>
      </c>
      <c r="H31" s="1154">
        <f t="shared" si="3"/>
        <v>5924433.6099999994</v>
      </c>
      <c r="I31" s="1154">
        <f t="shared" si="3"/>
        <v>3339706.55</v>
      </c>
      <c r="J31" s="1154">
        <f t="shared" si="3"/>
        <v>4193055.1999999997</v>
      </c>
      <c r="K31" s="1154">
        <f t="shared" si="3"/>
        <v>8042094.1099999994</v>
      </c>
      <c r="L31" s="1154">
        <f t="shared" si="3"/>
        <v>18227946.199999999</v>
      </c>
      <c r="M31" s="1154">
        <f t="shared" si="3"/>
        <v>15284368.67</v>
      </c>
      <c r="N31" s="1154">
        <f t="shared" si="3"/>
        <v>15264795.670000002</v>
      </c>
      <c r="O31" s="1154">
        <f t="shared" si="3"/>
        <v>13199632.710000001</v>
      </c>
      <c r="P31" s="1154">
        <f t="shared" si="3"/>
        <v>11047594.979999999</v>
      </c>
      <c r="Q31" s="1155">
        <f t="shared" si="3"/>
        <v>10077408.61230769</v>
      </c>
    </row>
    <row r="32" spans="1:18">
      <c r="A32" s="1149"/>
      <c r="C32" s="1148"/>
      <c r="D32" s="1154" t="s">
        <v>612</v>
      </c>
      <c r="E32" s="1148"/>
      <c r="F32" s="1148"/>
      <c r="G32" s="1148"/>
      <c r="H32" s="1148"/>
      <c r="I32" s="1148"/>
      <c r="J32" s="1148"/>
      <c r="K32" s="1148"/>
      <c r="L32" s="1148"/>
      <c r="M32" s="1148"/>
      <c r="N32" s="1148"/>
      <c r="O32" s="1148"/>
      <c r="P32" s="1154" t="s">
        <v>613</v>
      </c>
      <c r="Q32" s="1155"/>
    </row>
    <row r="33" spans="1:19" s="1153" customFormat="1">
      <c r="A33" s="1149">
        <f>+A31+1</f>
        <v>4</v>
      </c>
      <c r="B33" s="1156"/>
      <c r="D33" s="1150"/>
      <c r="E33" s="1150"/>
      <c r="F33" s="1150"/>
      <c r="G33" s="1150"/>
      <c r="H33" s="1150"/>
      <c r="I33" s="1150"/>
      <c r="J33" s="1150"/>
      <c r="K33" s="1150"/>
      <c r="L33" s="1150"/>
      <c r="M33" s="1150"/>
      <c r="N33" s="1150"/>
      <c r="O33" s="1150"/>
      <c r="P33" s="1150"/>
      <c r="Q33" s="249"/>
      <c r="R33" s="507"/>
    </row>
    <row r="34" spans="1:19" ht="15">
      <c r="A34" s="1149">
        <f>+A33+1</f>
        <v>5</v>
      </c>
      <c r="B34" s="876"/>
      <c r="C34" s="876"/>
      <c r="D34" s="1741" t="s">
        <v>264</v>
      </c>
      <c r="E34" s="1157" t="s">
        <v>725</v>
      </c>
      <c r="F34" s="1157" t="s">
        <v>317</v>
      </c>
      <c r="G34" s="1157" t="s">
        <v>318</v>
      </c>
      <c r="H34" s="1157" t="s">
        <v>726</v>
      </c>
      <c r="I34" s="1158"/>
      <c r="J34" s="1158"/>
      <c r="K34" s="1158"/>
      <c r="L34" s="1159"/>
      <c r="M34" s="1159"/>
      <c r="N34" s="1159"/>
      <c r="O34" s="1159"/>
      <c r="P34" s="1159"/>
    </row>
    <row r="35" spans="1:19" ht="27.6" customHeight="1">
      <c r="A35" s="1149">
        <f>+A34+1</f>
        <v>6</v>
      </c>
      <c r="B35" s="876" t="str">
        <f>+B7</f>
        <v>Account</v>
      </c>
      <c r="C35" s="876" t="str">
        <f>+C7</f>
        <v>Account Name</v>
      </c>
      <c r="D35" s="1741"/>
      <c r="E35" s="1147" t="s">
        <v>155</v>
      </c>
      <c r="F35" s="483" t="s">
        <v>136</v>
      </c>
      <c r="G35" s="1147" t="s">
        <v>159</v>
      </c>
      <c r="H35" s="1147" t="s">
        <v>144</v>
      </c>
      <c r="I35" s="1158"/>
      <c r="P35" s="1148"/>
      <c r="R35" s="1150"/>
    </row>
    <row r="36" spans="1:19">
      <c r="A36" s="1149">
        <f>+A35+1</f>
        <v>7</v>
      </c>
      <c r="B36" s="1148"/>
      <c r="C36" s="1148"/>
      <c r="D36" s="1148"/>
      <c r="E36" s="1148"/>
      <c r="F36" s="1148"/>
      <c r="G36" s="1148"/>
      <c r="H36" s="1148"/>
    </row>
    <row r="37" spans="1:19">
      <c r="A37" s="1151">
        <f>+A36+0.01</f>
        <v>7.01</v>
      </c>
      <c r="B37" s="1309" t="str">
        <f t="shared" ref="B37:B52" si="4">+B9</f>
        <v>165000: Prepayments</v>
      </c>
      <c r="C37" s="1309"/>
      <c r="D37" s="1161">
        <f t="shared" ref="D37:D54" si="5">+Q9</f>
        <v>155730.63076923077</v>
      </c>
      <c r="E37" s="1160"/>
      <c r="F37" s="471"/>
      <c r="G37" s="1160"/>
      <c r="H37" s="1160">
        <f>+D37</f>
        <v>155730.63076923077</v>
      </c>
      <c r="P37" s="1148"/>
      <c r="R37" s="1150"/>
    </row>
    <row r="38" spans="1:19">
      <c r="A38" s="1151">
        <f>+A37+0.01</f>
        <v>7.02</v>
      </c>
      <c r="B38" s="1309" t="str">
        <f t="shared" si="4"/>
        <v>165100: Prepaid Insurance</v>
      </c>
      <c r="C38" s="1309"/>
      <c r="D38" s="1161">
        <f t="shared" si="5"/>
        <v>2088867.2161538454</v>
      </c>
      <c r="E38" s="1160"/>
      <c r="F38" s="471"/>
      <c r="G38" s="1160">
        <f>+D38</f>
        <v>2088867.2161538454</v>
      </c>
      <c r="H38" s="1160"/>
      <c r="P38" s="1148"/>
      <c r="R38" s="1150"/>
    </row>
    <row r="39" spans="1:19">
      <c r="A39" s="1151">
        <f>+A38+0.01</f>
        <v>7.0299999999999994</v>
      </c>
      <c r="B39" s="1309" t="str">
        <f t="shared" si="4"/>
        <v>165400: Prepaid Ins Directors&amp;Officers</v>
      </c>
      <c r="C39" s="1309"/>
      <c r="D39" s="1161">
        <f t="shared" si="5"/>
        <v>61316.210769230776</v>
      </c>
      <c r="E39" s="1160"/>
      <c r="F39" s="471"/>
      <c r="G39" s="1160"/>
      <c r="H39" s="1160">
        <f>+D39</f>
        <v>61316.210769230776</v>
      </c>
      <c r="P39" s="1148"/>
      <c r="R39" s="1150"/>
    </row>
    <row r="40" spans="1:19">
      <c r="A40" s="1151">
        <f t="shared" ref="A40:A56" si="6">+A39+0.01</f>
        <v>7.0399999999999991</v>
      </c>
      <c r="B40" s="1309" t="str">
        <f t="shared" si="4"/>
        <v>165403: Pp Taxes Franchise-La</v>
      </c>
      <c r="C40" s="1309"/>
      <c r="D40" s="1161">
        <f t="shared" si="5"/>
        <v>50777.461538461539</v>
      </c>
      <c r="E40" s="1160">
        <f>+D40</f>
        <v>50777.461538461539</v>
      </c>
      <c r="F40" s="471"/>
      <c r="G40" s="1160"/>
      <c r="H40" s="1160"/>
      <c r="P40" s="1148"/>
      <c r="R40" s="1150"/>
    </row>
    <row r="41" spans="1:19">
      <c r="A41" s="1151">
        <f t="shared" si="6"/>
        <v>7.0499999999999989</v>
      </c>
      <c r="B41" s="1309" t="str">
        <f t="shared" si="4"/>
        <v>165405: Pp Taxes Gross Receipts-Tx</v>
      </c>
      <c r="C41" s="1309"/>
      <c r="D41" s="1161">
        <f t="shared" si="5"/>
        <v>807723.4615384615</v>
      </c>
      <c r="E41" s="1160">
        <f>+D41</f>
        <v>807723.4615384615</v>
      </c>
      <c r="F41" s="471"/>
      <c r="G41" s="1160"/>
      <c r="H41" s="1160"/>
      <c r="P41" s="1148"/>
      <c r="R41" s="1150"/>
    </row>
    <row r="42" spans="1:19">
      <c r="A42" s="1151">
        <f t="shared" si="6"/>
        <v>7.0599999999999987</v>
      </c>
      <c r="B42" s="1309" t="str">
        <f t="shared" si="4"/>
        <v>165406: Pp Taxes Franchise City-Tx</v>
      </c>
      <c r="C42" s="1309"/>
      <c r="D42" s="1161">
        <f t="shared" si="5"/>
        <v>6184088.8492307682</v>
      </c>
      <c r="E42" s="1160">
        <f>+D42</f>
        <v>6184088.8492307682</v>
      </c>
      <c r="F42" s="471"/>
      <c r="G42" s="1160"/>
      <c r="H42" s="1160"/>
      <c r="P42" s="1148"/>
      <c r="R42" s="1150"/>
    </row>
    <row r="43" spans="1:19">
      <c r="A43" s="1151">
        <f t="shared" si="6"/>
        <v>7.0699999999999985</v>
      </c>
      <c r="B43" s="1309" t="str">
        <f t="shared" si="4"/>
        <v>165409: Pp Taxes-Street Rental</v>
      </c>
      <c r="C43" s="1309"/>
      <c r="D43" s="1161">
        <f t="shared" si="5"/>
        <v>137503.38461538462</v>
      </c>
      <c r="E43" s="1160">
        <f>+D43</f>
        <v>137503.38461538462</v>
      </c>
      <c r="F43" s="471"/>
      <c r="G43" s="1160"/>
      <c r="H43" s="1160"/>
      <c r="P43" s="1148"/>
      <c r="R43" s="1150"/>
    </row>
    <row r="44" spans="1:19">
      <c r="A44" s="1151">
        <f t="shared" si="6"/>
        <v>7.0799999999999983</v>
      </c>
      <c r="B44" s="1309" t="str">
        <f t="shared" si="4"/>
        <v>165510: Prepaid Dues to EEI</v>
      </c>
      <c r="C44" s="1309"/>
      <c r="D44" s="1161">
        <f t="shared" si="5"/>
        <v>90461.410769230759</v>
      </c>
      <c r="E44" s="1160"/>
      <c r="F44" s="471"/>
      <c r="G44" s="1160"/>
      <c r="H44" s="1160">
        <f>+D44</f>
        <v>90461.410769230759</v>
      </c>
      <c r="P44" s="1148"/>
      <c r="R44" s="1150"/>
    </row>
    <row r="45" spans="1:19">
      <c r="A45" s="1151">
        <f t="shared" si="6"/>
        <v>7.0899999999999981</v>
      </c>
      <c r="B45" s="1309" t="str">
        <f t="shared" si="4"/>
        <v>165520: Ad Valorem Taxes</v>
      </c>
      <c r="C45" s="1309"/>
      <c r="D45" s="1161">
        <f t="shared" si="5"/>
        <v>142794.38461538462</v>
      </c>
      <c r="E45" s="1160"/>
      <c r="F45" s="471"/>
      <c r="G45" s="1160">
        <f>+D45</f>
        <v>142794.38461538462</v>
      </c>
      <c r="H45" s="1160"/>
      <c r="P45" s="1148"/>
      <c r="R45" s="1150"/>
    </row>
    <row r="46" spans="1:19">
      <c r="A46" s="1151">
        <f t="shared" si="6"/>
        <v>7.0999999999999979</v>
      </c>
      <c r="B46" s="1309" t="str">
        <f t="shared" si="4"/>
        <v>165603: PPD IQNavigator, Inc</v>
      </c>
      <c r="C46" s="1309"/>
      <c r="D46" s="1161">
        <f t="shared" si="5"/>
        <v>7560</v>
      </c>
      <c r="E46" s="1160"/>
      <c r="F46" s="471"/>
      <c r="G46" s="1160"/>
      <c r="H46" s="1160">
        <f>+D46</f>
        <v>7560</v>
      </c>
      <c r="P46" s="1148"/>
      <c r="R46" s="1150"/>
      <c r="S46" s="1150" t="s">
        <v>1122</v>
      </c>
    </row>
    <row r="47" spans="1:19">
      <c r="A47" s="1151">
        <f t="shared" si="6"/>
        <v>7.1099999999999977</v>
      </c>
      <c r="B47" s="1309" t="str">
        <f t="shared" si="4"/>
        <v>165RNT: Prepaid Rent Expense</v>
      </c>
      <c r="C47" s="1309"/>
      <c r="D47" s="1161">
        <f t="shared" si="5"/>
        <v>105634.2007692308</v>
      </c>
      <c r="E47" s="1160">
        <f>+D47</f>
        <v>105634.2007692308</v>
      </c>
      <c r="F47" s="471"/>
      <c r="G47" s="1160"/>
      <c r="H47" s="1160"/>
      <c r="P47" s="1148"/>
      <c r="R47" s="1150"/>
    </row>
    <row r="48" spans="1:19">
      <c r="A48" s="1151">
        <f t="shared" si="6"/>
        <v>7.1199999999999974</v>
      </c>
      <c r="B48" s="1309" t="str">
        <f t="shared" si="4"/>
        <v>165SAI: PrePaid Designated Servic-SAIC</v>
      </c>
      <c r="C48" s="1309"/>
      <c r="D48" s="1161">
        <f t="shared" si="5"/>
        <v>-86.85923076924044</v>
      </c>
      <c r="E48" s="1160"/>
      <c r="F48" s="471"/>
      <c r="G48" s="1160"/>
      <c r="H48" s="1160">
        <f>+D48</f>
        <v>-86.85923076924044</v>
      </c>
      <c r="P48" s="1148"/>
      <c r="R48" s="1150"/>
    </row>
    <row r="49" spans="1:18">
      <c r="A49" s="1151">
        <f t="shared" si="6"/>
        <v>7.1299999999999972</v>
      </c>
      <c r="B49" s="1309" t="str">
        <f t="shared" si="4"/>
        <v>165U39: Prepaid Life Insurance   Kidco</v>
      </c>
      <c r="C49" s="1309"/>
      <c r="D49" s="1161">
        <f t="shared" si="5"/>
        <v>69411.692307692167</v>
      </c>
      <c r="E49" s="1160"/>
      <c r="F49" s="471"/>
      <c r="G49" s="1160"/>
      <c r="H49" s="1160">
        <f>+D49</f>
        <v>69411.692307692167</v>
      </c>
      <c r="P49" s="1148"/>
      <c r="R49" s="1150"/>
    </row>
    <row r="50" spans="1:18">
      <c r="A50" s="1255">
        <f>+A49+0.01</f>
        <v>7.139999999999997</v>
      </c>
      <c r="B50" s="1588" t="str">
        <f t="shared" si="4"/>
        <v>165004: Pp Taxes-Regulatory Commis.</v>
      </c>
      <c r="C50" s="1588"/>
      <c r="D50" s="1203">
        <f t="shared" si="5"/>
        <v>138601.53846153847</v>
      </c>
      <c r="E50" s="1206">
        <f>+D50</f>
        <v>138601.53846153847</v>
      </c>
      <c r="F50" s="1206"/>
      <c r="G50" s="1206"/>
      <c r="H50" s="1206"/>
      <c r="P50" s="1148"/>
      <c r="R50" s="1150"/>
    </row>
    <row r="51" spans="1:18">
      <c r="A51" s="1255">
        <f t="shared" ref="A51:A52" si="7">+A50+0.01</f>
        <v>7.1499999999999968</v>
      </c>
      <c r="B51" s="1588" t="str">
        <f t="shared" si="4"/>
        <v>165518: PPD GP Strategies Corp</v>
      </c>
      <c r="C51" s="1588"/>
      <c r="D51" s="1203">
        <f t="shared" si="5"/>
        <v>112.53923076923077</v>
      </c>
      <c r="E51" s="1206">
        <f>+D51</f>
        <v>112.53923076923077</v>
      </c>
      <c r="F51" s="1206"/>
      <c r="G51" s="1206"/>
      <c r="H51" s="1206"/>
      <c r="P51" s="1148"/>
      <c r="R51" s="1150"/>
    </row>
    <row r="52" spans="1:18">
      <c r="A52" s="1255">
        <f t="shared" si="7"/>
        <v>7.1599999999999966</v>
      </c>
      <c r="B52" s="1588" t="str">
        <f t="shared" si="4"/>
        <v>165576: Ppd Contract OSI Software Inc</v>
      </c>
      <c r="C52" s="1588"/>
      <c r="D52" s="1203">
        <f t="shared" si="5"/>
        <v>3732.3876923076923</v>
      </c>
      <c r="E52" s="1590">
        <f>+D52</f>
        <v>3732.3876923076923</v>
      </c>
      <c r="F52" s="1206"/>
      <c r="G52" s="1206"/>
      <c r="H52" s="1206"/>
      <c r="P52" s="1148"/>
      <c r="R52" s="1150"/>
    </row>
    <row r="53" spans="1:18">
      <c r="A53" s="1255">
        <f t="shared" si="6"/>
        <v>7.1699999999999964</v>
      </c>
      <c r="B53" s="1588" t="str">
        <f t="shared" ref="B53:B55" si="8">+B25</f>
        <v>165611: PPD all GE companies</v>
      </c>
      <c r="C53" s="1588"/>
      <c r="D53" s="1203">
        <f t="shared" si="5"/>
        <v>1156.5507692307692</v>
      </c>
      <c r="E53" s="1590">
        <f t="shared" ref="E53:E54" si="9">+D53</f>
        <v>1156.5507692307692</v>
      </c>
      <c r="F53" s="1206"/>
      <c r="G53" s="1206"/>
      <c r="H53" s="1206"/>
      <c r="P53" s="1148"/>
      <c r="R53" s="1150"/>
    </row>
    <row r="54" spans="1:18">
      <c r="A54" s="1255">
        <f t="shared" si="6"/>
        <v>7.1799999999999962</v>
      </c>
      <c r="B54" s="1588" t="str">
        <f t="shared" si="8"/>
        <v>165622: PPD Environmental Systems Corp</v>
      </c>
      <c r="C54" s="1588"/>
      <c r="D54" s="1203">
        <f t="shared" si="5"/>
        <v>1026.9230769230769</v>
      </c>
      <c r="E54" s="1206">
        <f t="shared" si="9"/>
        <v>1026.9230769230769</v>
      </c>
      <c r="F54" s="1206"/>
      <c r="G54" s="1206"/>
      <c r="H54" s="1206"/>
      <c r="P54" s="1148"/>
      <c r="R54" s="1150"/>
    </row>
    <row r="55" spans="1:18">
      <c r="A55" s="1255">
        <f t="shared" si="6"/>
        <v>7.1899999999999959</v>
      </c>
      <c r="B55" s="1588" t="str">
        <f t="shared" si="8"/>
        <v>165631: PPD Motorola Solutions</v>
      </c>
      <c r="C55" s="1588"/>
      <c r="D55" s="1203">
        <f t="shared" ref="D55" si="10">+Q27</f>
        <v>30996.629230769231</v>
      </c>
      <c r="E55" s="1206"/>
      <c r="F55" s="1206"/>
      <c r="G55" s="1206"/>
      <c r="H55" s="1206">
        <f>+D55</f>
        <v>30996.629230769231</v>
      </c>
      <c r="P55" s="1148"/>
      <c r="R55" s="1150"/>
    </row>
    <row r="56" spans="1:18">
      <c r="A56" s="1255">
        <f t="shared" si="6"/>
        <v>7.1999999999999957</v>
      </c>
      <c r="B56" s="1204"/>
      <c r="C56" s="1588" t="str">
        <f>+C28</f>
        <v>Additional  Items As Applicable</v>
      </c>
      <c r="D56" s="1203">
        <f>+Q28</f>
        <v>0</v>
      </c>
      <c r="E56" s="1203"/>
      <c r="F56" s="1205"/>
      <c r="G56" s="1206"/>
      <c r="H56" s="1205"/>
      <c r="P56" s="1148"/>
      <c r="R56" s="1150"/>
    </row>
    <row r="57" spans="1:18">
      <c r="A57" s="1255" t="s">
        <v>903</v>
      </c>
      <c r="B57" s="1204"/>
      <c r="C57" s="1588" t="str">
        <f>+C29</f>
        <v>Additional  Items As Applicable</v>
      </c>
      <c r="D57" s="1203">
        <f>+Q29</f>
        <v>0</v>
      </c>
      <c r="E57" s="1203"/>
      <c r="F57" s="1205"/>
      <c r="G57" s="1206"/>
      <c r="H57" s="1205"/>
      <c r="P57" s="1148"/>
      <c r="R57" s="1150"/>
    </row>
    <row r="58" spans="1:18">
      <c r="A58" s="1255" t="s">
        <v>907</v>
      </c>
      <c r="B58" s="1207"/>
      <c r="C58" s="1589" t="str">
        <f>+C30</f>
        <v>Additional  Items As Applicable</v>
      </c>
      <c r="D58" s="1208">
        <f>+Q30</f>
        <v>0</v>
      </c>
      <c r="E58" s="1209"/>
      <c r="F58" s="1210"/>
      <c r="G58" s="1211"/>
      <c r="H58" s="1208"/>
      <c r="P58" s="1148"/>
      <c r="R58" s="1150"/>
    </row>
    <row r="59" spans="1:18">
      <c r="A59" s="1149">
        <f>+A36+1</f>
        <v>8</v>
      </c>
      <c r="B59" s="1152" t="str">
        <f>+B31</f>
        <v>Total</v>
      </c>
      <c r="C59" s="1148" t="str">
        <f>+"Sum Line "&amp;A36&amp;" Subparts"</f>
        <v>Sum Line 7 Subparts</v>
      </c>
      <c r="D59" s="1160">
        <f>SUM(D37:D58)</f>
        <v>10077408.61230769</v>
      </c>
      <c r="E59" s="1161">
        <f>SUM(E37:E58)</f>
        <v>7430357.2969230758</v>
      </c>
      <c r="F59" s="1161">
        <f>SUM(F37:F58)</f>
        <v>0</v>
      </c>
      <c r="G59" s="1161">
        <f>SUM(G37:G58)</f>
        <v>2231661.6007692302</v>
      </c>
      <c r="H59" s="1161">
        <f>SUM(H37:H58)</f>
        <v>415389.71461538447</v>
      </c>
      <c r="I59" s="1148"/>
      <c r="J59" s="1148"/>
      <c r="K59" s="1148"/>
      <c r="L59" s="1148"/>
      <c r="M59" s="1148"/>
      <c r="N59" s="1148"/>
      <c r="O59" s="1148"/>
      <c r="P59" s="1148"/>
      <c r="Q59" s="1148"/>
      <c r="R59" s="1150"/>
    </row>
    <row r="60" spans="1:18">
      <c r="A60" s="1149"/>
      <c r="B60" s="1148"/>
      <c r="C60" s="1148"/>
      <c r="D60" s="1148"/>
      <c r="E60" s="1148"/>
      <c r="F60" s="1148"/>
      <c r="G60" s="1148"/>
      <c r="H60" s="1148"/>
      <c r="I60" s="1148"/>
      <c r="J60" s="1148"/>
      <c r="K60" s="1148"/>
      <c r="L60" s="1148"/>
      <c r="M60" s="1148"/>
      <c r="N60" s="1148"/>
      <c r="O60" s="1148"/>
      <c r="P60" s="1148"/>
      <c r="Q60" s="1148"/>
    </row>
    <row r="61" spans="1:18">
      <c r="A61" s="1149" t="s">
        <v>295</v>
      </c>
      <c r="B61" s="1148"/>
      <c r="C61" s="1148"/>
      <c r="D61" s="1148"/>
      <c r="E61" s="1148"/>
      <c r="F61" s="1148"/>
      <c r="G61" s="1148"/>
      <c r="H61" s="1148"/>
      <c r="I61" s="1148"/>
      <c r="J61" s="1148"/>
      <c r="K61" s="1148"/>
      <c r="L61" s="1148"/>
      <c r="M61" s="1148"/>
      <c r="N61" s="1148"/>
      <c r="O61" s="1148"/>
      <c r="P61" s="1148"/>
      <c r="Q61" s="1148"/>
    </row>
    <row r="62" spans="1:18" ht="12.75" customHeight="1">
      <c r="A62" s="1157" t="s">
        <v>170</v>
      </c>
      <c r="B62" s="1706" t="s">
        <v>1158</v>
      </c>
      <c r="C62" s="1706"/>
      <c r="D62" s="1706"/>
      <c r="E62" s="1706"/>
      <c r="F62" s="1706"/>
      <c r="G62" s="1706"/>
      <c r="H62" s="1706"/>
      <c r="I62" s="1706"/>
      <c r="J62" s="1706"/>
      <c r="K62" s="1706"/>
      <c r="L62" s="1706"/>
      <c r="M62" s="1706"/>
      <c r="N62" s="1706"/>
      <c r="O62" s="1706"/>
      <c r="P62" s="1706"/>
      <c r="Q62" s="1706"/>
    </row>
    <row r="63" spans="1:18" ht="12.75" customHeight="1">
      <c r="A63" s="1157" t="s">
        <v>316</v>
      </c>
      <c r="B63" s="1706" t="s">
        <v>721</v>
      </c>
      <c r="C63" s="1706"/>
      <c r="D63" s="1706"/>
      <c r="E63" s="1706"/>
      <c r="F63" s="1706"/>
      <c r="G63" s="1706"/>
      <c r="H63" s="1706"/>
      <c r="I63" s="1706"/>
      <c r="J63" s="1706"/>
      <c r="K63" s="1706"/>
      <c r="L63" s="1706"/>
      <c r="M63" s="1706"/>
      <c r="N63" s="1706"/>
      <c r="O63" s="1706"/>
      <c r="P63" s="1706"/>
      <c r="Q63" s="1706"/>
    </row>
    <row r="64" spans="1:18">
      <c r="A64" s="1162" t="s">
        <v>317</v>
      </c>
      <c r="B64" s="1706" t="s">
        <v>727</v>
      </c>
      <c r="C64" s="1706"/>
      <c r="D64" s="1706"/>
      <c r="E64" s="1706"/>
      <c r="F64" s="1706"/>
      <c r="G64" s="1706"/>
      <c r="H64" s="1706"/>
      <c r="I64" s="1706"/>
      <c r="J64" s="1706"/>
      <c r="K64" s="1706"/>
      <c r="L64" s="1706"/>
      <c r="M64" s="1706"/>
      <c r="N64" s="1706"/>
      <c r="O64" s="1706"/>
      <c r="P64" s="1706"/>
      <c r="Q64" s="1706"/>
    </row>
    <row r="65" spans="1:18">
      <c r="A65" s="1162" t="s">
        <v>318</v>
      </c>
      <c r="B65" s="1706" t="s">
        <v>722</v>
      </c>
      <c r="C65" s="1706"/>
      <c r="D65" s="1706"/>
      <c r="E65" s="1706"/>
      <c r="F65" s="1706"/>
      <c r="G65" s="1706"/>
      <c r="H65" s="1706"/>
      <c r="I65" s="1706"/>
      <c r="J65" s="1706"/>
      <c r="K65" s="1706"/>
      <c r="L65" s="1706"/>
      <c r="M65" s="1706"/>
      <c r="N65" s="1706"/>
      <c r="O65" s="1706"/>
      <c r="P65" s="1706"/>
      <c r="Q65" s="1706"/>
      <c r="R65" s="1150"/>
    </row>
    <row r="66" spans="1:18" ht="13.2" customHeight="1">
      <c r="A66" s="1162" t="s">
        <v>319</v>
      </c>
      <c r="B66" s="1744" t="s">
        <v>724</v>
      </c>
      <c r="C66" s="1744"/>
      <c r="D66" s="1744"/>
      <c r="E66" s="1744"/>
      <c r="F66" s="1744"/>
      <c r="G66" s="1744"/>
      <c r="H66" s="1744"/>
      <c r="I66" s="1744"/>
      <c r="J66" s="1744"/>
      <c r="K66" s="1744"/>
      <c r="L66" s="1744"/>
      <c r="M66" s="1744"/>
      <c r="N66" s="1744"/>
      <c r="O66" s="1744"/>
      <c r="P66" s="1744"/>
      <c r="Q66" s="1744"/>
      <c r="R66" s="1150"/>
    </row>
    <row r="67" spans="1:18" ht="14.4" customHeight="1">
      <c r="A67" s="1162" t="s">
        <v>712</v>
      </c>
      <c r="B67" s="1740" t="s">
        <v>723</v>
      </c>
      <c r="C67" s="1740"/>
      <c r="D67" s="1740"/>
      <c r="E67" s="1740"/>
      <c r="F67" s="1740"/>
      <c r="G67" s="1740"/>
      <c r="H67" s="1740"/>
      <c r="I67" s="1740"/>
      <c r="J67" s="1740"/>
      <c r="K67" s="1740"/>
      <c r="L67" s="1740"/>
      <c r="M67" s="1740"/>
      <c r="N67" s="1740"/>
      <c r="O67" s="1740"/>
      <c r="P67" s="1740"/>
      <c r="Q67" s="1740"/>
      <c r="R67" s="1150"/>
    </row>
    <row r="68" spans="1:18">
      <c r="A68" s="1163"/>
      <c r="R68" s="1150"/>
    </row>
  </sheetData>
  <mergeCells count="11">
    <mergeCell ref="B67:Q67"/>
    <mergeCell ref="D34:D35"/>
    <mergeCell ref="A1:Q1"/>
    <mergeCell ref="A3:Q3"/>
    <mergeCell ref="Q6:Q7"/>
    <mergeCell ref="A2:Q2"/>
    <mergeCell ref="B62:Q62"/>
    <mergeCell ref="B63:Q63"/>
    <mergeCell ref="B64:Q64"/>
    <mergeCell ref="B65:Q65"/>
    <mergeCell ref="B66:Q66"/>
  </mergeCells>
  <printOptions horizontalCentered="1"/>
  <pageMargins left="0.7" right="0.7" top="0.7" bottom="0.7" header="0.3" footer="0.5"/>
  <pageSetup scale="59" orientation="landscape" r:id="rId1"/>
  <headerFooter>
    <oddFooter>&amp;CPage &amp;P of &amp;N&amp;R&amp;A</oddFooter>
  </headerFooter>
  <ignoredErrors>
    <ignoredError sqref="F34:G34 A62:A67"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18"/>
  <sheetViews>
    <sheetView workbookViewId="0">
      <pane xSplit="2" topLeftCell="C1" activePane="topRight" state="frozenSplit"/>
      <selection activeCell="A9" sqref="A9"/>
      <selection pane="topRight" activeCell="A9" sqref="A9"/>
    </sheetView>
  </sheetViews>
  <sheetFormatPr defaultColWidth="9.109375" defaultRowHeight="13.2"/>
  <cols>
    <col min="1" max="1" width="3" style="742" bestFit="1" customWidth="1"/>
    <col min="2" max="2" width="17.6640625" style="742" customWidth="1"/>
    <col min="3" max="15" width="11.33203125" style="742" bestFit="1" customWidth="1"/>
    <col min="16" max="16" width="11.33203125" style="733" bestFit="1" customWidth="1"/>
    <col min="17" max="16384" width="9.109375" style="742"/>
  </cols>
  <sheetData>
    <row r="1" spans="1:16">
      <c r="A1" s="1746" t="str">
        <f>+'MISO Cover'!C6</f>
        <v>Entergy Texas, Inc.</v>
      </c>
      <c r="B1" s="1746"/>
      <c r="C1" s="1746"/>
      <c r="D1" s="1746"/>
      <c r="E1" s="1746"/>
      <c r="F1" s="1746"/>
      <c r="G1" s="1746"/>
      <c r="H1" s="1746"/>
      <c r="I1" s="1746"/>
      <c r="J1" s="1746"/>
      <c r="K1" s="1746"/>
      <c r="L1" s="1746"/>
      <c r="M1" s="1746"/>
      <c r="N1" s="1746"/>
      <c r="O1" s="1746"/>
      <c r="P1" s="1746"/>
    </row>
    <row r="2" spans="1:16">
      <c r="A2" s="1747" t="s">
        <v>878</v>
      </c>
      <c r="B2" s="1747"/>
      <c r="C2" s="1747"/>
      <c r="D2" s="1747"/>
      <c r="E2" s="1747"/>
      <c r="F2" s="1747"/>
      <c r="G2" s="1747"/>
      <c r="H2" s="1747"/>
      <c r="I2" s="1747"/>
      <c r="J2" s="1747"/>
      <c r="K2" s="1747"/>
      <c r="L2" s="1747"/>
      <c r="M2" s="1747"/>
      <c r="N2" s="1747"/>
      <c r="O2" s="1747"/>
      <c r="P2" s="1747"/>
    </row>
    <row r="3" spans="1:16">
      <c r="A3" s="1746" t="str">
        <f>+'MISO Cover'!K4</f>
        <v>For  the 12 Months Ended 12/31/2016</v>
      </c>
      <c r="B3" s="1746"/>
      <c r="C3" s="1746"/>
      <c r="D3" s="1746"/>
      <c r="E3" s="1746"/>
      <c r="F3" s="1746"/>
      <c r="G3" s="1746"/>
      <c r="H3" s="1746"/>
      <c r="I3" s="1746"/>
      <c r="J3" s="1746"/>
      <c r="K3" s="1746"/>
      <c r="L3" s="1746"/>
      <c r="M3" s="1746"/>
      <c r="N3" s="1746"/>
      <c r="O3" s="1746"/>
      <c r="P3" s="1746"/>
    </row>
    <row r="4" spans="1:16">
      <c r="B4" s="1745"/>
      <c r="C4" s="1745"/>
      <c r="D4" s="1745"/>
      <c r="E4" s="1745"/>
      <c r="F4" s="1745"/>
      <c r="G4" s="1745"/>
      <c r="H4" s="1745"/>
      <c r="I4" s="1745"/>
      <c r="J4" s="1745"/>
      <c r="K4" s="1745"/>
      <c r="L4" s="1745"/>
      <c r="M4" s="1745"/>
      <c r="N4" s="1745"/>
      <c r="O4" s="1745"/>
    </row>
    <row r="5" spans="1:16" s="743" customFormat="1">
      <c r="A5" s="743" t="s">
        <v>277</v>
      </c>
      <c r="B5" s="561" t="s">
        <v>67</v>
      </c>
      <c r="C5" s="561" t="s">
        <v>114</v>
      </c>
      <c r="D5" s="561" t="s">
        <v>55</v>
      </c>
      <c r="E5" s="561" t="s">
        <v>68</v>
      </c>
      <c r="F5" s="561" t="s">
        <v>66</v>
      </c>
      <c r="G5" s="561" t="s">
        <v>156</v>
      </c>
      <c r="H5" s="561" t="s">
        <v>69</v>
      </c>
      <c r="I5" s="561" t="s">
        <v>169</v>
      </c>
      <c r="J5" s="561" t="s">
        <v>59</v>
      </c>
      <c r="K5" s="561" t="s">
        <v>60</v>
      </c>
      <c r="L5" s="561" t="s">
        <v>71</v>
      </c>
      <c r="M5" s="561" t="s">
        <v>98</v>
      </c>
      <c r="N5" s="561" t="s">
        <v>99</v>
      </c>
      <c r="O5" s="561" t="s">
        <v>157</v>
      </c>
      <c r="P5" s="744" t="s">
        <v>219</v>
      </c>
    </row>
    <row r="6" spans="1:16">
      <c r="B6" s="158"/>
      <c r="C6" s="510"/>
      <c r="D6" s="510"/>
      <c r="E6" s="510"/>
      <c r="F6" s="510"/>
      <c r="G6" s="510"/>
      <c r="H6" s="510"/>
      <c r="I6" s="510"/>
      <c r="J6" s="745"/>
      <c r="K6" s="745"/>
      <c r="L6" s="745"/>
      <c r="M6" s="745"/>
      <c r="N6" s="745"/>
      <c r="O6" s="745"/>
      <c r="P6" s="733" t="s">
        <v>477</v>
      </c>
    </row>
    <row r="7" spans="1:16">
      <c r="A7" s="743">
        <v>1</v>
      </c>
      <c r="B7" s="158"/>
      <c r="C7" s="1409" t="s">
        <v>37</v>
      </c>
      <c r="D7" s="1409" t="s">
        <v>27</v>
      </c>
      <c r="E7" s="1409" t="s">
        <v>28</v>
      </c>
      <c r="F7" s="1409" t="s">
        <v>29</v>
      </c>
      <c r="G7" s="1409" t="s">
        <v>30</v>
      </c>
      <c r="H7" s="1409" t="s">
        <v>26</v>
      </c>
      <c r="I7" s="1409" t="s">
        <v>31</v>
      </c>
      <c r="J7" s="1409" t="s">
        <v>32</v>
      </c>
      <c r="K7" s="1409" t="s">
        <v>33</v>
      </c>
      <c r="L7" s="1409" t="s">
        <v>34</v>
      </c>
      <c r="M7" s="1409" t="s">
        <v>35</v>
      </c>
      <c r="N7" s="1409" t="s">
        <v>36</v>
      </c>
      <c r="O7" s="1409" t="s">
        <v>37</v>
      </c>
      <c r="P7" s="1414" t="s">
        <v>141</v>
      </c>
    </row>
    <row r="8" spans="1:16">
      <c r="A8" s="743">
        <f>+A7+1</f>
        <v>2</v>
      </c>
      <c r="B8" s="159" t="s">
        <v>187</v>
      </c>
      <c r="C8" s="1254">
        <v>90286.88</v>
      </c>
      <c r="D8" s="1254">
        <v>90286.88</v>
      </c>
      <c r="E8" s="1254">
        <v>90286.88</v>
      </c>
      <c r="F8" s="1254">
        <v>90286.88</v>
      </c>
      <c r="G8" s="1254">
        <v>90286.88</v>
      </c>
      <c r="H8" s="1254">
        <v>90286.88</v>
      </c>
      <c r="I8" s="1254">
        <v>90286.88</v>
      </c>
      <c r="J8" s="1254">
        <v>90286.88</v>
      </c>
      <c r="K8" s="1254">
        <v>90286.88</v>
      </c>
      <c r="L8" s="1254">
        <v>90286.88</v>
      </c>
      <c r="M8" s="1254">
        <v>90286.88</v>
      </c>
      <c r="N8" s="1254">
        <v>90286.88</v>
      </c>
      <c r="O8" s="1254">
        <v>90286.88</v>
      </c>
      <c r="P8" s="733">
        <f>+SUM(C8:O8)/13</f>
        <v>90286.87999999999</v>
      </c>
    </row>
    <row r="9" spans="1:16">
      <c r="A9" s="743">
        <f t="shared" ref="A9:A15" si="0">+A8+1</f>
        <v>3</v>
      </c>
      <c r="B9" s="159" t="s">
        <v>188</v>
      </c>
      <c r="C9" s="1254">
        <v>1685485.95</v>
      </c>
      <c r="D9" s="1254">
        <v>1685485.95</v>
      </c>
      <c r="E9" s="1254">
        <v>1685485.95</v>
      </c>
      <c r="F9" s="1254">
        <v>1685485.95</v>
      </c>
      <c r="G9" s="1254">
        <v>1685485.95</v>
      </c>
      <c r="H9" s="1254">
        <v>1685485.95</v>
      </c>
      <c r="I9" s="1254">
        <v>1685485.95</v>
      </c>
      <c r="J9" s="1254">
        <v>1685485.95</v>
      </c>
      <c r="K9" s="1254">
        <v>1685485.95</v>
      </c>
      <c r="L9" s="1254">
        <v>1685485.95</v>
      </c>
      <c r="M9" s="1254">
        <v>1685485.95</v>
      </c>
      <c r="N9" s="1254">
        <v>1685485.95</v>
      </c>
      <c r="O9" s="1254">
        <v>1685485.95</v>
      </c>
      <c r="P9" s="733">
        <f t="shared" ref="P9:P14" si="1">+SUM(C9:O9)/13</f>
        <v>1685485.9499999995</v>
      </c>
    </row>
    <row r="10" spans="1:16">
      <c r="A10" s="743">
        <f t="shared" si="0"/>
        <v>4</v>
      </c>
      <c r="B10" s="159" t="s">
        <v>189</v>
      </c>
      <c r="C10" s="1254"/>
      <c r="D10" s="1254"/>
      <c r="E10" s="1254"/>
      <c r="F10" s="1254"/>
      <c r="G10" s="1254"/>
      <c r="H10" s="1254"/>
      <c r="I10" s="1254"/>
      <c r="J10" s="1254"/>
      <c r="K10" s="1254"/>
      <c r="L10" s="1254"/>
      <c r="M10" s="1254"/>
      <c r="N10" s="1254"/>
      <c r="O10" s="1254"/>
      <c r="P10" s="733">
        <f t="shared" si="1"/>
        <v>0</v>
      </c>
    </row>
    <row r="11" spans="1:16">
      <c r="A11" s="743">
        <f t="shared" si="0"/>
        <v>5</v>
      </c>
      <c r="B11" s="158" t="s">
        <v>136</v>
      </c>
      <c r="C11" s="1254">
        <v>8691151.9800000004</v>
      </c>
      <c r="D11" s="1254">
        <v>8691151.9800000004</v>
      </c>
      <c r="E11" s="1254">
        <v>8691151.9800000004</v>
      </c>
      <c r="F11" s="1254">
        <v>8691151.9800000004</v>
      </c>
      <c r="G11" s="1254">
        <v>8691151.9800000004</v>
      </c>
      <c r="H11" s="1254">
        <v>8691151.9800000004</v>
      </c>
      <c r="I11" s="1254">
        <v>8691151.9800000004</v>
      </c>
      <c r="J11" s="1254">
        <v>8691151.9800000004</v>
      </c>
      <c r="K11" s="1254">
        <v>8691151.9800000004</v>
      </c>
      <c r="L11" s="1254">
        <v>8691151.9800000004</v>
      </c>
      <c r="M11" s="1254">
        <v>8691151.9800000004</v>
      </c>
      <c r="N11" s="1254">
        <v>8691151.9800000004</v>
      </c>
      <c r="O11" s="1254">
        <v>8691151.9800000004</v>
      </c>
      <c r="P11" s="1451">
        <f>+SUM(C11:O11)/13</f>
        <v>8691151.9800000023</v>
      </c>
    </row>
    <row r="12" spans="1:16">
      <c r="A12" s="743">
        <f t="shared" si="0"/>
        <v>6</v>
      </c>
      <c r="B12" s="158" t="s">
        <v>20</v>
      </c>
      <c r="C12" s="1254">
        <v>237304.68000000002</v>
      </c>
      <c r="D12" s="1254">
        <v>237304.68000000002</v>
      </c>
      <c r="E12" s="1254">
        <v>237304.68000000002</v>
      </c>
      <c r="F12" s="1254">
        <v>237304.68000000002</v>
      </c>
      <c r="G12" s="1254">
        <v>237304.68000000002</v>
      </c>
      <c r="H12" s="1254">
        <v>237304.68000000002</v>
      </c>
      <c r="I12" s="1254">
        <v>237304.68000000002</v>
      </c>
      <c r="J12" s="1254">
        <v>237304.68000000002</v>
      </c>
      <c r="K12" s="1254">
        <v>237304.68000000002</v>
      </c>
      <c r="L12" s="1254">
        <v>237304.68000000002</v>
      </c>
      <c r="M12" s="1254">
        <v>237304.68000000002</v>
      </c>
      <c r="N12" s="1254">
        <v>237304.68000000002</v>
      </c>
      <c r="O12" s="1254">
        <v>237304.68000000002</v>
      </c>
      <c r="P12" s="733">
        <f t="shared" si="1"/>
        <v>237304.68000000005</v>
      </c>
    </row>
    <row r="13" spans="1:16">
      <c r="A13" s="743">
        <f t="shared" si="0"/>
        <v>7</v>
      </c>
      <c r="B13" s="158" t="s">
        <v>190</v>
      </c>
      <c r="C13" s="1254"/>
      <c r="D13" s="1254"/>
      <c r="E13" s="1254"/>
      <c r="F13" s="1254"/>
      <c r="G13" s="1254"/>
      <c r="H13" s="1254"/>
      <c r="I13" s="1254"/>
      <c r="J13" s="1254"/>
      <c r="K13" s="1254"/>
      <c r="L13" s="1254"/>
      <c r="M13" s="1254"/>
      <c r="N13" s="1254"/>
      <c r="O13" s="1254"/>
      <c r="P13" s="733">
        <f t="shared" si="1"/>
        <v>0</v>
      </c>
    </row>
    <row r="14" spans="1:16">
      <c r="A14" s="743">
        <f t="shared" si="0"/>
        <v>8</v>
      </c>
      <c r="B14" s="158" t="s">
        <v>191</v>
      </c>
      <c r="C14" s="1412">
        <v>377255.67999999999</v>
      </c>
      <c r="D14" s="1412">
        <v>377255.67999999999</v>
      </c>
      <c r="E14" s="1412">
        <v>377255.67999999999</v>
      </c>
      <c r="F14" s="1412">
        <v>377255.67999999999</v>
      </c>
      <c r="G14" s="1412">
        <v>377255.67999999999</v>
      </c>
      <c r="H14" s="1412">
        <v>377255.67999999999</v>
      </c>
      <c r="I14" s="1412">
        <v>377255.67999999999</v>
      </c>
      <c r="J14" s="1412">
        <v>377255.67999999999</v>
      </c>
      <c r="K14" s="1412">
        <v>377255.67999999999</v>
      </c>
      <c r="L14" s="1412">
        <v>377255.67999999999</v>
      </c>
      <c r="M14" s="1412">
        <v>377255.67999999999</v>
      </c>
      <c r="N14" s="1412">
        <v>377255.67999999999</v>
      </c>
      <c r="O14" s="1412">
        <v>377255.67999999999</v>
      </c>
      <c r="P14" s="1413">
        <f t="shared" si="1"/>
        <v>377255.68000000005</v>
      </c>
    </row>
    <row r="15" spans="1:16">
      <c r="A15" s="743">
        <f t="shared" si="0"/>
        <v>9</v>
      </c>
      <c r="B15" s="158" t="s">
        <v>455</v>
      </c>
      <c r="C15" s="511">
        <f>SUM(C8:C14)</f>
        <v>11081485.17</v>
      </c>
      <c r="D15" s="511">
        <f t="shared" ref="D15:O15" si="2">SUM(D8:D14)</f>
        <v>11081485.17</v>
      </c>
      <c r="E15" s="511">
        <f t="shared" si="2"/>
        <v>11081485.17</v>
      </c>
      <c r="F15" s="511">
        <f t="shared" si="2"/>
        <v>11081485.17</v>
      </c>
      <c r="G15" s="511">
        <f t="shared" si="2"/>
        <v>11081485.17</v>
      </c>
      <c r="H15" s="511">
        <f t="shared" si="2"/>
        <v>11081485.17</v>
      </c>
      <c r="I15" s="511">
        <f t="shared" si="2"/>
        <v>11081485.17</v>
      </c>
      <c r="J15" s="511">
        <f t="shared" si="2"/>
        <v>11081485.17</v>
      </c>
      <c r="K15" s="511">
        <f t="shared" si="2"/>
        <v>11081485.17</v>
      </c>
      <c r="L15" s="511">
        <f t="shared" si="2"/>
        <v>11081485.17</v>
      </c>
      <c r="M15" s="511">
        <f t="shared" si="2"/>
        <v>11081485.17</v>
      </c>
      <c r="N15" s="511">
        <f t="shared" si="2"/>
        <v>11081485.17</v>
      </c>
      <c r="O15" s="511">
        <f t="shared" si="2"/>
        <v>11081485.17</v>
      </c>
      <c r="P15" s="733">
        <f>SUM(P8:P14)</f>
        <v>11081485.170000002</v>
      </c>
    </row>
    <row r="16" spans="1:16">
      <c r="A16" s="743"/>
      <c r="B16" s="158"/>
      <c r="C16" s="877" t="s">
        <v>170</v>
      </c>
      <c r="D16" s="511"/>
      <c r="E16" s="511"/>
      <c r="F16" s="511"/>
      <c r="G16" s="511"/>
      <c r="H16" s="511"/>
      <c r="I16" s="511"/>
      <c r="J16" s="746"/>
      <c r="K16" s="746"/>
      <c r="L16" s="746"/>
      <c r="M16" s="746"/>
      <c r="N16" s="746"/>
      <c r="O16" s="877" t="s">
        <v>170</v>
      </c>
    </row>
    <row r="17" spans="1:9">
      <c r="A17" s="158" t="s">
        <v>192</v>
      </c>
      <c r="C17" s="158"/>
      <c r="D17" s="158"/>
      <c r="E17" s="158"/>
      <c r="F17" s="158"/>
      <c r="G17" s="158"/>
      <c r="H17" s="158"/>
      <c r="I17" s="158"/>
    </row>
    <row r="18" spans="1:9">
      <c r="A18" s="747" t="s">
        <v>170</v>
      </c>
      <c r="B18" s="159" t="s">
        <v>561</v>
      </c>
      <c r="C18" s="158"/>
      <c r="D18" s="158"/>
      <c r="E18" s="158"/>
      <c r="F18" s="158"/>
      <c r="G18" s="158"/>
      <c r="H18" s="158"/>
      <c r="I18" s="158"/>
    </row>
  </sheetData>
  <mergeCells count="4">
    <mergeCell ref="B4:O4"/>
    <mergeCell ref="A1:P1"/>
    <mergeCell ref="A3:P3"/>
    <mergeCell ref="A2:P2"/>
  </mergeCells>
  <phoneticPr fontId="88" type="noConversion"/>
  <printOptions horizontalCentered="1"/>
  <pageMargins left="0.7" right="0.7" top="0.7" bottom="0.7" header="0.3" footer="0.5"/>
  <pageSetup scale="69" orientation="landscape" r:id="rId1"/>
  <headerFooter>
    <oddFooter>&amp;CPage &amp;P of &amp;N&amp;R&amp;A</oddFooter>
  </headerFooter>
  <ignoredErrors>
    <ignoredError sqref="C15:O15" unlockedFormula="1"/>
    <ignoredError sqref="C16:O16" numberStoredAsText="1" unlockedFormula="1"/>
    <ignoredError sqref="A18"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H81"/>
  <sheetViews>
    <sheetView zoomScaleNormal="100" workbookViewId="0">
      <selection activeCell="A9" sqref="A9"/>
    </sheetView>
  </sheetViews>
  <sheetFormatPr defaultColWidth="8.88671875" defaultRowHeight="13.2"/>
  <cols>
    <col min="1" max="1" width="4.44140625" style="682" customWidth="1"/>
    <col min="2" max="2" width="54.33203125" style="155" customWidth="1"/>
    <col min="3" max="4" width="14.88671875" style="155" bestFit="1" customWidth="1"/>
    <col min="5" max="5" width="16" style="155" customWidth="1"/>
    <col min="6" max="7" width="8.88671875" style="155"/>
    <col min="8" max="8" width="10.88671875" style="155" bestFit="1" customWidth="1"/>
    <col min="9" max="16384" width="8.88671875" style="155"/>
  </cols>
  <sheetData>
    <row r="1" spans="1:8">
      <c r="A1" s="1749" t="str">
        <f>+'MISO Cover'!C6</f>
        <v>Entergy Texas, Inc.</v>
      </c>
      <c r="B1" s="1749"/>
      <c r="C1" s="1749"/>
      <c r="D1" s="1749"/>
      <c r="E1" s="1749"/>
      <c r="F1" s="792"/>
      <c r="H1" s="793"/>
    </row>
    <row r="2" spans="1:8">
      <c r="A2" s="1738" t="s">
        <v>917</v>
      </c>
      <c r="B2" s="1738"/>
      <c r="C2" s="1738"/>
      <c r="D2" s="1738"/>
      <c r="E2" s="1738"/>
      <c r="F2" s="574"/>
    </row>
    <row r="3" spans="1:8">
      <c r="A3" s="1749" t="str">
        <f>+'MISO Cover'!K4</f>
        <v>For  the 12 Months Ended 12/31/2016</v>
      </c>
      <c r="B3" s="1749"/>
      <c r="C3" s="1749"/>
      <c r="D3" s="1749"/>
      <c r="E3" s="1749"/>
      <c r="F3" s="794"/>
    </row>
    <row r="4" spans="1:8">
      <c r="A4" s="781"/>
    </row>
    <row r="5" spans="1:8">
      <c r="A5" s="679"/>
      <c r="B5" s="795"/>
      <c r="E5" s="724" t="s">
        <v>664</v>
      </c>
    </row>
    <row r="6" spans="1:8">
      <c r="A6" s="680" t="s">
        <v>277</v>
      </c>
      <c r="B6" s="782" t="s">
        <v>67</v>
      </c>
      <c r="C6" s="783" t="s">
        <v>114</v>
      </c>
      <c r="D6" s="783" t="s">
        <v>55</v>
      </c>
      <c r="E6" s="783" t="s">
        <v>860</v>
      </c>
    </row>
    <row r="7" spans="1:8">
      <c r="A7" s="837">
        <v>1</v>
      </c>
      <c r="B7" s="1418" t="s">
        <v>173</v>
      </c>
      <c r="C7" s="1418" t="s">
        <v>859</v>
      </c>
      <c r="D7" s="1418" t="s">
        <v>818</v>
      </c>
      <c r="E7" s="1418" t="s">
        <v>480</v>
      </c>
      <c r="H7" s="796"/>
    </row>
    <row r="8" spans="1:8" s="157" customFormat="1">
      <c r="A8" s="838">
        <f>+A7+0.01</f>
        <v>1.01</v>
      </c>
      <c r="B8" s="575" t="s">
        <v>174</v>
      </c>
      <c r="C8" s="905">
        <v>0</v>
      </c>
      <c r="D8" s="905">
        <v>0</v>
      </c>
      <c r="E8" s="963">
        <f>+C8+D8</f>
        <v>0</v>
      </c>
      <c r="F8" s="578"/>
      <c r="H8" s="605"/>
    </row>
    <row r="9" spans="1:8" s="1168" customFormat="1">
      <c r="A9" s="838">
        <f t="shared" ref="A9:A26" si="0">+A8+0.01</f>
        <v>1.02</v>
      </c>
      <c r="B9" s="575" t="s">
        <v>891</v>
      </c>
      <c r="C9" s="905">
        <v>0</v>
      </c>
      <c r="D9" s="905">
        <v>0</v>
      </c>
      <c r="E9" s="963">
        <f t="shared" ref="E9:E15" si="1">+C9+D9</f>
        <v>0</v>
      </c>
      <c r="F9" s="578"/>
      <c r="H9" s="605"/>
    </row>
    <row r="10" spans="1:8" s="1168" customFormat="1">
      <c r="A10" s="838">
        <f t="shared" si="0"/>
        <v>1.03</v>
      </c>
      <c r="B10" s="575" t="s">
        <v>880</v>
      </c>
      <c r="C10" s="905">
        <v>0</v>
      </c>
      <c r="D10" s="905">
        <v>0</v>
      </c>
      <c r="E10" s="963">
        <f t="shared" si="1"/>
        <v>0</v>
      </c>
      <c r="F10" s="578"/>
      <c r="H10" s="605"/>
    </row>
    <row r="11" spans="1:8" s="1168" customFormat="1">
      <c r="A11" s="838">
        <f t="shared" si="0"/>
        <v>1.04</v>
      </c>
      <c r="B11" s="575" t="s">
        <v>882</v>
      </c>
      <c r="C11" s="905">
        <v>0</v>
      </c>
      <c r="D11" s="905">
        <v>0</v>
      </c>
      <c r="E11" s="963">
        <f t="shared" si="1"/>
        <v>0</v>
      </c>
      <c r="F11" s="578"/>
      <c r="H11" s="605"/>
    </row>
    <row r="12" spans="1:8" s="1168" customFormat="1">
      <c r="A12" s="838">
        <f t="shared" si="0"/>
        <v>1.05</v>
      </c>
      <c r="B12" s="575" t="s">
        <v>881</v>
      </c>
      <c r="C12" s="905">
        <v>0</v>
      </c>
      <c r="D12" s="905">
        <v>0</v>
      </c>
      <c r="E12" s="963">
        <f t="shared" si="1"/>
        <v>0</v>
      </c>
      <c r="F12" s="578"/>
      <c r="H12" s="605"/>
    </row>
    <row r="13" spans="1:8" s="1168" customFormat="1">
      <c r="A13" s="838">
        <f t="shared" si="0"/>
        <v>1.06</v>
      </c>
      <c r="B13" s="575" t="s">
        <v>892</v>
      </c>
      <c r="C13" s="905">
        <v>0</v>
      </c>
      <c r="D13" s="905">
        <v>0</v>
      </c>
      <c r="E13" s="963">
        <f t="shared" si="1"/>
        <v>0</v>
      </c>
      <c r="F13" s="578"/>
      <c r="H13" s="605"/>
    </row>
    <row r="14" spans="1:8" s="156" customFormat="1">
      <c r="A14" s="838">
        <f t="shared" si="0"/>
        <v>1.07</v>
      </c>
      <c r="B14" s="575" t="s">
        <v>883</v>
      </c>
      <c r="C14" s="905">
        <v>0</v>
      </c>
      <c r="D14" s="905">
        <v>0</v>
      </c>
      <c r="E14" s="963">
        <f t="shared" si="1"/>
        <v>0</v>
      </c>
      <c r="F14" s="576"/>
      <c r="G14" s="1168"/>
    </row>
    <row r="15" spans="1:8" s="156" customFormat="1">
      <c r="A15" s="838">
        <f t="shared" si="0"/>
        <v>1.08</v>
      </c>
      <c r="B15" s="575" t="s">
        <v>884</v>
      </c>
      <c r="C15" s="905">
        <v>0</v>
      </c>
      <c r="D15" s="905">
        <v>0</v>
      </c>
      <c r="E15" s="963">
        <f t="shared" si="1"/>
        <v>0</v>
      </c>
      <c r="F15" s="576"/>
      <c r="G15" s="1168"/>
    </row>
    <row r="16" spans="1:8" s="156" customFormat="1">
      <c r="A16" s="838">
        <f t="shared" si="0"/>
        <v>1.0900000000000001</v>
      </c>
      <c r="B16" s="575" t="s">
        <v>886</v>
      </c>
      <c r="C16" s="905">
        <v>571988.28294114524</v>
      </c>
      <c r="D16" s="905">
        <v>213048.08000000002</v>
      </c>
      <c r="E16" s="963">
        <f t="shared" ref="E16:E38" si="2">+C16+D16</f>
        <v>785036.3629411452</v>
      </c>
      <c r="F16" s="576"/>
      <c r="G16" s="156" t="s">
        <v>1520</v>
      </c>
      <c r="H16" s="155"/>
    </row>
    <row r="17" spans="1:8" s="156" customFormat="1">
      <c r="A17" s="838">
        <f t="shared" si="0"/>
        <v>1.1000000000000001</v>
      </c>
      <c r="B17" s="575" t="s">
        <v>885</v>
      </c>
      <c r="C17" s="905">
        <v>0</v>
      </c>
      <c r="D17" s="905">
        <v>0</v>
      </c>
      <c r="E17" s="963">
        <f t="shared" si="2"/>
        <v>0</v>
      </c>
      <c r="F17" s="576"/>
      <c r="G17" s="1168"/>
      <c r="H17" s="155"/>
    </row>
    <row r="18" spans="1:8" s="156" customFormat="1">
      <c r="A18" s="838">
        <f t="shared" si="0"/>
        <v>1.1100000000000001</v>
      </c>
      <c r="B18" s="575" t="s">
        <v>175</v>
      </c>
      <c r="C18" s="905">
        <v>0</v>
      </c>
      <c r="D18" s="905">
        <v>0</v>
      </c>
      <c r="E18" s="963">
        <f t="shared" si="2"/>
        <v>0</v>
      </c>
      <c r="F18" s="576"/>
      <c r="G18" s="1168"/>
    </row>
    <row r="19" spans="1:8" s="156" customFormat="1">
      <c r="A19" s="838">
        <f t="shared" si="0"/>
        <v>1.1200000000000001</v>
      </c>
      <c r="B19" s="575" t="s">
        <v>887</v>
      </c>
      <c r="C19" s="905">
        <v>0</v>
      </c>
      <c r="D19" s="905">
        <v>0</v>
      </c>
      <c r="E19" s="963">
        <f t="shared" si="2"/>
        <v>0</v>
      </c>
      <c r="F19" s="576"/>
      <c r="G19" s="1168"/>
    </row>
    <row r="20" spans="1:8" s="156" customFormat="1">
      <c r="A20" s="838">
        <f t="shared" si="0"/>
        <v>1.1300000000000001</v>
      </c>
      <c r="B20" s="575" t="s">
        <v>888</v>
      </c>
      <c r="C20" s="905">
        <v>0</v>
      </c>
      <c r="D20" s="905">
        <v>0</v>
      </c>
      <c r="E20" s="963">
        <f t="shared" si="2"/>
        <v>0</v>
      </c>
      <c r="F20" s="576"/>
      <c r="G20" s="1168"/>
    </row>
    <row r="21" spans="1:8" s="156" customFormat="1">
      <c r="A21" s="838">
        <f t="shared" si="0"/>
        <v>1.1400000000000001</v>
      </c>
      <c r="B21" s="575" t="s">
        <v>897</v>
      </c>
      <c r="C21" s="905">
        <v>0</v>
      </c>
      <c r="D21" s="905">
        <v>0</v>
      </c>
      <c r="E21" s="963">
        <f t="shared" si="2"/>
        <v>0</v>
      </c>
      <c r="F21" s="576"/>
      <c r="G21" s="1168"/>
    </row>
    <row r="22" spans="1:8" s="156" customFormat="1">
      <c r="A22" s="838">
        <f t="shared" si="0"/>
        <v>1.1500000000000001</v>
      </c>
      <c r="B22" s="575" t="s">
        <v>176</v>
      </c>
      <c r="C22" s="905">
        <v>0</v>
      </c>
      <c r="D22" s="905">
        <v>0</v>
      </c>
      <c r="E22" s="963">
        <f t="shared" si="2"/>
        <v>0</v>
      </c>
      <c r="F22" s="576"/>
      <c r="G22" s="1168"/>
    </row>
    <row r="23" spans="1:8" s="156" customFormat="1">
      <c r="A23" s="838">
        <f t="shared" si="0"/>
        <v>1.1600000000000001</v>
      </c>
      <c r="B23" s="575" t="s">
        <v>895</v>
      </c>
      <c r="C23" s="905">
        <v>0</v>
      </c>
      <c r="D23" s="905">
        <v>0</v>
      </c>
      <c r="E23" s="963">
        <f>+C23+D23</f>
        <v>0</v>
      </c>
      <c r="F23" s="576"/>
      <c r="G23" s="1168"/>
    </row>
    <row r="24" spans="1:8" s="156" customFormat="1">
      <c r="A24" s="838">
        <f t="shared" si="0"/>
        <v>1.1700000000000002</v>
      </c>
      <c r="B24" s="575" t="s">
        <v>896</v>
      </c>
      <c r="C24" s="905">
        <v>0</v>
      </c>
      <c r="D24" s="905">
        <v>0</v>
      </c>
      <c r="E24" s="963">
        <f t="shared" si="2"/>
        <v>0</v>
      </c>
      <c r="F24" s="576"/>
      <c r="G24" s="1168"/>
    </row>
    <row r="25" spans="1:8" s="156" customFormat="1">
      <c r="A25" s="838">
        <f t="shared" si="0"/>
        <v>1.1800000000000002</v>
      </c>
      <c r="B25" s="575" t="s">
        <v>893</v>
      </c>
      <c r="C25" s="905">
        <v>0</v>
      </c>
      <c r="D25" s="905">
        <v>0</v>
      </c>
      <c r="E25" s="963">
        <f t="shared" si="2"/>
        <v>0</v>
      </c>
      <c r="F25" s="576"/>
      <c r="G25" s="1168"/>
    </row>
    <row r="26" spans="1:8" s="156" customFormat="1">
      <c r="A26" s="838">
        <f t="shared" si="0"/>
        <v>1.1900000000000002</v>
      </c>
      <c r="B26" s="575" t="s">
        <v>179</v>
      </c>
      <c r="C26" s="905">
        <v>0</v>
      </c>
      <c r="D26" s="905">
        <v>0</v>
      </c>
      <c r="E26" s="963">
        <f t="shared" si="2"/>
        <v>0</v>
      </c>
      <c r="F26" s="576"/>
      <c r="G26" s="1168"/>
    </row>
    <row r="27" spans="1:8" s="156" customFormat="1">
      <c r="A27" s="838">
        <f t="shared" ref="A27:A36" si="3">+A26+0.01</f>
        <v>1.2000000000000002</v>
      </c>
      <c r="B27" s="575" t="s">
        <v>180</v>
      </c>
      <c r="C27" s="905">
        <v>0</v>
      </c>
      <c r="D27" s="905">
        <v>0</v>
      </c>
      <c r="E27" s="963">
        <f t="shared" si="2"/>
        <v>0</v>
      </c>
      <c r="F27" s="576"/>
      <c r="G27" s="1168"/>
    </row>
    <row r="28" spans="1:8" s="156" customFormat="1">
      <c r="A28" s="838">
        <f t="shared" si="3"/>
        <v>1.2100000000000002</v>
      </c>
      <c r="B28" s="575" t="s">
        <v>181</v>
      </c>
      <c r="C28" s="905">
        <v>0</v>
      </c>
      <c r="D28" s="905">
        <v>0</v>
      </c>
      <c r="E28" s="963">
        <f t="shared" si="2"/>
        <v>0</v>
      </c>
      <c r="F28" s="576"/>
      <c r="G28" s="1168"/>
    </row>
    <row r="29" spans="1:8" s="156" customFormat="1">
      <c r="A29" s="838">
        <f t="shared" si="3"/>
        <v>1.2200000000000002</v>
      </c>
      <c r="B29" s="575" t="s">
        <v>182</v>
      </c>
      <c r="C29" s="905">
        <v>0</v>
      </c>
      <c r="D29" s="905">
        <v>0</v>
      </c>
      <c r="E29" s="963">
        <f t="shared" si="2"/>
        <v>0</v>
      </c>
      <c r="F29" s="576"/>
      <c r="G29" s="1168"/>
    </row>
    <row r="30" spans="1:8" s="156" customFormat="1">
      <c r="A30" s="838">
        <f t="shared" si="3"/>
        <v>1.2300000000000002</v>
      </c>
      <c r="B30" s="575" t="s">
        <v>183</v>
      </c>
      <c r="C30" s="905">
        <v>0</v>
      </c>
      <c r="D30" s="905">
        <v>0</v>
      </c>
      <c r="E30" s="963">
        <f t="shared" si="2"/>
        <v>0</v>
      </c>
      <c r="F30" s="576"/>
      <c r="G30" s="1168"/>
    </row>
    <row r="31" spans="1:8" s="156" customFormat="1">
      <c r="A31" s="838">
        <f t="shared" si="3"/>
        <v>1.2400000000000002</v>
      </c>
      <c r="B31" s="575" t="s">
        <v>184</v>
      </c>
      <c r="C31" s="905">
        <v>0</v>
      </c>
      <c r="D31" s="905">
        <v>0</v>
      </c>
      <c r="E31" s="963">
        <f t="shared" si="2"/>
        <v>0</v>
      </c>
      <c r="F31" s="576"/>
      <c r="G31" s="1168"/>
    </row>
    <row r="32" spans="1:8" s="156" customFormat="1">
      <c r="A32" s="838">
        <f t="shared" si="3"/>
        <v>1.2500000000000002</v>
      </c>
      <c r="B32" s="575" t="s">
        <v>291</v>
      </c>
      <c r="C32" s="905">
        <v>0</v>
      </c>
      <c r="D32" s="905">
        <v>0</v>
      </c>
      <c r="E32" s="963">
        <f t="shared" si="2"/>
        <v>0</v>
      </c>
      <c r="F32" s="576"/>
    </row>
    <row r="33" spans="1:8" s="156" customFormat="1">
      <c r="A33" s="838">
        <f t="shared" si="3"/>
        <v>1.2600000000000002</v>
      </c>
      <c r="B33" s="575" t="s">
        <v>185</v>
      </c>
      <c r="C33" s="905">
        <v>0</v>
      </c>
      <c r="D33" s="905">
        <v>0</v>
      </c>
      <c r="E33" s="963">
        <f t="shared" si="2"/>
        <v>0</v>
      </c>
      <c r="F33" s="576"/>
      <c r="H33" s="166"/>
    </row>
    <row r="34" spans="1:8" s="156" customFormat="1">
      <c r="A34" s="838">
        <f t="shared" si="3"/>
        <v>1.2700000000000002</v>
      </c>
      <c r="B34" s="575" t="s">
        <v>292</v>
      </c>
      <c r="C34" s="905">
        <v>0</v>
      </c>
      <c r="D34" s="905">
        <v>0</v>
      </c>
      <c r="E34" s="963">
        <f t="shared" si="2"/>
        <v>0</v>
      </c>
      <c r="F34" s="576"/>
      <c r="H34" s="167"/>
    </row>
    <row r="35" spans="1:8" s="156" customFormat="1">
      <c r="A35" s="838">
        <f t="shared" si="3"/>
        <v>1.2800000000000002</v>
      </c>
      <c r="B35" s="575" t="s">
        <v>186</v>
      </c>
      <c r="C35" s="905">
        <v>0</v>
      </c>
      <c r="D35" s="905">
        <v>0</v>
      </c>
      <c r="E35" s="963">
        <f t="shared" si="2"/>
        <v>0</v>
      </c>
      <c r="F35" s="576"/>
      <c r="H35" s="167"/>
    </row>
    <row r="36" spans="1:8" s="156" customFormat="1">
      <c r="A36" s="1212">
        <f t="shared" si="3"/>
        <v>1.2900000000000003</v>
      </c>
      <c r="B36" s="1213" t="s">
        <v>913</v>
      </c>
      <c r="C36" s="905">
        <v>0</v>
      </c>
      <c r="D36" s="905">
        <v>0</v>
      </c>
      <c r="E36" s="963"/>
      <c r="F36" s="576"/>
      <c r="H36" s="167"/>
    </row>
    <row r="37" spans="1:8" s="156" customFormat="1">
      <c r="A37" s="1212" t="s">
        <v>904</v>
      </c>
      <c r="B37" s="1213" t="s">
        <v>913</v>
      </c>
      <c r="C37" s="905">
        <v>0</v>
      </c>
      <c r="D37" s="905">
        <v>0</v>
      </c>
      <c r="E37" s="963"/>
      <c r="F37" s="576"/>
      <c r="H37" s="167"/>
    </row>
    <row r="38" spans="1:8" s="156" customFormat="1">
      <c r="A38" s="1212" t="s">
        <v>908</v>
      </c>
      <c r="B38" s="1214" t="s">
        <v>913</v>
      </c>
      <c r="C38" s="905">
        <v>0</v>
      </c>
      <c r="D38" s="905">
        <v>0</v>
      </c>
      <c r="E38" s="963">
        <f t="shared" si="2"/>
        <v>0</v>
      </c>
      <c r="F38" s="576"/>
    </row>
    <row r="39" spans="1:8" s="156" customFormat="1" ht="13.8" thickBot="1">
      <c r="A39" s="837">
        <f>+A7+1</f>
        <v>2</v>
      </c>
      <c r="B39" s="605" t="str">
        <f>+"Total Line "&amp;A7&amp;" Subparts"</f>
        <v>Total Line 1 Subparts</v>
      </c>
      <c r="C39" s="962">
        <f>SUM(C8:C38)</f>
        <v>571988.28294114524</v>
      </c>
      <c r="D39" s="962">
        <f>SUM(D8:D38)</f>
        <v>213048.08000000002</v>
      </c>
      <c r="E39" s="962">
        <f>SUM(E8:E38)</f>
        <v>785036.3629411452</v>
      </c>
      <c r="F39" s="576"/>
    </row>
    <row r="40" spans="1:8" s="156" customFormat="1" ht="13.8" thickTop="1">
      <c r="A40" s="837">
        <f>+A39+1</f>
        <v>3</v>
      </c>
      <c r="B40" s="575"/>
      <c r="C40" s="903"/>
      <c r="D40" s="903"/>
      <c r="E40" s="903"/>
      <c r="F40" s="576"/>
    </row>
    <row r="41" spans="1:8" s="572" customFormat="1">
      <c r="A41" s="863">
        <f t="shared" ref="A41:A46" si="4">A40+1</f>
        <v>4</v>
      </c>
      <c r="B41" s="784" t="s">
        <v>566</v>
      </c>
      <c r="C41" s="800"/>
      <c r="D41" s="800"/>
      <c r="E41" s="800"/>
      <c r="F41" s="785"/>
      <c r="G41" s="156"/>
    </row>
    <row r="42" spans="1:8" s="572" customFormat="1">
      <c r="A42" s="863">
        <f t="shared" si="4"/>
        <v>5</v>
      </c>
      <c r="B42" s="786" t="s">
        <v>663</v>
      </c>
      <c r="C42" s="800"/>
      <c r="D42" s="800"/>
      <c r="E42" s="800"/>
      <c r="F42" s="800"/>
      <c r="G42" s="800"/>
    </row>
    <row r="43" spans="1:8" s="572" customFormat="1" ht="15">
      <c r="A43" s="863">
        <f t="shared" si="4"/>
        <v>6</v>
      </c>
      <c r="B43" s="959" t="s">
        <v>509</v>
      </c>
      <c r="C43" s="960">
        <f>+C14</f>
        <v>0</v>
      </c>
      <c r="D43" s="960">
        <f>+D14</f>
        <v>0</v>
      </c>
      <c r="E43" s="960">
        <f>+E14</f>
        <v>0</v>
      </c>
      <c r="F43" s="634"/>
    </row>
    <row r="44" spans="1:8" s="572" customFormat="1">
      <c r="A44" s="863">
        <f t="shared" si="4"/>
        <v>7</v>
      </c>
      <c r="B44" s="961" t="str">
        <f>+"Total Account 561 Lines "&amp;A42&amp;" + "&amp;A43</f>
        <v>Total Account 561 Lines 5 + 6</v>
      </c>
      <c r="C44" s="800">
        <f>+C42+C43</f>
        <v>0</v>
      </c>
      <c r="D44" s="800">
        <f>+D42+D43</f>
        <v>0</v>
      </c>
      <c r="E44" s="800">
        <f>+E42+E43</f>
        <v>0</v>
      </c>
      <c r="F44" s="800"/>
    </row>
    <row r="45" spans="1:8" s="572" customFormat="1">
      <c r="A45" s="863">
        <f t="shared" si="4"/>
        <v>8</v>
      </c>
      <c r="B45" s="1070" t="s">
        <v>828</v>
      </c>
      <c r="C45" s="960">
        <f>+SUM(C8:C24)-C14</f>
        <v>571988.28294114524</v>
      </c>
      <c r="D45" s="960">
        <f>+SUM(D8:D24)-D14</f>
        <v>213048.08000000002</v>
      </c>
      <c r="E45" s="960">
        <f>+SUM(E8:E24)-E14</f>
        <v>785036.3629411452</v>
      </c>
      <c r="F45" s="815"/>
    </row>
    <row r="46" spans="1:8" s="572" customFormat="1">
      <c r="A46" s="863">
        <f t="shared" si="4"/>
        <v>9</v>
      </c>
      <c r="B46" s="784" t="str">
        <f>+"Total Transmission O&amp;M  ( Line "&amp;A44&amp;" + Line "&amp;A45&amp;")"</f>
        <v>Total Transmission O&amp;M  ( Line 7 + Line 8)</v>
      </c>
      <c r="C46" s="800">
        <f>+C44+C45</f>
        <v>571988.28294114524</v>
      </c>
      <c r="D46" s="800">
        <f>+D44+D45</f>
        <v>213048.08000000002</v>
      </c>
      <c r="E46" s="800">
        <f>+E44+E45</f>
        <v>785036.3629411452</v>
      </c>
      <c r="F46" s="800"/>
    </row>
    <row r="47" spans="1:8" s="156" customFormat="1">
      <c r="A47" s="863">
        <f>+A46+1</f>
        <v>10</v>
      </c>
      <c r="B47" s="575"/>
      <c r="C47" s="903"/>
      <c r="D47" s="903"/>
      <c r="E47" s="903"/>
      <c r="F47" s="263"/>
      <c r="G47" s="576"/>
    </row>
    <row r="48" spans="1:8" s="156" customFormat="1">
      <c r="A48" s="863">
        <f>+A47+1</f>
        <v>11</v>
      </c>
      <c r="B48" s="784" t="s">
        <v>51</v>
      </c>
      <c r="C48" s="800"/>
      <c r="D48" s="800"/>
      <c r="E48" s="800"/>
      <c r="F48" s="576"/>
    </row>
    <row r="49" spans="1:7" s="156" customFormat="1">
      <c r="A49" s="863">
        <f>+A48+1</f>
        <v>12</v>
      </c>
      <c r="B49" s="786" t="s">
        <v>686</v>
      </c>
      <c r="C49" s="800"/>
      <c r="D49" s="800"/>
      <c r="E49" s="800"/>
      <c r="F49" s="576"/>
    </row>
    <row r="50" spans="1:7" s="156" customFormat="1">
      <c r="A50" s="863">
        <f>+A49+1</f>
        <v>13</v>
      </c>
      <c r="B50" s="1175" t="s">
        <v>894</v>
      </c>
      <c r="C50" s="802"/>
      <c r="D50" s="802"/>
      <c r="E50" s="802"/>
      <c r="F50" s="576"/>
    </row>
    <row r="51" spans="1:7" s="156" customFormat="1">
      <c r="A51" s="837">
        <f t="shared" ref="A51:A65" si="5">+A50+1</f>
        <v>14</v>
      </c>
      <c r="B51" s="786" t="s">
        <v>684</v>
      </c>
      <c r="C51" s="802"/>
      <c r="D51" s="802"/>
      <c r="E51" s="802"/>
      <c r="F51" s="576"/>
    </row>
    <row r="52" spans="1:7" s="156" customFormat="1">
      <c r="A52" s="837">
        <f t="shared" si="5"/>
        <v>15</v>
      </c>
      <c r="B52" s="786" t="s">
        <v>678</v>
      </c>
      <c r="C52" s="800"/>
      <c r="D52" s="800"/>
      <c r="E52" s="800"/>
      <c r="F52" s="576"/>
    </row>
    <row r="53" spans="1:7" s="156" customFormat="1">
      <c r="A53" s="837">
        <f t="shared" si="5"/>
        <v>16</v>
      </c>
      <c r="B53" s="786" t="s">
        <v>677</v>
      </c>
      <c r="C53" s="800">
        <f>+SUM(C8:C24)</f>
        <v>571988.28294114524</v>
      </c>
      <c r="D53" s="800">
        <f>+SUM(D8:D24)</f>
        <v>213048.08000000002</v>
      </c>
      <c r="E53" s="800">
        <f>+SUM(E8:E24)</f>
        <v>785036.3629411452</v>
      </c>
      <c r="F53" s="576"/>
    </row>
    <row r="54" spans="1:7" s="156" customFormat="1">
      <c r="A54" s="837">
        <f t="shared" si="5"/>
        <v>17</v>
      </c>
      <c r="B54" s="786" t="s">
        <v>679</v>
      </c>
      <c r="C54" s="800"/>
      <c r="D54" s="800"/>
      <c r="E54" s="800"/>
      <c r="F54" s="576"/>
    </row>
    <row r="55" spans="1:7" s="156" customFormat="1">
      <c r="A55" s="837">
        <f t="shared" si="5"/>
        <v>18</v>
      </c>
      <c r="B55" s="786" t="s">
        <v>680</v>
      </c>
      <c r="C55" s="800"/>
      <c r="D55" s="800"/>
      <c r="E55" s="800"/>
      <c r="F55" s="576"/>
    </row>
    <row r="56" spans="1:7" s="156" customFormat="1">
      <c r="A56" s="837">
        <f t="shared" si="5"/>
        <v>19</v>
      </c>
      <c r="B56" s="786" t="s">
        <v>681</v>
      </c>
      <c r="C56" s="800"/>
      <c r="D56" s="800"/>
      <c r="E56" s="800"/>
      <c r="F56" s="576"/>
    </row>
    <row r="57" spans="1:7" s="156" customFormat="1">
      <c r="A57" s="837">
        <f t="shared" si="5"/>
        <v>20</v>
      </c>
      <c r="B57" s="786" t="s">
        <v>682</v>
      </c>
      <c r="C57" s="800"/>
      <c r="D57" s="800"/>
      <c r="E57" s="800"/>
      <c r="F57" s="576"/>
    </row>
    <row r="58" spans="1:7" s="156" customFormat="1">
      <c r="A58" s="837">
        <f t="shared" si="5"/>
        <v>21</v>
      </c>
      <c r="B58" s="786" t="s">
        <v>683</v>
      </c>
      <c r="C58" s="904">
        <f>+SUM(C25:C38)</f>
        <v>0</v>
      </c>
      <c r="D58" s="904">
        <f>+SUM(D25:D38)</f>
        <v>0</v>
      </c>
      <c r="E58" s="904">
        <f>+SUM(E25:E38)</f>
        <v>0</v>
      </c>
      <c r="F58" s="576"/>
    </row>
    <row r="59" spans="1:7" s="156" customFormat="1" ht="13.8" thickBot="1">
      <c r="A59" s="837">
        <f t="shared" si="5"/>
        <v>22</v>
      </c>
      <c r="B59" s="784" t="str">
        <f>+"Total Lines ("&amp;A49&amp;" to "&amp;A58&amp;")"</f>
        <v>Total Lines (12 to 21)</v>
      </c>
      <c r="C59" s="801">
        <f>SUM(C49:C58)</f>
        <v>571988.28294114524</v>
      </c>
      <c r="D59" s="801">
        <f>SUM(D49:D58)</f>
        <v>213048.08000000002</v>
      </c>
      <c r="E59" s="801">
        <f>SUM(E49:E58)</f>
        <v>785036.3629411452</v>
      </c>
      <c r="F59" s="576"/>
    </row>
    <row r="60" spans="1:7" s="156" customFormat="1" ht="13.8" thickTop="1">
      <c r="A60" s="837">
        <f t="shared" si="5"/>
        <v>23</v>
      </c>
      <c r="B60" s="784"/>
      <c r="C60" s="800"/>
      <c r="D60" s="800"/>
      <c r="E60" s="800"/>
      <c r="F60" s="576"/>
    </row>
    <row r="61" spans="1:7" s="976" customFormat="1">
      <c r="A61" s="891">
        <f t="shared" si="5"/>
        <v>24</v>
      </c>
      <c r="B61" s="977" t="str">
        <f>+"Payroll O&amp;M Excl A&amp;G  Sum (Ln "&amp;A49&amp;" To Ln "&amp;A57&amp;")"</f>
        <v>Payroll O&amp;M Excl A&amp;G  Sum (Ln 12 To Ln 20)</v>
      </c>
      <c r="C61" s="978"/>
      <c r="D61" s="978">
        <f>+SUM(D49:D57)</f>
        <v>213048.08000000002</v>
      </c>
      <c r="E61" s="978"/>
      <c r="F61" s="978"/>
      <c r="G61" s="978"/>
    </row>
    <row r="62" spans="1:7" s="156" customFormat="1">
      <c r="A62" s="837">
        <f t="shared" si="5"/>
        <v>25</v>
      </c>
      <c r="B62" s="784"/>
      <c r="C62" s="800"/>
      <c r="D62" s="800"/>
      <c r="E62" s="800"/>
      <c r="F62" s="576"/>
    </row>
    <row r="63" spans="1:7" s="156" customFormat="1">
      <c r="A63" s="837">
        <f t="shared" si="5"/>
        <v>26</v>
      </c>
      <c r="B63" s="784" t="s">
        <v>740</v>
      </c>
      <c r="C63" s="263"/>
      <c r="D63" s="263"/>
      <c r="E63" s="905">
        <v>11626096.720000003</v>
      </c>
      <c r="F63" s="576"/>
    </row>
    <row r="64" spans="1:7" s="156" customFormat="1">
      <c r="A64" s="837">
        <f t="shared" si="5"/>
        <v>27</v>
      </c>
      <c r="B64" s="784" t="s">
        <v>741</v>
      </c>
      <c r="C64" s="263"/>
      <c r="D64" s="263"/>
      <c r="E64" s="906">
        <v>5799304</v>
      </c>
      <c r="F64" s="576"/>
    </row>
    <row r="65" spans="1:6" s="156" customFormat="1">
      <c r="A65" s="837">
        <f t="shared" si="5"/>
        <v>28</v>
      </c>
      <c r="B65" s="784" t="str">
        <f>+"Account 924 without Storm Damage Accrual  (Ln "&amp;A63&amp;" Less Ln "&amp;A64&amp;")"</f>
        <v>Account 924 without Storm Damage Accrual  (Ln 26 Less Ln 27)</v>
      </c>
      <c r="C65" s="263"/>
      <c r="D65" s="263"/>
      <c r="E65" s="963">
        <f>+E63-E64</f>
        <v>5826792.7200000025</v>
      </c>
      <c r="F65" s="576"/>
    </row>
    <row r="66" spans="1:6" s="156" customFormat="1">
      <c r="A66" s="889"/>
      <c r="B66" s="575"/>
      <c r="C66" s="263"/>
      <c r="D66" s="263"/>
      <c r="E66" s="263"/>
      <c r="F66" s="576"/>
    </row>
    <row r="67" spans="1:6" s="156" customFormat="1">
      <c r="A67" s="605" t="s">
        <v>295</v>
      </c>
      <c r="C67" s="263"/>
      <c r="D67" s="263"/>
      <c r="E67" s="263"/>
      <c r="F67" s="576"/>
    </row>
    <row r="68" spans="1:6" s="156" customFormat="1" ht="180.75" customHeight="1">
      <c r="A68" s="683" t="s">
        <v>170</v>
      </c>
      <c r="B68" s="1748" t="s">
        <v>1159</v>
      </c>
      <c r="C68" s="1748"/>
      <c r="D68" s="1748"/>
      <c r="E68" s="1748"/>
      <c r="F68" s="576"/>
    </row>
    <row r="69" spans="1:6" s="156" customFormat="1">
      <c r="A69" s="681"/>
      <c r="B69" s="155"/>
      <c r="C69" s="155"/>
      <c r="D69" s="155"/>
      <c r="E69" s="155"/>
    </row>
    <row r="70" spans="1:6" s="156" customFormat="1">
      <c r="A70" s="681"/>
      <c r="B70" s="155"/>
      <c r="C70" s="155"/>
      <c r="D70" s="155"/>
      <c r="E70" s="155"/>
    </row>
    <row r="71" spans="1:6" s="156" customFormat="1">
      <c r="A71" s="681"/>
      <c r="B71" s="155"/>
      <c r="C71" s="155"/>
      <c r="D71" s="155"/>
      <c r="E71" s="155"/>
    </row>
    <row r="72" spans="1:6" s="156" customFormat="1">
      <c r="A72" s="681"/>
      <c r="B72" s="155"/>
      <c r="C72" s="155"/>
      <c r="D72" s="155"/>
      <c r="E72" s="155"/>
    </row>
    <row r="73" spans="1:6" s="156" customFormat="1">
      <c r="A73" s="681"/>
      <c r="B73" s="155"/>
      <c r="C73" s="155"/>
      <c r="D73" s="155"/>
      <c r="E73" s="155"/>
    </row>
    <row r="74" spans="1:6" s="156" customFormat="1">
      <c r="A74" s="682"/>
      <c r="B74" s="155"/>
      <c r="C74" s="155"/>
      <c r="D74" s="155"/>
      <c r="E74" s="155"/>
    </row>
    <row r="75" spans="1:6" s="156" customFormat="1">
      <c r="A75" s="682"/>
      <c r="B75" s="155"/>
      <c r="C75" s="155"/>
      <c r="D75" s="155"/>
      <c r="E75" s="155"/>
    </row>
    <row r="76" spans="1:6" s="156" customFormat="1">
      <c r="A76" s="682"/>
      <c r="B76" s="155"/>
      <c r="C76" s="155"/>
      <c r="D76" s="155"/>
      <c r="E76" s="155"/>
    </row>
    <row r="77" spans="1:6" s="156" customFormat="1">
      <c r="A77" s="682"/>
      <c r="B77" s="155"/>
      <c r="C77" s="155"/>
      <c r="D77" s="155"/>
      <c r="E77" s="155"/>
    </row>
    <row r="78" spans="1:6" s="156" customFormat="1">
      <c r="A78" s="682"/>
      <c r="B78" s="155"/>
      <c r="C78" s="155"/>
      <c r="D78" s="155"/>
      <c r="E78" s="155"/>
    </row>
    <row r="79" spans="1:6" s="156" customFormat="1">
      <c r="A79" s="682"/>
      <c r="B79" s="155"/>
      <c r="C79" s="155"/>
      <c r="D79" s="155"/>
      <c r="E79" s="155"/>
      <c r="F79" s="787"/>
    </row>
    <row r="80" spans="1:6" s="156" customFormat="1">
      <c r="A80" s="682"/>
      <c r="B80" s="155"/>
      <c r="C80" s="155"/>
      <c r="D80" s="155"/>
      <c r="E80" s="155"/>
      <c r="F80" s="155"/>
    </row>
    <row r="81" spans="1:6" s="156" customFormat="1">
      <c r="A81" s="682"/>
      <c r="B81" s="155"/>
      <c r="C81" s="155"/>
      <c r="D81" s="155"/>
      <c r="E81" s="155"/>
      <c r="F81" s="155"/>
    </row>
  </sheetData>
  <mergeCells count="4">
    <mergeCell ref="B68:E68"/>
    <mergeCell ref="A1:E1"/>
    <mergeCell ref="A2:E2"/>
    <mergeCell ref="A3:E3"/>
  </mergeCells>
  <printOptions horizontalCentered="1"/>
  <pageMargins left="0.7" right="0.7" top="0.5" bottom="0.5" header="0.3" footer="0.5"/>
  <pageSetup scale="71" orientation="portrait" r:id="rId1"/>
  <headerFooter>
    <oddFooter>&amp;R&amp;A</oddFooter>
  </headerFooter>
  <ignoredErrors>
    <ignoredError sqref="A68" numberStoredAsText="1"/>
    <ignoredError sqref="E45" formula="1"/>
    <ignoredError sqref="C45:D45" formula="1" formulaRange="1"/>
    <ignoredError sqref="C46:D58" formulaRange="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28"/>
  <sheetViews>
    <sheetView workbookViewId="0">
      <selection activeCell="A9" sqref="A9"/>
    </sheetView>
  </sheetViews>
  <sheetFormatPr defaultColWidth="22.44140625" defaultRowHeight="13.2"/>
  <cols>
    <col min="1" max="1" width="6.109375" style="181" bestFit="1" customWidth="1"/>
    <col min="2" max="2" width="26.33203125" bestFit="1" customWidth="1"/>
    <col min="3" max="5" width="15.5546875" customWidth="1"/>
  </cols>
  <sheetData>
    <row r="1" spans="1:8" s="198" customFormat="1">
      <c r="A1" s="1750" t="str">
        <f>+'MISO Cover'!C6</f>
        <v>Entergy Texas, Inc.</v>
      </c>
      <c r="B1" s="1750"/>
      <c r="C1" s="1750"/>
      <c r="D1" s="1750"/>
      <c r="E1" s="1750"/>
    </row>
    <row r="2" spans="1:8" ht="15">
      <c r="A2" s="1751" t="s">
        <v>691</v>
      </c>
      <c r="B2" s="1751"/>
      <c r="C2" s="1751"/>
      <c r="D2" s="1751"/>
      <c r="E2" s="1751"/>
      <c r="F2" s="168"/>
      <c r="G2" s="168"/>
      <c r="H2" s="168"/>
    </row>
    <row r="3" spans="1:8" s="198" customFormat="1" ht="15">
      <c r="A3" s="1712" t="str">
        <f>+'MISO Cover'!K4</f>
        <v>For  the 12 Months Ended 12/31/2016</v>
      </c>
      <c r="B3" s="1712"/>
      <c r="C3" s="1712"/>
      <c r="D3" s="1712"/>
      <c r="E3" s="1712"/>
      <c r="F3" s="199"/>
      <c r="G3" s="199"/>
      <c r="H3" s="199"/>
    </row>
    <row r="4" spans="1:8" s="198" customFormat="1" ht="15">
      <c r="A4" s="638"/>
      <c r="B4" s="637"/>
      <c r="C4" s="637"/>
      <c r="D4" s="637"/>
      <c r="E4" s="637"/>
      <c r="F4" s="199"/>
      <c r="G4" s="199"/>
      <c r="H4" s="199"/>
    </row>
    <row r="5" spans="1:8" ht="15">
      <c r="A5" s="181" t="s">
        <v>277</v>
      </c>
      <c r="B5" s="472" t="s">
        <v>67</v>
      </c>
      <c r="C5" s="472" t="s">
        <v>114</v>
      </c>
      <c r="D5" s="472" t="s">
        <v>55</v>
      </c>
      <c r="E5" s="472" t="s">
        <v>68</v>
      </c>
      <c r="F5" s="169"/>
      <c r="G5" s="169"/>
      <c r="H5" s="169"/>
    </row>
    <row r="6" spans="1:8" ht="15">
      <c r="A6" s="1115">
        <v>1</v>
      </c>
      <c r="B6" s="1083" t="s">
        <v>112</v>
      </c>
      <c r="C6" s="607" t="s">
        <v>774</v>
      </c>
      <c r="D6" s="607" t="s">
        <v>788</v>
      </c>
      <c r="E6" s="607" t="s">
        <v>789</v>
      </c>
      <c r="F6" s="476"/>
      <c r="G6" s="169"/>
      <c r="H6" s="169"/>
    </row>
    <row r="7" spans="1:8" ht="15">
      <c r="A7" s="1215">
        <f>+A6+0.1</f>
        <v>1.1000000000000001</v>
      </c>
      <c r="B7" s="1205" t="s">
        <v>913</v>
      </c>
      <c r="C7" s="1216">
        <v>0</v>
      </c>
      <c r="D7" s="1216"/>
      <c r="E7" s="1216"/>
      <c r="F7" s="1176"/>
      <c r="G7" s="169"/>
      <c r="H7" s="169"/>
    </row>
    <row r="8" spans="1:8" ht="15">
      <c r="A8" s="1215" t="s">
        <v>904</v>
      </c>
      <c r="B8" s="1205" t="s">
        <v>913</v>
      </c>
      <c r="C8" s="1216">
        <v>0</v>
      </c>
      <c r="D8" s="1216"/>
      <c r="E8" s="1216"/>
      <c r="F8" s="1176"/>
      <c r="G8" s="169"/>
      <c r="H8" s="169"/>
    </row>
    <row r="9" spans="1:8" ht="15">
      <c r="A9" s="1215" t="s">
        <v>908</v>
      </c>
      <c r="B9" s="1205" t="s">
        <v>913</v>
      </c>
      <c r="C9" s="1217">
        <v>0</v>
      </c>
      <c r="D9" s="1216"/>
      <c r="E9" s="1216"/>
      <c r="F9" s="1113"/>
      <c r="G9" s="169"/>
      <c r="H9" s="169"/>
    </row>
    <row r="10" spans="1:8">
      <c r="A10" s="1116">
        <f>+A6+1</f>
        <v>2</v>
      </c>
      <c r="B10" s="1083" t="str">
        <f>+"Total  Sum of Line "&amp;A6&amp;" Subparts"</f>
        <v>Total  Sum of Line 1 Subparts</v>
      </c>
      <c r="C10" s="757">
        <f>SUM(C7:C9)</f>
        <v>0</v>
      </c>
      <c r="D10" s="39"/>
      <c r="E10" s="39"/>
    </row>
    <row r="11" spans="1:8">
      <c r="A11" s="1116"/>
      <c r="B11" s="1083"/>
      <c r="C11" s="39"/>
      <c r="D11" s="39"/>
      <c r="E11" s="39"/>
    </row>
    <row r="12" spans="1:8">
      <c r="A12" s="1082"/>
      <c r="B12" s="38"/>
      <c r="C12" s="39"/>
      <c r="D12" s="39"/>
      <c r="E12" s="39"/>
    </row>
    <row r="13" spans="1:8">
      <c r="A13" s="39" t="s">
        <v>295</v>
      </c>
      <c r="C13" s="39"/>
      <c r="D13" s="39"/>
      <c r="E13" s="39"/>
    </row>
    <row r="14" spans="1:8" s="639" customFormat="1" ht="40.200000000000003" customHeight="1">
      <c r="A14" s="1084" t="s">
        <v>170</v>
      </c>
      <c r="B14" s="1697" t="s">
        <v>923</v>
      </c>
      <c r="C14" s="1697"/>
      <c r="D14" s="1697"/>
      <c r="E14" s="1697"/>
      <c r="F14" s="166"/>
    </row>
    <row r="15" spans="1:8" s="639" customFormat="1" ht="27" customHeight="1">
      <c r="A15" s="1084" t="s">
        <v>316</v>
      </c>
      <c r="B15" s="1697" t="s">
        <v>773</v>
      </c>
      <c r="C15" s="1697"/>
      <c r="D15" s="1697"/>
      <c r="E15" s="1697"/>
      <c r="F15" s="166"/>
    </row>
    <row r="16" spans="1:8">
      <c r="A16" s="1084"/>
      <c r="B16" s="38"/>
      <c r="C16" s="38"/>
      <c r="D16" s="38"/>
      <c r="E16" s="38"/>
    </row>
    <row r="17" spans="1:5">
      <c r="A17" s="1082"/>
      <c r="B17" s="38"/>
      <c r="C17" s="38"/>
      <c r="D17" s="38"/>
      <c r="E17" s="38"/>
    </row>
    <row r="18" spans="1:5">
      <c r="A18" s="1082"/>
      <c r="B18" s="38"/>
      <c r="C18" s="38"/>
      <c r="D18" s="38"/>
      <c r="E18" s="38"/>
    </row>
    <row r="19" spans="1:5">
      <c r="B19" s="39"/>
      <c r="C19" s="39"/>
      <c r="D19" s="39"/>
      <c r="E19" s="39"/>
    </row>
    <row r="20" spans="1:5">
      <c r="B20" s="39"/>
      <c r="C20" s="39"/>
      <c r="D20" s="39"/>
      <c r="E20" s="39"/>
    </row>
    <row r="21" spans="1:5">
      <c r="B21" s="39"/>
      <c r="C21" s="39"/>
      <c r="D21" s="39"/>
      <c r="E21" s="39"/>
    </row>
    <row r="22" spans="1:5">
      <c r="B22" s="39"/>
      <c r="C22" s="39"/>
      <c r="D22" s="39"/>
      <c r="E22" s="39"/>
    </row>
    <row r="23" spans="1:5">
      <c r="B23" s="39"/>
      <c r="C23" s="39"/>
      <c r="D23" s="39"/>
      <c r="E23" s="39"/>
    </row>
    <row r="24" spans="1:5">
      <c r="B24" s="39"/>
      <c r="C24" s="39"/>
      <c r="D24" s="39"/>
      <c r="E24" s="39"/>
    </row>
    <row r="25" spans="1:5">
      <c r="B25" s="39"/>
      <c r="C25" s="39"/>
      <c r="D25" s="39"/>
      <c r="E25" s="39"/>
    </row>
    <row r="26" spans="1:5">
      <c r="B26" s="39"/>
      <c r="C26" s="39"/>
      <c r="D26" s="39"/>
      <c r="E26" s="39"/>
    </row>
    <row r="27" spans="1:5">
      <c r="B27" s="39"/>
      <c r="C27" s="39"/>
      <c r="D27" s="39"/>
      <c r="E27" s="39"/>
    </row>
    <row r="28" spans="1:5">
      <c r="C28" s="39"/>
      <c r="D28" s="39"/>
      <c r="E28" s="39"/>
    </row>
  </sheetData>
  <mergeCells count="5">
    <mergeCell ref="B15:E15"/>
    <mergeCell ref="B14:E14"/>
    <mergeCell ref="A3:E3"/>
    <mergeCell ref="A1:E1"/>
    <mergeCell ref="A2:E2"/>
  </mergeCells>
  <phoneticPr fontId="88" type="noConversion"/>
  <printOptions horizontalCentered="1"/>
  <pageMargins left="0.7" right="0.7" top="0.7" bottom="0.7" header="0.3" footer="0.5"/>
  <pageSetup orientation="portrait" r:id="rId1"/>
  <headerFooter>
    <oddFooter>&amp;CPage &amp;P of &amp;N&amp;R&amp;A</oddFooter>
  </headerFooter>
  <ignoredErrors>
    <ignoredError sqref="A14:A1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16"/>
  <sheetViews>
    <sheetView zoomScaleNormal="100" workbookViewId="0">
      <selection activeCell="A9" sqref="A9"/>
    </sheetView>
  </sheetViews>
  <sheetFormatPr defaultColWidth="9.109375" defaultRowHeight="13.2"/>
  <cols>
    <col min="1" max="1" width="4.33203125" style="748" bestFit="1" customWidth="1"/>
    <col min="2" max="2" width="66.88671875" style="748" customWidth="1"/>
    <col min="3" max="3" width="17.88671875" style="748" customWidth="1"/>
    <col min="4" max="4" width="11.5546875" style="748" bestFit="1" customWidth="1"/>
    <col min="5" max="16384" width="9.109375" style="748"/>
  </cols>
  <sheetData>
    <row r="1" spans="1:11">
      <c r="A1" s="1754" t="str">
        <f>+'MISO Cover'!C6</f>
        <v>Entergy Texas, Inc.</v>
      </c>
      <c r="B1" s="1754"/>
      <c r="C1" s="1754"/>
      <c r="D1" s="750"/>
    </row>
    <row r="2" spans="1:11">
      <c r="A2" s="1756" t="s">
        <v>746</v>
      </c>
      <c r="B2" s="1756"/>
      <c r="C2" s="1756"/>
      <c r="D2" s="750"/>
    </row>
    <row r="3" spans="1:11">
      <c r="A3" s="1757" t="str">
        <f>+'MISO Cover'!K4</f>
        <v>For  the 12 Months Ended 12/31/2016</v>
      </c>
      <c r="B3" s="1757"/>
      <c r="C3" s="1757"/>
      <c r="D3" s="751"/>
    </row>
    <row r="4" spans="1:11">
      <c r="B4" s="752"/>
      <c r="C4" s="752"/>
      <c r="D4" s="752"/>
    </row>
    <row r="5" spans="1:11">
      <c r="B5" s="721"/>
      <c r="C5" s="721"/>
      <c r="D5" s="721"/>
    </row>
    <row r="6" spans="1:11" s="749" customFormat="1" ht="15">
      <c r="A6" s="492" t="s">
        <v>277</v>
      </c>
      <c r="B6" s="512" t="s">
        <v>67</v>
      </c>
      <c r="C6" s="512" t="s">
        <v>114</v>
      </c>
      <c r="D6" s="512"/>
    </row>
    <row r="7" spans="1:11" ht="15">
      <c r="A7" s="492"/>
      <c r="B7" s="1755"/>
      <c r="C7" s="1755"/>
    </row>
    <row r="8" spans="1:11" s="492" customFormat="1" ht="15">
      <c r="A8" s="853"/>
      <c r="B8" s="1275" t="s">
        <v>112</v>
      </c>
      <c r="C8" s="1276" t="s">
        <v>148</v>
      </c>
    </row>
    <row r="9" spans="1:11">
      <c r="A9" s="853">
        <v>1</v>
      </c>
      <c r="B9" s="854" t="s">
        <v>790</v>
      </c>
      <c r="C9" s="1062">
        <v>-2314933.5699999998</v>
      </c>
      <c r="D9" s="913"/>
    </row>
    <row r="10" spans="1:11">
      <c r="A10" s="853">
        <f>+A9+1</f>
        <v>2</v>
      </c>
      <c r="B10" s="854" t="s">
        <v>834</v>
      </c>
      <c r="C10" s="1064">
        <v>-2314933.5699999998</v>
      </c>
      <c r="D10" s="982"/>
    </row>
    <row r="11" spans="1:11">
      <c r="A11" s="853">
        <f>+A10+1</f>
        <v>3</v>
      </c>
      <c r="B11" s="854" t="s">
        <v>835</v>
      </c>
      <c r="C11" s="1081">
        <f>+C9-C10</f>
        <v>0</v>
      </c>
      <c r="E11" s="982" t="s">
        <v>863</v>
      </c>
    </row>
    <row r="12" spans="1:11">
      <c r="A12" s="853"/>
      <c r="B12" s="854"/>
      <c r="C12" s="695"/>
    </row>
    <row r="13" spans="1:11">
      <c r="A13" s="853"/>
      <c r="B13" s="854"/>
      <c r="C13" s="695"/>
    </row>
    <row r="14" spans="1:11" s="855" customFormat="1">
      <c r="A14" s="855" t="s">
        <v>295</v>
      </c>
    </row>
    <row r="15" spans="1:11" s="855" customFormat="1" ht="44.4" customHeight="1">
      <c r="A15" s="856" t="s">
        <v>170</v>
      </c>
      <c r="B15" s="1753" t="s">
        <v>1160</v>
      </c>
      <c r="C15" s="1753"/>
    </row>
    <row r="16" spans="1:11" s="855" customFormat="1" ht="27" customHeight="1">
      <c r="A16" s="856" t="s">
        <v>316</v>
      </c>
      <c r="B16" s="1752" t="str">
        <f>+"See Appendix A Note "&amp;'Appendix A'!A309&amp;".  For PAYGO OpCo's (EGSL and ELL), the difference is the annual PBOP expense recorded in Account 926 (Line 1) less the Account 926 PBOP PAYGO expense (Line 2)."</f>
        <v>See Appendix A Note D.  For PAYGO OpCo's (EGSL and ELL), the difference is the annual PBOP expense recorded in Account 926 (Line 1) less the Account 926 PBOP PAYGO expense (Line 2).</v>
      </c>
      <c r="C16" s="1752"/>
      <c r="D16" s="1063"/>
      <c r="E16" s="1063"/>
      <c r="F16" s="1063"/>
      <c r="G16" s="1063"/>
      <c r="H16" s="1063"/>
      <c r="I16" s="1063"/>
      <c r="J16" s="1063"/>
      <c r="K16" s="1063"/>
    </row>
  </sheetData>
  <mergeCells count="6">
    <mergeCell ref="B16:C16"/>
    <mergeCell ref="B15:C15"/>
    <mergeCell ref="A1:C1"/>
    <mergeCell ref="B7:C7"/>
    <mergeCell ref="A2:C2"/>
    <mergeCell ref="A3:C3"/>
  </mergeCells>
  <phoneticPr fontId="88" type="noConversion"/>
  <printOptions horizontalCentered="1"/>
  <pageMargins left="0.7" right="0.7" top="0.7" bottom="0.7" header="0.3" footer="0.5"/>
  <pageSetup orientation="portrait" r:id="rId1"/>
  <headerFooter>
    <oddFooter>&amp;R&amp;A</oddFooter>
  </headerFooter>
  <ignoredErrors>
    <ignoredError sqref="A15:A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240"/>
  <sheetViews>
    <sheetView zoomScaleNormal="100" zoomScaleSheetLayoutView="100" workbookViewId="0">
      <selection activeCell="A9" sqref="A9"/>
    </sheetView>
  </sheetViews>
  <sheetFormatPr defaultColWidth="9.109375" defaultRowHeight="13.2"/>
  <cols>
    <col min="1" max="1" width="6.33203125" style="278" bestFit="1" customWidth="1"/>
    <col min="2" max="2" width="79.44140625" style="278" bestFit="1" customWidth="1"/>
    <col min="3" max="3" width="50.44140625" style="278" customWidth="1"/>
    <col min="4" max="4" width="14" style="278" bestFit="1" customWidth="1"/>
    <col min="5" max="5" width="1.44140625" style="278" customWidth="1"/>
    <col min="6" max="6" width="7.6640625" style="278" customWidth="1"/>
    <col min="7" max="7" width="11.44140625" style="278" customWidth="1"/>
    <col min="8" max="8" width="6.33203125" style="278" hidden="1" customWidth="1"/>
    <col min="9" max="9" width="15.33203125" style="278" customWidth="1"/>
    <col min="10" max="10" width="3.44140625" style="278" customWidth="1"/>
    <col min="11" max="11" width="7" style="278" customWidth="1"/>
    <col min="12" max="12" width="14" style="279" customWidth="1"/>
    <col min="13" max="14" width="14.33203125" style="279" customWidth="1"/>
    <col min="15" max="15" width="13.109375" style="278" customWidth="1"/>
    <col min="16" max="16" width="15.88671875" style="279" bestFit="1" customWidth="1"/>
    <col min="17" max="17" width="25.6640625" style="279" customWidth="1"/>
    <col min="18" max="18" width="14.88671875" style="278" bestFit="1" customWidth="1"/>
    <col min="19" max="16384" width="9.109375" style="278"/>
  </cols>
  <sheetData>
    <row r="1" spans="1:15" s="278" customFormat="1">
      <c r="I1" s="952"/>
      <c r="J1" s="952"/>
      <c r="K1" s="953" t="s">
        <v>932</v>
      </c>
      <c r="L1" s="279"/>
    </row>
    <row r="2" spans="1:15" s="278" customFormat="1">
      <c r="A2" s="280"/>
      <c r="B2" s="280"/>
      <c r="C2" s="280"/>
      <c r="E2" s="280"/>
      <c r="F2" s="280"/>
      <c r="G2" s="280"/>
      <c r="H2" s="280"/>
      <c r="I2" s="280"/>
      <c r="J2" s="280"/>
      <c r="K2" s="281" t="s">
        <v>311</v>
      </c>
      <c r="L2" s="279"/>
    </row>
    <row r="3" spans="1:15" s="278" customFormat="1">
      <c r="A3" s="280"/>
      <c r="B3" s="280"/>
      <c r="C3" s="1425" t="s">
        <v>1098</v>
      </c>
      <c r="D3" s="280"/>
      <c r="E3" s="280"/>
      <c r="F3" s="280"/>
      <c r="G3" s="280"/>
      <c r="H3" s="280"/>
      <c r="I3" s="280"/>
      <c r="J3" s="280"/>
      <c r="K3" s="280"/>
      <c r="L3" s="279"/>
    </row>
    <row r="4" spans="1:15" s="278" customFormat="1" ht="13.2" customHeight="1">
      <c r="A4" s="282"/>
      <c r="B4" s="283" t="s">
        <v>312</v>
      </c>
      <c r="C4" s="284" t="s">
        <v>313</v>
      </c>
      <c r="E4" s="283"/>
      <c r="F4" s="283"/>
      <c r="G4" s="285"/>
      <c r="H4" s="286"/>
      <c r="I4" s="949"/>
      <c r="J4" s="950"/>
      <c r="K4" s="951" t="s">
        <v>1383</v>
      </c>
      <c r="L4" s="1796" t="s">
        <v>1100</v>
      </c>
      <c r="M4" s="1796"/>
      <c r="N4" s="1796"/>
      <c r="O4" s="1796"/>
    </row>
    <row r="5" spans="1:15" s="278" customFormat="1" ht="13.8" thickBot="1">
      <c r="A5" s="282"/>
      <c r="C5" s="287" t="s">
        <v>314</v>
      </c>
      <c r="E5" s="288"/>
      <c r="F5" s="288"/>
      <c r="G5" s="288"/>
      <c r="H5" s="289"/>
      <c r="I5" s="289"/>
      <c r="J5" s="290"/>
      <c r="K5" s="290"/>
      <c r="L5" s="1796"/>
      <c r="M5" s="1796"/>
      <c r="N5" s="1796"/>
      <c r="O5" s="1796"/>
    </row>
    <row r="6" spans="1:15" s="278" customFormat="1" ht="14.4" thickBot="1">
      <c r="A6" s="282"/>
      <c r="B6" s="291"/>
      <c r="C6" s="1797" t="s">
        <v>933</v>
      </c>
      <c r="E6" s="290"/>
      <c r="F6" s="290"/>
      <c r="G6" s="290"/>
      <c r="H6" s="290"/>
      <c r="J6" s="292"/>
      <c r="K6" s="292"/>
      <c r="L6" s="1114" t="s">
        <v>315</v>
      </c>
    </row>
    <row r="7" spans="1:15" s="278" customFormat="1" ht="13.8">
      <c r="B7" s="291"/>
      <c r="C7" s="927" t="str">
        <f>+L6&amp;" Rate"</f>
        <v>Projected Rate</v>
      </c>
      <c r="J7" s="293"/>
      <c r="K7" s="293"/>
    </row>
    <row r="8" spans="1:15" s="278" customFormat="1">
      <c r="A8" s="284"/>
      <c r="C8" s="290"/>
      <c r="D8" s="294"/>
      <c r="E8" s="290"/>
      <c r="F8" s="290"/>
      <c r="G8" s="290"/>
      <c r="H8" s="290"/>
      <c r="I8" s="290"/>
      <c r="J8" s="290"/>
      <c r="K8" s="290"/>
      <c r="L8" s="279" t="s">
        <v>315</v>
      </c>
    </row>
    <row r="9" spans="1:15" s="278" customFormat="1">
      <c r="A9" s="284"/>
      <c r="B9" s="296" t="s">
        <v>170</v>
      </c>
      <c r="C9" s="296" t="s">
        <v>316</v>
      </c>
      <c r="D9" s="296" t="s">
        <v>317</v>
      </c>
      <c r="E9" s="288" t="s">
        <v>65</v>
      </c>
      <c r="F9" s="288"/>
      <c r="G9" s="294" t="s">
        <v>318</v>
      </c>
      <c r="H9" s="288"/>
      <c r="I9" s="294" t="s">
        <v>319</v>
      </c>
      <c r="J9" s="290"/>
      <c r="K9" s="290"/>
      <c r="L9" s="279" t="s">
        <v>1101</v>
      </c>
    </row>
    <row r="10" spans="1:15" s="278" customFormat="1">
      <c r="A10" s="284" t="s">
        <v>320</v>
      </c>
      <c r="B10" s="290"/>
      <c r="C10" s="290"/>
      <c r="D10" s="297"/>
      <c r="E10" s="290"/>
      <c r="F10" s="290"/>
      <c r="G10" s="290"/>
      <c r="H10" s="290"/>
      <c r="I10" s="284" t="s">
        <v>321</v>
      </c>
      <c r="J10" s="290"/>
      <c r="K10" s="290"/>
      <c r="L10" s="295">
        <f>IF(L6=L8,0,1)</f>
        <v>0</v>
      </c>
    </row>
    <row r="11" spans="1:15" s="278" customFormat="1" ht="13.8" thickBot="1">
      <c r="A11" s="298" t="s">
        <v>322</v>
      </c>
      <c r="B11" s="290"/>
      <c r="C11" s="290"/>
      <c r="D11" s="290"/>
      <c r="E11" s="290"/>
      <c r="F11" s="290"/>
      <c r="G11" s="290"/>
      <c r="H11" s="290"/>
      <c r="I11" s="298" t="s">
        <v>148</v>
      </c>
      <c r="J11" s="290"/>
      <c r="K11" s="290"/>
      <c r="L11" s="279"/>
    </row>
    <row r="12" spans="1:15" s="278" customFormat="1">
      <c r="A12" s="355">
        <v>1</v>
      </c>
      <c r="B12" s="290" t="s">
        <v>323</v>
      </c>
      <c r="C12" s="302" t="str">
        <f>+"Page 3, Line "&amp;A174</f>
        <v>Page 3, Line 31</v>
      </c>
      <c r="D12" s="299"/>
      <c r="E12" s="290"/>
      <c r="F12" s="290"/>
      <c r="G12" s="290"/>
      <c r="H12" s="290"/>
      <c r="I12" s="300">
        <f>+I174</f>
        <v>134130665.59002203</v>
      </c>
      <c r="J12" s="290"/>
      <c r="K12" s="292"/>
      <c r="L12" s="279"/>
    </row>
    <row r="13" spans="1:15" s="278" customFormat="1">
      <c r="A13" s="355"/>
      <c r="B13" s="290"/>
      <c r="C13" s="290"/>
      <c r="D13" s="290"/>
      <c r="E13" s="290"/>
      <c r="F13" s="290"/>
      <c r="G13" s="290"/>
      <c r="H13" s="290"/>
      <c r="I13" s="299"/>
      <c r="J13" s="290"/>
      <c r="K13" s="290"/>
      <c r="L13" s="279"/>
    </row>
    <row r="14" spans="1:15" s="278" customFormat="1" ht="13.8" thickBot="1">
      <c r="A14" s="355" t="s">
        <v>65</v>
      </c>
      <c r="B14" s="301" t="s">
        <v>324</v>
      </c>
      <c r="C14" s="302"/>
      <c r="D14" s="303" t="s">
        <v>113</v>
      </c>
      <c r="E14" s="302"/>
      <c r="F14" s="304" t="s">
        <v>325</v>
      </c>
      <c r="G14" s="304"/>
      <c r="H14" s="292"/>
      <c r="I14" s="305"/>
      <c r="J14" s="292"/>
      <c r="K14" s="290"/>
      <c r="L14" s="279"/>
    </row>
    <row r="15" spans="1:15" s="278" customFormat="1">
      <c r="A15" s="355">
        <f>+A12+1</f>
        <v>2</v>
      </c>
      <c r="B15" s="706" t="str">
        <f>+B224</f>
        <v xml:space="preserve">Account 454 (Rent From Electric Property: General Plant Only) </v>
      </c>
      <c r="C15" s="302" t="str">
        <f>+"Page 4, Line "&amp;A224</f>
        <v>Page 4, Line 34</v>
      </c>
      <c r="D15" s="300">
        <f>+I224</f>
        <v>42466.716332555901</v>
      </c>
      <c r="E15" s="302"/>
      <c r="F15" s="302" t="s">
        <v>326</v>
      </c>
      <c r="G15" s="306">
        <v>1</v>
      </c>
      <c r="H15" s="307"/>
      <c r="I15" s="300">
        <f>+G15*D15</f>
        <v>42466.716332555901</v>
      </c>
      <c r="J15" s="292"/>
      <c r="K15" s="290"/>
      <c r="L15" s="279"/>
    </row>
    <row r="16" spans="1:15" s="278" customFormat="1">
      <c r="A16" s="355">
        <f>+A15+1</f>
        <v>3</v>
      </c>
      <c r="B16" s="706" t="str">
        <f>+B227</f>
        <v>Account 456.1 Transmission Service Revenue Credits</v>
      </c>
      <c r="C16" s="302" t="str">
        <f>+"Page 4, Line "&amp;A231</f>
        <v>Page 4, Line 37</v>
      </c>
      <c r="D16" s="300">
        <f>+I231</f>
        <v>1939929.5151238106</v>
      </c>
      <c r="E16" s="302"/>
      <c r="F16" s="302" t="s">
        <v>326</v>
      </c>
      <c r="G16" s="306">
        <v>1</v>
      </c>
      <c r="H16" s="307"/>
      <c r="I16" s="300">
        <f>+G16*D16</f>
        <v>1939929.5151238106</v>
      </c>
      <c r="J16" s="292"/>
      <c r="K16" s="290"/>
      <c r="L16" s="279"/>
    </row>
    <row r="17" spans="1:17">
      <c r="A17" s="355">
        <f>+A16+1</f>
        <v>4</v>
      </c>
      <c r="B17" s="706" t="s">
        <v>831</v>
      </c>
      <c r="C17" s="309"/>
      <c r="D17" s="308"/>
      <c r="E17" s="302"/>
      <c r="F17" s="302" t="s">
        <v>327</v>
      </c>
      <c r="G17" s="306" t="s">
        <v>328</v>
      </c>
      <c r="H17" s="307"/>
      <c r="I17" s="308"/>
      <c r="J17" s="292"/>
      <c r="K17" s="290"/>
      <c r="N17" s="278"/>
      <c r="P17" s="278"/>
      <c r="Q17" s="278"/>
    </row>
    <row r="18" spans="1:17" ht="14.4" thickBot="1">
      <c r="A18" s="355">
        <f>+A17+1</f>
        <v>5</v>
      </c>
      <c r="B18" s="706" t="s">
        <v>831</v>
      </c>
      <c r="C18" s="309"/>
      <c r="D18" s="308"/>
      <c r="E18" s="302"/>
      <c r="F18" s="302" t="s">
        <v>327</v>
      </c>
      <c r="G18" s="306" t="s">
        <v>328</v>
      </c>
      <c r="H18" s="307"/>
      <c r="I18" s="310"/>
      <c r="J18" s="292"/>
      <c r="K18" s="290"/>
      <c r="L18" s="1798" t="s">
        <v>1150</v>
      </c>
      <c r="N18" s="278"/>
      <c r="P18" s="278"/>
      <c r="Q18" s="278"/>
    </row>
    <row r="19" spans="1:17">
      <c r="A19" s="355">
        <f>+A18+1</f>
        <v>6</v>
      </c>
      <c r="B19" s="301" t="s">
        <v>329</v>
      </c>
      <c r="C19" s="292" t="str">
        <f>+"(Sum of Line "&amp;A15&amp;" to Line "&amp;A18&amp;")"</f>
        <v>(Sum of Line 2 to Line 5)</v>
      </c>
      <c r="D19" s="311" t="s">
        <v>65</v>
      </c>
      <c r="E19" s="302"/>
      <c r="F19" s="302"/>
      <c r="G19" s="312"/>
      <c r="H19" s="307"/>
      <c r="I19" s="300">
        <f>SUM(I15:I18)</f>
        <v>1982396.2314563666</v>
      </c>
      <c r="J19" s="292"/>
      <c r="K19" s="290"/>
      <c r="L19" s="1283"/>
      <c r="M19" s="1283"/>
      <c r="N19" s="1284"/>
      <c r="O19" s="1284"/>
      <c r="P19" s="1284"/>
      <c r="Q19" s="278"/>
    </row>
    <row r="20" spans="1:17">
      <c r="A20" s="355"/>
      <c r="B20" s="313"/>
      <c r="C20" s="292"/>
      <c r="D20" s="302" t="s">
        <v>65</v>
      </c>
      <c r="E20" s="292"/>
      <c r="F20" s="292"/>
      <c r="G20" s="314"/>
      <c r="H20" s="292"/>
      <c r="I20" s="313"/>
      <c r="J20" s="292"/>
      <c r="K20" s="290"/>
      <c r="L20" s="1283"/>
      <c r="M20" s="1283"/>
      <c r="N20" s="1284"/>
      <c r="O20" s="1284"/>
      <c r="P20" s="1284"/>
      <c r="Q20" s="278"/>
    </row>
    <row r="21" spans="1:17">
      <c r="A21" s="355" t="str">
        <f>+A19&amp;"a"</f>
        <v>6a</v>
      </c>
      <c r="B21" s="315" t="s">
        <v>331</v>
      </c>
      <c r="C21" s="302" t="str">
        <f>+"Appendix A Line"&amp;'Appendix A'!A291&amp;" "&amp;$L$6&amp;" Column"</f>
        <v>Appendix A Line194 Projected Column</v>
      </c>
      <c r="D21" s="300">
        <f>IF($L$10=0,'Appendix A'!H291,'Appendix A'!G291)</f>
        <v>-4579264.2329543056</v>
      </c>
      <c r="E21" s="316"/>
      <c r="F21" s="317" t="s">
        <v>326</v>
      </c>
      <c r="G21" s="318">
        <v>1</v>
      </c>
      <c r="H21" s="316"/>
      <c r="I21" s="300">
        <f>+G21*D21</f>
        <v>-4579264.2329543056</v>
      </c>
      <c r="J21" s="292"/>
      <c r="K21" s="290"/>
      <c r="L21" s="1283"/>
      <c r="M21" s="1283">
        <f>IF($L$10=0,'Appendix A'!H291,'Appendix A'!G291)</f>
        <v>-4579264.2329543056</v>
      </c>
      <c r="N21" s="1285">
        <f>+I21-M21</f>
        <v>0</v>
      </c>
      <c r="O21" s="1284"/>
      <c r="P21" s="1284"/>
      <c r="Q21" s="278"/>
    </row>
    <row r="22" spans="1:17">
      <c r="A22" s="355"/>
      <c r="B22" s="313"/>
      <c r="C22" s="292"/>
      <c r="D22" s="302"/>
      <c r="E22" s="292"/>
      <c r="F22" s="292"/>
      <c r="G22" s="314"/>
      <c r="H22" s="292"/>
      <c r="I22" s="313"/>
      <c r="J22" s="292"/>
      <c r="K22" s="290"/>
      <c r="L22" s="1283"/>
      <c r="M22" s="1283"/>
      <c r="N22" s="1284"/>
      <c r="O22" s="1284"/>
      <c r="P22" s="1284"/>
      <c r="Q22" s="278"/>
    </row>
    <row r="23" spans="1:17">
      <c r="A23" s="355" t="s">
        <v>645</v>
      </c>
      <c r="B23" s="315" t="s">
        <v>330</v>
      </c>
      <c r="C23" s="278" t="str">
        <f>+"(Line "&amp;A12&amp;" - Line "&amp;A19&amp;" + Line "&amp;A21&amp;")"</f>
        <v>(Line 1 - Line 6 + Line 6a)</v>
      </c>
      <c r="I23" s="931">
        <f>+I12-I19+I21</f>
        <v>127569005.12561135</v>
      </c>
      <c r="J23" s="292"/>
      <c r="K23" s="290"/>
      <c r="L23" s="1283"/>
      <c r="M23" s="1283">
        <f>IF($L$10=0,'Appendix A'!H293,'Appendix A'!G288)</f>
        <v>127569005.12561136</v>
      </c>
      <c r="N23" s="1285">
        <f>+I23-M23</f>
        <v>0</v>
      </c>
      <c r="O23" s="1284"/>
      <c r="P23" s="1284"/>
      <c r="Q23" s="278"/>
    </row>
    <row r="24" spans="1:17">
      <c r="A24" s="355"/>
      <c r="B24" s="315"/>
      <c r="C24" s="319"/>
      <c r="D24" s="319"/>
      <c r="E24" s="319"/>
      <c r="F24" s="319"/>
      <c r="G24" s="319"/>
      <c r="H24" s="319"/>
      <c r="I24" s="319"/>
      <c r="J24" s="292"/>
      <c r="K24" s="290"/>
      <c r="L24" s="1283"/>
      <c r="M24" s="1283"/>
      <c r="N24" s="1284"/>
      <c r="O24" s="1284"/>
      <c r="P24" s="1284"/>
      <c r="Q24" s="278"/>
    </row>
    <row r="25" spans="1:17">
      <c r="A25" s="355" t="s">
        <v>644</v>
      </c>
      <c r="B25" s="301" t="s">
        <v>806</v>
      </c>
      <c r="C25" s="302" t="str">
        <f>+"Appendix A Line "&amp;'Appendix A'!A296&amp;" "&amp;$L$6&amp;" Column"</f>
        <v>Appendix A Line 197 Projected Column</v>
      </c>
      <c r="D25" s="308"/>
      <c r="E25" s="292"/>
      <c r="F25" s="292"/>
      <c r="G25" s="314"/>
      <c r="H25" s="292"/>
      <c r="I25" s="300">
        <f>IF($L$10=0,'Appendix A'!H296,'Appendix A'!G296)</f>
        <v>0</v>
      </c>
      <c r="J25" s="292"/>
      <c r="K25" s="290"/>
      <c r="L25" s="1283"/>
      <c r="M25" s="1283"/>
      <c r="N25" s="1284"/>
      <c r="O25" s="1284"/>
      <c r="P25" s="1284"/>
      <c r="Q25" s="278"/>
    </row>
    <row r="26" spans="1:17">
      <c r="A26" s="355" t="s">
        <v>646</v>
      </c>
      <c r="B26" s="301" t="s">
        <v>806</v>
      </c>
      <c r="C26" s="302" t="str">
        <f>+"Appendix A Line "&amp;'Appendix A'!A297&amp;" "&amp;$L$6&amp;" Column"</f>
        <v>Appendix A Line 198 Projected Column</v>
      </c>
      <c r="D26" s="302"/>
      <c r="E26" s="292"/>
      <c r="F26" s="292"/>
      <c r="G26" s="314"/>
      <c r="H26" s="292"/>
      <c r="I26" s="300">
        <f>IF($L$10=0,'Appendix A'!H297,'Appendix A'!G297)</f>
        <v>0</v>
      </c>
      <c r="J26" s="292"/>
      <c r="K26" s="290"/>
      <c r="L26" s="1284"/>
      <c r="M26" s="1284"/>
      <c r="N26" s="1284"/>
      <c r="O26" s="1284"/>
      <c r="P26" s="1284"/>
      <c r="Q26" s="278"/>
    </row>
    <row r="27" spans="1:17">
      <c r="A27" s="384"/>
      <c r="B27" s="315"/>
      <c r="C27" s="316"/>
      <c r="D27" s="321"/>
      <c r="E27" s="321"/>
      <c r="F27" s="321"/>
      <c r="G27" s="321"/>
      <c r="H27" s="321"/>
      <c r="I27" s="322"/>
      <c r="J27" s="319"/>
      <c r="K27" s="320"/>
      <c r="L27" s="1284"/>
      <c r="M27" s="1283"/>
      <c r="N27" s="1285"/>
      <c r="O27" s="1284"/>
      <c r="P27" s="1284"/>
      <c r="Q27" s="278"/>
    </row>
    <row r="28" spans="1:17" ht="13.8" thickBot="1">
      <c r="A28" s="384">
        <v>7</v>
      </c>
      <c r="B28" s="315" t="s">
        <v>330</v>
      </c>
      <c r="C28" s="316" t="str">
        <f>+"(Sum of Line "&amp;A23&amp;" to Line "&amp;A26&amp;")"</f>
        <v>(Sum of Line 7a to Line 7c)</v>
      </c>
      <c r="D28" s="321"/>
      <c r="E28" s="322"/>
      <c r="F28" s="322"/>
      <c r="G28" s="322"/>
      <c r="H28" s="322"/>
      <c r="I28" s="1177">
        <f>+SUM(I23:I26)</f>
        <v>127569005.12561135</v>
      </c>
      <c r="J28" s="319"/>
      <c r="K28" s="320"/>
      <c r="L28" s="1284"/>
      <c r="M28" s="1283">
        <f>IF($L$10=0,'Appendix A'!H293,'Appendix A'!G293)</f>
        <v>127569005.12561136</v>
      </c>
      <c r="N28" s="1285">
        <f>+I28-M28</f>
        <v>0</v>
      </c>
      <c r="O28" s="1284"/>
      <c r="P28" s="1284"/>
      <c r="Q28" s="278"/>
    </row>
    <row r="29" spans="1:17" ht="13.8" thickTop="1">
      <c r="A29" s="323"/>
      <c r="B29" s="324"/>
      <c r="C29" s="320"/>
      <c r="D29" s="320"/>
      <c r="E29" s="320"/>
      <c r="F29" s="325"/>
      <c r="G29" s="326"/>
      <c r="H29" s="320"/>
      <c r="I29" s="324"/>
      <c r="J29" s="320"/>
      <c r="K29" s="320"/>
      <c r="L29" s="1283"/>
      <c r="M29" s="1283"/>
      <c r="N29" s="1284"/>
      <c r="O29" s="1284"/>
      <c r="P29" s="1284"/>
      <c r="Q29" s="278"/>
    </row>
    <row r="30" spans="1:17">
      <c r="A30" s="323"/>
      <c r="B30" s="327"/>
      <c r="C30" s="320"/>
      <c r="D30" s="320"/>
      <c r="E30" s="320"/>
      <c r="F30" s="325"/>
      <c r="G30" s="326"/>
      <c r="H30" s="320"/>
      <c r="I30" s="324"/>
      <c r="J30" s="320"/>
      <c r="K30" s="320"/>
      <c r="L30" s="1283"/>
      <c r="M30" s="1283"/>
      <c r="N30" s="1284"/>
      <c r="O30" s="1284"/>
      <c r="P30" s="1284"/>
      <c r="Q30" s="278"/>
    </row>
    <row r="31" spans="1:17" ht="15.6">
      <c r="A31" s="343"/>
      <c r="B31" s="328" t="s">
        <v>332</v>
      </c>
      <c r="C31" s="329"/>
      <c r="D31" s="330"/>
      <c r="E31" s="329"/>
      <c r="F31" s="329"/>
      <c r="G31" s="329"/>
      <c r="H31" s="329"/>
      <c r="I31" s="331"/>
      <c r="J31" s="329"/>
      <c r="L31" s="1286"/>
      <c r="M31" s="1283"/>
      <c r="N31" s="1284"/>
      <c r="O31" s="1284"/>
      <c r="P31" s="1284"/>
      <c r="Q31" s="278"/>
    </row>
    <row r="32" spans="1:17" ht="15.6">
      <c r="A32" s="343">
        <f>+A28+1</f>
        <v>8</v>
      </c>
      <c r="B32" s="709" t="s">
        <v>616</v>
      </c>
      <c r="C32" s="302" t="str">
        <f>+"Appendix A Line "&amp;'Appendix A'!A301&amp;" "&amp;$L$6&amp;" Column"</f>
        <v>Appendix A Line 200 Projected Column</v>
      </c>
      <c r="D32" s="330"/>
      <c r="E32" s="329"/>
      <c r="F32" s="329"/>
      <c r="G32" s="332"/>
      <c r="H32" s="329"/>
      <c r="I32" s="300">
        <f>IF($L$10=0,'Appendix A'!$H$301,'Appendix A'!$G$301)</f>
        <v>3336416.6666666665</v>
      </c>
      <c r="J32" s="329"/>
      <c r="L32" s="1286"/>
      <c r="M32" s="1283"/>
      <c r="N32" s="1284"/>
      <c r="O32" s="1284"/>
      <c r="P32" s="1284"/>
      <c r="Q32" s="278"/>
    </row>
    <row r="33" spans="1:17" ht="15.6">
      <c r="A33" s="343">
        <f t="shared" ref="A33:A39" si="0">+A32+1</f>
        <v>9</v>
      </c>
      <c r="B33" s="706" t="s">
        <v>831</v>
      </c>
      <c r="C33" s="329"/>
      <c r="D33" s="329"/>
      <c r="E33" s="329"/>
      <c r="F33" s="329"/>
      <c r="G33" s="332"/>
      <c r="H33" s="329"/>
      <c r="I33" s="335">
        <v>0</v>
      </c>
      <c r="J33" s="329"/>
      <c r="L33" s="1286"/>
      <c r="M33" s="1284"/>
      <c r="N33" s="1284"/>
      <c r="O33" s="1284"/>
      <c r="P33" s="1284"/>
      <c r="Q33" s="278"/>
    </row>
    <row r="34" spans="1:17" ht="15.6">
      <c r="A34" s="343">
        <f t="shared" si="0"/>
        <v>10</v>
      </c>
      <c r="B34" s="706" t="s">
        <v>831</v>
      </c>
      <c r="C34" s="329"/>
      <c r="D34" s="329"/>
      <c r="E34" s="329"/>
      <c r="F34" s="329"/>
      <c r="G34" s="332"/>
      <c r="H34" s="329"/>
      <c r="I34" s="335">
        <v>0</v>
      </c>
      <c r="J34" s="329"/>
      <c r="L34" s="1286"/>
      <c r="M34" s="1284"/>
      <c r="N34" s="1284"/>
      <c r="O34" s="1284"/>
      <c r="P34" s="1284"/>
      <c r="Q34" s="278"/>
    </row>
    <row r="35" spans="1:17" ht="15.6">
      <c r="A35" s="343">
        <f t="shared" si="0"/>
        <v>11</v>
      </c>
      <c r="B35" s="706" t="s">
        <v>831</v>
      </c>
      <c r="C35" s="329"/>
      <c r="D35" s="329"/>
      <c r="E35" s="329"/>
      <c r="F35" s="329"/>
      <c r="G35" s="332"/>
      <c r="H35" s="329"/>
      <c r="I35" s="335">
        <v>0</v>
      </c>
      <c r="J35" s="329"/>
      <c r="L35" s="1286"/>
      <c r="M35" s="1284"/>
      <c r="N35" s="1284"/>
      <c r="O35" s="1284"/>
      <c r="P35" s="1284"/>
      <c r="Q35" s="278"/>
    </row>
    <row r="36" spans="1:17" ht="15.6">
      <c r="A36" s="343">
        <f t="shared" si="0"/>
        <v>12</v>
      </c>
      <c r="B36" s="706" t="s">
        <v>831</v>
      </c>
      <c r="C36" s="329"/>
      <c r="D36" s="329"/>
      <c r="E36" s="329"/>
      <c r="F36" s="329"/>
      <c r="G36" s="332"/>
      <c r="H36" s="329"/>
      <c r="I36" s="335">
        <v>0</v>
      </c>
      <c r="J36" s="329"/>
      <c r="L36" s="1286"/>
      <c r="M36" s="1284"/>
      <c r="N36" s="1284"/>
      <c r="O36" s="1284"/>
      <c r="P36" s="1284"/>
      <c r="Q36" s="278"/>
    </row>
    <row r="37" spans="1:17" ht="15.6">
      <c r="A37" s="343">
        <f t="shared" si="0"/>
        <v>13</v>
      </c>
      <c r="B37" s="706" t="s">
        <v>831</v>
      </c>
      <c r="C37" s="329"/>
      <c r="D37" s="329"/>
      <c r="E37" s="329"/>
      <c r="F37" s="329"/>
      <c r="G37" s="332"/>
      <c r="H37" s="329"/>
      <c r="I37" s="335">
        <v>0</v>
      </c>
      <c r="J37" s="329"/>
      <c r="L37" s="1286"/>
      <c r="M37" s="1284"/>
      <c r="N37" s="1284"/>
      <c r="O37" s="1284"/>
      <c r="P37" s="1284"/>
      <c r="Q37" s="278"/>
    </row>
    <row r="38" spans="1:17" ht="16.2" thickBot="1">
      <c r="A38" s="343">
        <f t="shared" si="0"/>
        <v>14</v>
      </c>
      <c r="B38" s="706" t="s">
        <v>831</v>
      </c>
      <c r="C38" s="329"/>
      <c r="D38" s="329"/>
      <c r="E38" s="329"/>
      <c r="F38" s="329"/>
      <c r="G38" s="332"/>
      <c r="H38" s="329"/>
      <c r="I38" s="336">
        <v>0</v>
      </c>
      <c r="J38" s="329"/>
      <c r="L38" s="1286"/>
      <c r="M38" s="1284"/>
      <c r="N38" s="1284"/>
      <c r="O38" s="1284"/>
      <c r="P38" s="1284"/>
      <c r="Q38" s="278"/>
    </row>
    <row r="39" spans="1:17" ht="15.6">
      <c r="A39" s="343">
        <f t="shared" si="0"/>
        <v>15</v>
      </c>
      <c r="B39" s="337" t="str">
        <f>+B31</f>
        <v xml:space="preserve">DIVISOR </v>
      </c>
      <c r="C39" s="329" t="str">
        <f>+"(Sum of Line "&amp;A32&amp;" to Line "&amp;A38&amp;")"</f>
        <v>(Sum of Line 8 to Line 14)</v>
      </c>
      <c r="D39" s="329"/>
      <c r="E39" s="329"/>
      <c r="F39" s="329"/>
      <c r="G39" s="329"/>
      <c r="H39" s="329"/>
      <c r="I39" s="333">
        <f>SUM(I32:I38)</f>
        <v>3336416.6666666665</v>
      </c>
      <c r="J39" s="329"/>
      <c r="L39" s="1286"/>
      <c r="M39" s="1284"/>
      <c r="N39" s="1284"/>
      <c r="O39" s="1284"/>
      <c r="P39" s="1284"/>
      <c r="Q39" s="278"/>
    </row>
    <row r="40" spans="1:17" ht="15.6">
      <c r="A40" s="343"/>
      <c r="B40" s="328"/>
      <c r="C40" s="329"/>
      <c r="D40" s="329"/>
      <c r="E40" s="329"/>
      <c r="F40" s="329"/>
      <c r="G40" s="329"/>
      <c r="H40" s="329"/>
      <c r="I40" s="331"/>
      <c r="J40" s="329"/>
      <c r="L40" s="1286"/>
      <c r="M40" s="1284"/>
      <c r="N40" s="1284"/>
      <c r="O40" s="1284"/>
      <c r="P40" s="1284"/>
      <c r="Q40" s="278"/>
    </row>
    <row r="41" spans="1:17" ht="15.6">
      <c r="A41" s="343">
        <f>+A39+1</f>
        <v>16</v>
      </c>
      <c r="B41" s="328" t="s">
        <v>333</v>
      </c>
      <c r="C41" s="329" t="str">
        <f>+"(Line "&amp;A28&amp;" / Line "&amp;A39&amp;")"</f>
        <v>(Line 7 / Line 15)</v>
      </c>
      <c r="D41" s="331">
        <f>IF(I39&gt;0,I28/I39,0)</f>
        <v>38.235333853868582</v>
      </c>
      <c r="E41" s="331"/>
      <c r="F41" s="331"/>
      <c r="G41" s="331"/>
      <c r="H41" s="331"/>
      <c r="I41" s="308"/>
      <c r="J41" s="329"/>
      <c r="L41" s="1286"/>
      <c r="M41" s="1284"/>
      <c r="N41" s="1284"/>
      <c r="O41" s="1284"/>
      <c r="P41" s="1284"/>
      <c r="Q41" s="278"/>
    </row>
    <row r="42" spans="1:17" ht="15.6">
      <c r="A42" s="343">
        <f>+A41+1</f>
        <v>17</v>
      </c>
      <c r="B42" s="328" t="s">
        <v>334</v>
      </c>
      <c r="C42" s="329" t="str">
        <f>+"(Line "&amp;A41&amp;" / 12)"</f>
        <v>(Line 16 / 12)</v>
      </c>
      <c r="D42" s="331">
        <f>+D41/12</f>
        <v>3.186277821155715</v>
      </c>
      <c r="E42" s="331"/>
      <c r="F42" s="331"/>
      <c r="G42" s="331"/>
      <c r="H42" s="331"/>
      <c r="I42" s="308"/>
      <c r="J42" s="329"/>
      <c r="L42" s="1286"/>
      <c r="M42" s="1284"/>
      <c r="N42" s="1284"/>
      <c r="O42" s="1284"/>
      <c r="P42" s="1284"/>
      <c r="Q42" s="278"/>
    </row>
    <row r="43" spans="1:17" ht="15.6">
      <c r="A43" s="343"/>
      <c r="B43" s="328"/>
      <c r="C43" s="329"/>
      <c r="D43" s="331"/>
      <c r="E43" s="331"/>
      <c r="F43" s="331"/>
      <c r="G43" s="331"/>
      <c r="H43" s="331"/>
      <c r="I43" s="308"/>
      <c r="J43" s="329"/>
      <c r="L43" s="1286"/>
      <c r="M43" s="1284"/>
      <c r="N43" s="1284"/>
      <c r="O43" s="1284"/>
      <c r="P43" s="1284"/>
      <c r="Q43" s="278"/>
    </row>
    <row r="44" spans="1:17" ht="15.6">
      <c r="A44" s="343"/>
      <c r="B44" s="328"/>
      <c r="C44" s="329"/>
      <c r="D44" s="338" t="s">
        <v>335</v>
      </c>
      <c r="E44" s="331"/>
      <c r="F44" s="331"/>
      <c r="G44" s="331"/>
      <c r="H44" s="331"/>
      <c r="I44" s="338" t="s">
        <v>336</v>
      </c>
      <c r="J44" s="329"/>
      <c r="L44" s="1286"/>
      <c r="M44" s="1284"/>
      <c r="N44" s="1284"/>
      <c r="O44" s="1284"/>
      <c r="P44" s="1284"/>
      <c r="Q44" s="278"/>
    </row>
    <row r="45" spans="1:17" ht="15.6">
      <c r="A45" s="343"/>
      <c r="B45" s="328"/>
      <c r="C45" s="329"/>
      <c r="D45" s="331"/>
      <c r="E45" s="331"/>
      <c r="F45" s="331"/>
      <c r="G45" s="331"/>
      <c r="H45" s="331"/>
      <c r="I45" s="308"/>
      <c r="J45" s="329"/>
      <c r="L45" s="1286"/>
      <c r="M45" s="1284"/>
      <c r="N45" s="1284"/>
      <c r="O45" s="1284"/>
      <c r="P45" s="1284"/>
      <c r="Q45" s="278"/>
    </row>
    <row r="46" spans="1:17" ht="15.6">
      <c r="A46" s="343">
        <f>+A42+1</f>
        <v>18</v>
      </c>
      <c r="B46" s="328" t="s">
        <v>337</v>
      </c>
      <c r="C46" s="339" t="str">
        <f>+"(Line "&amp;A$41&amp;" / 52; Line "&amp;A$41&amp;" / 52)"</f>
        <v>(Line 16 / 52; Line 16 / 52)</v>
      </c>
      <c r="D46" s="331">
        <f>+D41/52</f>
        <v>0.735294881805165</v>
      </c>
      <c r="E46" s="331"/>
      <c r="F46" s="331"/>
      <c r="G46" s="331"/>
      <c r="H46" s="331"/>
      <c r="I46" s="308">
        <f>+D41/52</f>
        <v>0.735294881805165</v>
      </c>
      <c r="J46" s="329"/>
      <c r="L46" s="1286"/>
      <c r="M46" s="1284"/>
      <c r="N46" s="1284"/>
      <c r="O46" s="1284"/>
      <c r="P46" s="1284"/>
      <c r="Q46" s="278"/>
    </row>
    <row r="47" spans="1:17" ht="15.6">
      <c r="A47" s="343">
        <f>+A46+1</f>
        <v>19</v>
      </c>
      <c r="B47" s="328" t="s">
        <v>338</v>
      </c>
      <c r="C47" s="339" t="str">
        <f>+"(Line "&amp;A$41&amp;" / 260; Line "&amp;A$41&amp;" / 365)"</f>
        <v>(Line 16 / 260; Line 16 / 365)</v>
      </c>
      <c r="D47" s="331">
        <f>+D41/260</f>
        <v>0.14705897636103302</v>
      </c>
      <c r="F47" s="331" t="s">
        <v>339</v>
      </c>
      <c r="G47" s="331"/>
      <c r="H47" s="331"/>
      <c r="I47" s="308">
        <f>+D41/365</f>
        <v>0.10475433932566734</v>
      </c>
      <c r="J47" s="329"/>
      <c r="L47" s="1286"/>
      <c r="M47" s="1284"/>
      <c r="N47" s="1284"/>
      <c r="O47" s="1284"/>
      <c r="P47" s="1284"/>
      <c r="Q47" s="278"/>
    </row>
    <row r="48" spans="1:17" ht="15.6">
      <c r="A48" s="343">
        <f>+A47+1</f>
        <v>20</v>
      </c>
      <c r="B48" s="328" t="s">
        <v>340</v>
      </c>
      <c r="C48" s="339" t="str">
        <f>+"(Line "&amp;A$41&amp;" / 4160; Line "&amp;A$41&amp;" / 8760) x 1000"</f>
        <v>(Line 16 / 4160; Line 16 / 8760) x 1000</v>
      </c>
      <c r="D48" s="331">
        <f>+D41 / 4160 * 1000</f>
        <v>9.1911860225645636</v>
      </c>
      <c r="F48" s="331" t="s">
        <v>341</v>
      </c>
      <c r="G48" s="331"/>
      <c r="H48" s="331"/>
      <c r="I48" s="308">
        <f>+D41 / 8760 * 1000</f>
        <v>4.3647641385694733</v>
      </c>
      <c r="J48" s="329"/>
      <c r="L48" s="1286"/>
      <c r="M48" s="1284"/>
      <c r="N48" s="1284"/>
      <c r="O48" s="1284"/>
      <c r="P48" s="1284"/>
      <c r="Q48" s="278"/>
    </row>
    <row r="49" spans="1:17" ht="15.6">
      <c r="A49" s="343"/>
      <c r="B49" s="328"/>
      <c r="C49" s="329"/>
      <c r="D49" s="331"/>
      <c r="F49" s="331" t="s">
        <v>342</v>
      </c>
      <c r="G49" s="331"/>
      <c r="H49" s="331"/>
      <c r="I49" s="308"/>
      <c r="J49" s="329"/>
      <c r="L49" s="1286" t="s">
        <v>65</v>
      </c>
      <c r="M49" s="1284"/>
      <c r="N49" s="1284"/>
      <c r="O49" s="1284"/>
      <c r="P49" s="1284"/>
      <c r="Q49" s="278"/>
    </row>
    <row r="50" spans="1:17" ht="15.6">
      <c r="A50" s="343"/>
      <c r="B50" s="328"/>
      <c r="C50" s="329"/>
      <c r="D50" s="331"/>
      <c r="F50" s="331"/>
      <c r="G50" s="331"/>
      <c r="H50" s="331"/>
      <c r="I50" s="308"/>
      <c r="J50" s="329"/>
      <c r="L50" s="1286" t="s">
        <v>65</v>
      </c>
      <c r="M50" s="1284"/>
      <c r="N50" s="1284"/>
      <c r="O50" s="1284"/>
      <c r="P50" s="1284"/>
      <c r="Q50" s="278"/>
    </row>
    <row r="51" spans="1:17" ht="15.6">
      <c r="A51" s="343">
        <f>+A48+1</f>
        <v>21</v>
      </c>
      <c r="B51" s="340" t="s">
        <v>343</v>
      </c>
      <c r="C51" s="329" t="s">
        <v>344</v>
      </c>
      <c r="D51" s="1256">
        <v>0</v>
      </c>
      <c r="F51" s="341" t="s">
        <v>345</v>
      </c>
      <c r="G51" s="341"/>
      <c r="H51" s="341"/>
      <c r="I51" s="341">
        <f>D51</f>
        <v>0</v>
      </c>
      <c r="J51" s="342" t="s">
        <v>345</v>
      </c>
      <c r="L51" s="1286"/>
      <c r="M51" s="1284"/>
      <c r="N51" s="1284"/>
      <c r="O51" s="1284"/>
      <c r="P51" s="1284"/>
      <c r="Q51" s="278"/>
    </row>
    <row r="52" spans="1:17" ht="15.6">
      <c r="A52" s="343">
        <f>+A51+1</f>
        <v>22</v>
      </c>
      <c r="B52" s="340" t="s">
        <v>343</v>
      </c>
      <c r="C52" s="329"/>
      <c r="D52" s="1256">
        <v>0</v>
      </c>
      <c r="F52" s="341" t="s">
        <v>346</v>
      </c>
      <c r="G52" s="341"/>
      <c r="H52" s="341"/>
      <c r="I52" s="341">
        <f>D52</f>
        <v>0</v>
      </c>
      <c r="J52" s="342" t="s">
        <v>346</v>
      </c>
      <c r="L52" s="1286"/>
      <c r="M52" s="1284"/>
      <c r="N52" s="1284"/>
      <c r="O52" s="1284"/>
      <c r="P52" s="1284"/>
      <c r="Q52" s="278"/>
    </row>
    <row r="53" spans="1:17" ht="15.6">
      <c r="A53" s="343"/>
      <c r="B53" s="319"/>
      <c r="C53" s="328"/>
      <c r="D53" s="329"/>
      <c r="E53" s="344"/>
      <c r="F53" s="344"/>
      <c r="G53" s="344"/>
      <c r="H53" s="344"/>
      <c r="I53" s="344"/>
      <c r="J53" s="344"/>
      <c r="K53" s="344"/>
      <c r="L53" s="1286"/>
      <c r="M53" s="1284"/>
      <c r="N53" s="1284"/>
      <c r="O53" s="1284"/>
      <c r="P53" s="1284"/>
      <c r="Q53" s="278"/>
    </row>
    <row r="54" spans="1:17">
      <c r="A54" s="284"/>
      <c r="B54" s="345"/>
      <c r="C54" s="292"/>
      <c r="D54" s="346"/>
      <c r="E54" s="347"/>
      <c r="F54" s="347"/>
      <c r="G54" s="347"/>
      <c r="H54" s="347"/>
      <c r="I54" s="347"/>
      <c r="J54" s="347"/>
      <c r="K54" s="348" t="str">
        <f>+K1</f>
        <v>Attachment O-ETI</v>
      </c>
      <c r="L54" s="1283"/>
      <c r="M54" s="1284"/>
      <c r="N54" s="1284"/>
      <c r="O54" s="1284"/>
      <c r="P54" s="1284"/>
      <c r="Q54" s="278"/>
    </row>
    <row r="55" spans="1:17">
      <c r="A55" s="282"/>
      <c r="B55" s="345"/>
      <c r="C55" s="292"/>
      <c r="D55" s="290"/>
      <c r="E55" s="290"/>
      <c r="F55" s="290"/>
      <c r="G55" s="290"/>
      <c r="H55" s="290"/>
      <c r="I55" s="349"/>
      <c r="J55" s="290"/>
      <c r="K55" s="350" t="s">
        <v>347</v>
      </c>
      <c r="L55" s="1283"/>
      <c r="M55" s="1284"/>
      <c r="N55" s="1284"/>
      <c r="O55" s="1284"/>
      <c r="P55" s="1284"/>
      <c r="Q55" s="278"/>
    </row>
    <row r="56" spans="1:17">
      <c r="A56" s="282"/>
      <c r="B56" s="290"/>
      <c r="C56" s="377" t="str">
        <f>+C$3</f>
        <v>MISO Cover</v>
      </c>
      <c r="D56" s="290"/>
      <c r="E56" s="290"/>
      <c r="F56" s="290"/>
      <c r="G56" s="290"/>
      <c r="H56" s="290"/>
      <c r="I56" s="290"/>
      <c r="J56" s="290"/>
      <c r="K56" s="290"/>
      <c r="L56" s="1283"/>
      <c r="M56" s="1284"/>
      <c r="N56" s="1284"/>
      <c r="O56" s="1284"/>
      <c r="P56" s="1284"/>
      <c r="Q56" s="278"/>
    </row>
    <row r="57" spans="1:17">
      <c r="A57" s="282"/>
      <c r="B57" s="345" t="s">
        <v>312</v>
      </c>
      <c r="C57" s="377" t="s">
        <v>313</v>
      </c>
      <c r="E57" s="345"/>
      <c r="F57" s="345"/>
      <c r="G57" s="345"/>
      <c r="H57" s="345"/>
      <c r="I57" s="280"/>
      <c r="J57" s="345"/>
      <c r="K57" s="350" t="str">
        <f>K4</f>
        <v>For  the 12 Months Ended 12/31/2016</v>
      </c>
      <c r="L57" s="1283"/>
      <c r="M57" s="1284"/>
      <c r="N57" s="1284"/>
      <c r="O57" s="1284"/>
      <c r="P57" s="1284"/>
      <c r="Q57" s="278"/>
    </row>
    <row r="58" spans="1:17">
      <c r="A58" s="282"/>
      <c r="B58" s="351"/>
      <c r="C58" s="375" t="s">
        <v>314</v>
      </c>
      <c r="E58" s="288"/>
      <c r="F58" s="288"/>
      <c r="G58" s="288"/>
      <c r="H58" s="288"/>
      <c r="I58" s="288"/>
      <c r="J58" s="288"/>
      <c r="K58" s="288"/>
      <c r="L58" s="1283"/>
      <c r="M58" s="1284"/>
      <c r="N58" s="1284"/>
      <c r="O58" s="1284"/>
      <c r="P58" s="1284"/>
      <c r="Q58" s="278"/>
    </row>
    <row r="59" spans="1:17">
      <c r="A59" s="282"/>
      <c r="B59" s="345"/>
      <c r="C59" s="375" t="str">
        <f>+C6</f>
        <v>Entergy Texas, Inc.</v>
      </c>
      <c r="E59" s="288"/>
      <c r="F59" s="288"/>
      <c r="G59" s="288" t="s">
        <v>65</v>
      </c>
      <c r="H59" s="288"/>
      <c r="I59" s="288"/>
      <c r="J59" s="288"/>
      <c r="K59" s="288"/>
      <c r="L59" s="1283"/>
      <c r="M59" s="1284"/>
      <c r="N59" s="1284"/>
      <c r="O59" s="1284"/>
      <c r="P59" s="1284"/>
      <c r="Q59" s="278"/>
    </row>
    <row r="60" spans="1:17">
      <c r="A60" s="282"/>
      <c r="B60" s="282"/>
      <c r="C60" s="375" t="str">
        <f>+C7</f>
        <v>Projected Rate</v>
      </c>
      <c r="D60" s="282"/>
      <c r="E60" s="282"/>
      <c r="F60" s="282"/>
      <c r="G60" s="282"/>
      <c r="H60" s="282"/>
      <c r="I60" s="282"/>
      <c r="J60" s="282"/>
      <c r="K60" s="282"/>
      <c r="L60" s="1283"/>
      <c r="M60" s="1284"/>
      <c r="N60" s="1284"/>
      <c r="O60" s="1284"/>
      <c r="P60" s="1284"/>
      <c r="Q60" s="278"/>
    </row>
    <row r="61" spans="1:17">
      <c r="A61" s="282"/>
      <c r="B61" s="296" t="s">
        <v>170</v>
      </c>
      <c r="C61" s="377" t="s">
        <v>316</v>
      </c>
      <c r="D61" s="296" t="s">
        <v>317</v>
      </c>
      <c r="E61" s="288" t="s">
        <v>65</v>
      </c>
      <c r="F61" s="288"/>
      <c r="G61" s="294" t="s">
        <v>318</v>
      </c>
      <c r="H61" s="288"/>
      <c r="I61" s="294" t="s">
        <v>319</v>
      </c>
      <c r="J61" s="288"/>
      <c r="K61" s="296"/>
      <c r="L61" s="1283"/>
      <c r="M61" s="1284"/>
      <c r="N61" s="1284"/>
      <c r="O61" s="1284"/>
      <c r="P61" s="1284"/>
      <c r="Q61" s="278"/>
    </row>
    <row r="62" spans="1:17">
      <c r="A62" s="282"/>
      <c r="B62" s="345"/>
      <c r="C62" s="379"/>
      <c r="D62" s="288"/>
      <c r="E62" s="288"/>
      <c r="F62" s="302"/>
      <c r="G62" s="355"/>
      <c r="H62" s="302"/>
      <c r="I62" s="1661" t="s">
        <v>900</v>
      </c>
      <c r="J62" s="288"/>
      <c r="K62" s="296"/>
      <c r="L62" s="1283"/>
      <c r="M62" s="1284"/>
      <c r="N62" s="1284"/>
      <c r="O62" s="1284"/>
      <c r="P62" s="1284"/>
      <c r="Q62" s="278"/>
    </row>
    <row r="63" spans="1:17">
      <c r="A63" s="284" t="s">
        <v>320</v>
      </c>
      <c r="B63" s="345"/>
      <c r="C63" s="380" t="s">
        <v>158</v>
      </c>
      <c r="D63" s="352" t="s">
        <v>348</v>
      </c>
      <c r="E63" s="353"/>
      <c r="F63" s="1675" t="s">
        <v>647</v>
      </c>
      <c r="G63" s="1675"/>
      <c r="H63" s="381"/>
      <c r="I63" s="355" t="s">
        <v>350</v>
      </c>
      <c r="J63" s="288"/>
      <c r="K63" s="296"/>
      <c r="L63" s="1283"/>
      <c r="M63" s="1284"/>
      <c r="N63" s="1284"/>
      <c r="O63" s="1284"/>
      <c r="P63" s="1284"/>
      <c r="Q63" s="278"/>
    </row>
    <row r="64" spans="1:17" ht="13.8" thickBot="1">
      <c r="A64" s="298" t="s">
        <v>322</v>
      </c>
      <c r="B64" s="354" t="s">
        <v>351</v>
      </c>
      <c r="C64" s="302"/>
      <c r="D64" s="288"/>
      <c r="E64" s="288"/>
      <c r="F64" s="302"/>
      <c r="G64" s="302"/>
      <c r="H64" s="302"/>
      <c r="I64" s="302"/>
      <c r="J64" s="288"/>
      <c r="K64" s="288"/>
      <c r="L64" s="1283"/>
      <c r="M64" s="1284"/>
      <c r="N64" s="1284"/>
      <c r="O64" s="1284"/>
      <c r="P64" s="1284"/>
      <c r="Q64" s="278"/>
    </row>
    <row r="65" spans="1:17">
      <c r="A65" s="355"/>
      <c r="B65" s="301" t="s">
        <v>352</v>
      </c>
      <c r="C65" s="302"/>
      <c r="D65" s="302"/>
      <c r="E65" s="302"/>
      <c r="F65" s="302"/>
      <c r="G65" s="302"/>
      <c r="H65" s="302"/>
      <c r="I65" s="302"/>
      <c r="J65" s="302"/>
      <c r="K65" s="302"/>
      <c r="L65" s="1283"/>
      <c r="M65" s="1284"/>
      <c r="N65" s="1284"/>
      <c r="O65" s="1284"/>
      <c r="P65" s="1284"/>
      <c r="Q65" s="278"/>
    </row>
    <row r="66" spans="1:17">
      <c r="A66" s="355">
        <v>1</v>
      </c>
      <c r="B66" s="706" t="s">
        <v>605</v>
      </c>
      <c r="C66" s="302" t="str">
        <f>+"WP04 PIS Line "&amp;IF($L$10=0,'WP04 PIS'!A$21,'WP04 PIS'!A$23)&amp;" Column "&amp;'WP04 PIS'!D$5</f>
        <v>WP04 PIS Line 16 Column C</v>
      </c>
      <c r="D66" s="300">
        <f>IF($L$10=0,'WP04 PIS'!D$21,'WP04 PIS'!D$23)</f>
        <v>1063597416.84</v>
      </c>
      <c r="E66" s="302"/>
      <c r="F66" s="302" t="s">
        <v>327</v>
      </c>
      <c r="G66" s="356" t="s">
        <v>65</v>
      </c>
      <c r="H66" s="302"/>
      <c r="I66" s="300"/>
      <c r="J66" s="302"/>
      <c r="K66" s="319"/>
      <c r="L66" s="1287"/>
      <c r="M66" s="1283"/>
      <c r="N66" s="1283"/>
      <c r="O66" s="1283"/>
      <c r="P66" s="1284"/>
      <c r="Q66" s="278"/>
    </row>
    <row r="67" spans="1:17">
      <c r="A67" s="355">
        <f>+A66+1</f>
        <v>2</v>
      </c>
      <c r="B67" s="706" t="s">
        <v>136</v>
      </c>
      <c r="C67" s="302" t="str">
        <f>+"WP04 PIS Line "&amp;IF($L$10=0,'WP04 PIS'!A$21,'WP04 PIS'!A$23)&amp;" Column "&amp;'WP04 PIS'!G$5</f>
        <v>WP04 PIS Line 16 Column F</v>
      </c>
      <c r="D67" s="300">
        <f>IF($L$10=0,'WP04 PIS'!G$21,'WP04 PIS'!G$23)</f>
        <v>1254670218.1099999</v>
      </c>
      <c r="E67" s="302"/>
      <c r="F67" s="302" t="s">
        <v>353</v>
      </c>
      <c r="G67" s="306">
        <f>+TP</f>
        <v>0.90918476963106853</v>
      </c>
      <c r="H67" s="307"/>
      <c r="I67" s="300">
        <f>+G67*D67</f>
        <v>1140727053.2153027</v>
      </c>
      <c r="J67" s="302"/>
      <c r="K67" s="319"/>
      <c r="L67" s="1284"/>
      <c r="M67" s="1283">
        <f>+D67</f>
        <v>1254670218.1099999</v>
      </c>
      <c r="N67" s="1283">
        <f>+D67-M67</f>
        <v>0</v>
      </c>
      <c r="O67" s="1283"/>
      <c r="P67" s="1283"/>
      <c r="Q67" s="278"/>
    </row>
    <row r="68" spans="1:17">
      <c r="A68" s="355" t="str">
        <f>+A67&amp;"a"</f>
        <v>2a</v>
      </c>
      <c r="B68" s="706" t="s">
        <v>731</v>
      </c>
      <c r="C68" s="302" t="str">
        <f>+"Appendix A Line "&amp;'Appendix A'!A41&amp;" "&amp;$L$6&amp;" Column"</f>
        <v>Appendix A Line 20 Projected Column</v>
      </c>
      <c r="D68" s="300">
        <f>IF($L$10=0,'Appendix A'!H41,'Appendix A'!G41)</f>
        <v>28996035.407335777</v>
      </c>
      <c r="E68" s="302"/>
      <c r="F68" s="302" t="s">
        <v>353</v>
      </c>
      <c r="G68" s="306">
        <f>+TP</f>
        <v>0.90918476963106853</v>
      </c>
      <c r="H68" s="307"/>
      <c r="I68" s="300">
        <f>+G68*D68</f>
        <v>26362753.772032883</v>
      </c>
      <c r="J68" s="302"/>
      <c r="K68" s="319"/>
      <c r="L68" s="1288"/>
      <c r="M68" s="1283">
        <f>+D68</f>
        <v>28996035.407335777</v>
      </c>
      <c r="N68" s="1283"/>
      <c r="O68" s="1283"/>
      <c r="P68" s="1283"/>
      <c r="Q68" s="278"/>
    </row>
    <row r="69" spans="1:17">
      <c r="A69" s="355">
        <f>+A67+1</f>
        <v>3</v>
      </c>
      <c r="B69" s="706" t="s">
        <v>606</v>
      </c>
      <c r="C69" s="302" t="str">
        <f>+"WP04 PIS Line "&amp;IF($L$10=0,'WP04 PIS'!A$21,'WP04 PIS'!A$23)&amp;" Column "&amp;'WP04 PIS'!J$5</f>
        <v>WP04 PIS Line 16 Column I</v>
      </c>
      <c r="D69" s="300">
        <f>IF($L$10=0,'WP04 PIS'!J$21,'WP04 PIS'!J$23)</f>
        <v>1694874931.74</v>
      </c>
      <c r="E69" s="302"/>
      <c r="F69" s="302" t="s">
        <v>327</v>
      </c>
      <c r="G69" s="306" t="s">
        <v>65</v>
      </c>
      <c r="H69" s="307"/>
      <c r="I69" s="300"/>
      <c r="J69" s="302"/>
      <c r="K69" s="319"/>
      <c r="L69" s="1287"/>
      <c r="M69" s="1283"/>
      <c r="N69" s="1283"/>
      <c r="O69" s="1283"/>
      <c r="P69" s="1283"/>
      <c r="Q69" s="278"/>
    </row>
    <row r="70" spans="1:17">
      <c r="A70" s="355">
        <f>+A69+1</f>
        <v>4</v>
      </c>
      <c r="B70" s="706" t="s">
        <v>598</v>
      </c>
      <c r="C70" s="302" t="str">
        <f>+"WP04 PIS Line "&amp;IF($L$10=0,'WP04 PIS'!A$21,'WP04 PIS'!A$23)&amp;" Column "&amp;'WP04 PIS'!C$5&amp;" &amp; "&amp;'WP04 PIS'!K5</f>
        <v>WP04 PIS Line 16 Column B &amp; J</v>
      </c>
      <c r="D70" s="300">
        <f>IF($L$10=0,('WP04 PIS'!C$21+'WP04 PIS'!K$21),('WP04 PIS'!C$23+'WP04 PIS'!K$23))</f>
        <v>248153722.21000001</v>
      </c>
      <c r="E70" s="302"/>
      <c r="F70" s="302" t="s">
        <v>354</v>
      </c>
      <c r="G70" s="306">
        <f>+WS</f>
        <v>0.13823136212441037</v>
      </c>
      <c r="H70" s="307"/>
      <c r="I70" s="300">
        <f>+G70*D70</f>
        <v>34302627.037330844</v>
      </c>
      <c r="J70" s="302"/>
      <c r="K70" s="319"/>
      <c r="L70" s="1289">
        <f>(D198+D199)/D202</f>
        <v>0.15203880084848126</v>
      </c>
      <c r="M70" s="1283">
        <f>+D70*L70</f>
        <v>37728994.350895531</v>
      </c>
      <c r="N70" s="1283"/>
      <c r="O70" s="1283"/>
      <c r="P70" s="1283"/>
      <c r="Q70" s="278"/>
    </row>
    <row r="71" spans="1:17" ht="13.8" thickBot="1">
      <c r="A71" s="355">
        <f>+A70+1</f>
        <v>5</v>
      </c>
      <c r="B71" s="706" t="s">
        <v>831</v>
      </c>
      <c r="C71" s="302"/>
      <c r="D71" s="358"/>
      <c r="E71" s="302"/>
      <c r="F71" s="302"/>
      <c r="G71" s="306"/>
      <c r="H71" s="307"/>
      <c r="I71" s="358"/>
      <c r="J71" s="302"/>
      <c r="K71" s="319"/>
      <c r="L71" s="1290"/>
      <c r="M71" s="1283"/>
      <c r="N71" s="1283"/>
      <c r="O71" s="1283"/>
      <c r="P71" s="1283"/>
      <c r="Q71" s="278"/>
    </row>
    <row r="72" spans="1:17">
      <c r="A72" s="355">
        <f>+A71+1</f>
        <v>6</v>
      </c>
      <c r="B72" s="285" t="s">
        <v>355</v>
      </c>
      <c r="C72" s="292" t="str">
        <f>+"(Sum of Line "&amp;A66&amp;" to Line "&amp;A71&amp;")"</f>
        <v>(Sum of Line 1 to Line 5)</v>
      </c>
      <c r="D72" s="300">
        <f>SUM(D66:D71)</f>
        <v>4290292324.3073359</v>
      </c>
      <c r="E72" s="302"/>
      <c r="F72" s="302"/>
      <c r="G72" s="359"/>
      <c r="H72" s="307"/>
      <c r="I72" s="300">
        <f>SUM(I66:I71)</f>
        <v>1201392434.0246665</v>
      </c>
      <c r="J72" s="302"/>
      <c r="K72" s="319"/>
      <c r="L72" s="1291"/>
      <c r="M72" s="1283">
        <f>+M67+M68+M70</f>
        <v>1321395247.8682313</v>
      </c>
      <c r="N72" s="1283"/>
      <c r="O72" s="1283"/>
      <c r="P72" s="1283"/>
      <c r="Q72" s="278"/>
    </row>
    <row r="73" spans="1:17">
      <c r="A73" s="355"/>
      <c r="B73" s="301"/>
      <c r="C73" s="302"/>
      <c r="D73" s="300"/>
      <c r="E73" s="302"/>
      <c r="F73" s="302"/>
      <c r="G73" s="360"/>
      <c r="H73" s="302"/>
      <c r="I73" s="300"/>
      <c r="J73" s="302"/>
      <c r="K73" s="319"/>
      <c r="L73" s="1288"/>
      <c r="M73" s="1283"/>
      <c r="N73" s="1283"/>
      <c r="O73" s="1283"/>
      <c r="P73" s="1283"/>
      <c r="Q73" s="278"/>
    </row>
    <row r="74" spans="1:17">
      <c r="A74" s="355"/>
      <c r="B74" s="301" t="s">
        <v>356</v>
      </c>
      <c r="C74" s="302"/>
      <c r="D74" s="300"/>
      <c r="E74" s="302"/>
      <c r="F74" s="302"/>
      <c r="G74" s="361"/>
      <c r="H74" s="302"/>
      <c r="I74" s="300"/>
      <c r="J74" s="302"/>
      <c r="K74" s="319"/>
      <c r="L74" s="1287"/>
      <c r="M74" s="1283"/>
      <c r="N74" s="1283"/>
      <c r="O74" s="1283"/>
      <c r="P74" s="1283"/>
      <c r="Q74" s="278"/>
    </row>
    <row r="75" spans="1:17">
      <c r="A75" s="355">
        <f>+A72+1</f>
        <v>7</v>
      </c>
      <c r="B75" s="706" t="s">
        <v>605</v>
      </c>
      <c r="C75" s="302" t="str">
        <f>+"WP04 PIS Line "&amp;IF($L$10=0,'WP04 PIS'!A$40,'WP04 PIS'!A$42)&amp;" Column "&amp;'WP04 PIS'!D$5</f>
        <v>WP04 PIS Line 35 Column C</v>
      </c>
      <c r="D75" s="300">
        <f>IF($L$10=0,'WP04 PIS'!D$40,'WP04 PIS'!D$42)</f>
        <v>560406508</v>
      </c>
      <c r="E75" s="302"/>
      <c r="F75" s="302" t="s">
        <v>327</v>
      </c>
      <c r="G75" s="361" t="s">
        <v>65</v>
      </c>
      <c r="H75" s="302"/>
      <c r="I75" s="300"/>
      <c r="J75" s="302"/>
      <c r="K75" s="319"/>
      <c r="L75" s="1292"/>
      <c r="M75" s="1283"/>
      <c r="N75" s="1283"/>
      <c r="O75" s="1283"/>
      <c r="P75" s="1283"/>
      <c r="Q75" s="278"/>
    </row>
    <row r="76" spans="1:17">
      <c r="A76" s="355">
        <f>+A75+1</f>
        <v>8</v>
      </c>
      <c r="B76" s="706" t="s">
        <v>136</v>
      </c>
      <c r="C76" s="302" t="str">
        <f>+"WP04 PIS Line "&amp;IF($L$10=0,'WP04 PIS'!A$40,'WP04 PIS'!A$42)&amp;" Column "&amp;'WP04 PIS'!G$5</f>
        <v>WP04 PIS Line 35 Column F</v>
      </c>
      <c r="D76" s="300">
        <f>IF($L$10=0,'WP04 PIS'!G$40,'WP04 PIS'!G$42)</f>
        <v>326837777</v>
      </c>
      <c r="E76" s="302"/>
      <c r="F76" s="302" t="s">
        <v>353</v>
      </c>
      <c r="G76" s="306">
        <f>+TP</f>
        <v>0.90918476963106853</v>
      </c>
      <c r="H76" s="307"/>
      <c r="I76" s="300">
        <f>+G76*D76</f>
        <v>297155928.98847556</v>
      </c>
      <c r="J76" s="302"/>
      <c r="K76" s="319"/>
      <c r="L76" s="1287"/>
      <c r="M76" s="1283">
        <f>+D76</f>
        <v>326837777</v>
      </c>
      <c r="N76" s="1283">
        <f>+D76-M76</f>
        <v>0</v>
      </c>
      <c r="O76" s="1283"/>
      <c r="P76" s="1283"/>
      <c r="Q76" s="278"/>
    </row>
    <row r="77" spans="1:17">
      <c r="A77" s="355" t="str">
        <f>+A76&amp;"a"</f>
        <v>8a</v>
      </c>
      <c r="B77" s="706" t="s">
        <v>731</v>
      </c>
      <c r="C77" s="302"/>
      <c r="D77" s="300"/>
      <c r="E77" s="302"/>
      <c r="F77" s="302"/>
      <c r="G77" s="306"/>
      <c r="H77" s="307"/>
      <c r="I77" s="300"/>
      <c r="J77" s="302"/>
      <c r="K77" s="319"/>
      <c r="L77" s="1287"/>
      <c r="M77" s="1283"/>
      <c r="N77" s="1283"/>
      <c r="O77" s="1283"/>
      <c r="P77" s="1283"/>
      <c r="Q77" s="278"/>
    </row>
    <row r="78" spans="1:17">
      <c r="A78" s="355">
        <f>+A76+1</f>
        <v>9</v>
      </c>
      <c r="B78" s="706" t="s">
        <v>606</v>
      </c>
      <c r="C78" s="302" t="str">
        <f>+"WP04 PIS Line "&amp;IF($L$10=0,'WP04 PIS'!A$40,'WP04 PIS'!A$42)&amp;" Column "&amp;'WP04 PIS'!J$5</f>
        <v>WP04 PIS Line 35 Column I</v>
      </c>
      <c r="D78" s="300">
        <f>IF($L$10=0,'WP04 PIS'!J$40,'WP04 PIS'!J$42)</f>
        <v>457160331</v>
      </c>
      <c r="E78" s="302"/>
      <c r="F78" s="302" t="s">
        <v>327</v>
      </c>
      <c r="G78" s="306" t="str">
        <f>+G69</f>
        <v xml:space="preserve"> </v>
      </c>
      <c r="H78" s="307"/>
      <c r="I78" s="300" t="s">
        <v>65</v>
      </c>
      <c r="J78" s="302"/>
      <c r="K78" s="319"/>
      <c r="L78" s="1287"/>
      <c r="M78" s="1283"/>
      <c r="N78" s="1283"/>
      <c r="O78" s="1283"/>
      <c r="P78" s="1283"/>
      <c r="Q78" s="278"/>
    </row>
    <row r="79" spans="1:17">
      <c r="A79" s="355">
        <f>+A78+1</f>
        <v>10</v>
      </c>
      <c r="B79" s="706" t="s">
        <v>598</v>
      </c>
      <c r="C79" s="302" t="str">
        <f>+"WP04 PIS Line "&amp;IF($L$10=0,'WP04 PIS'!A$40,'WP04 PIS'!A$42)&amp;" Column "&amp;'WP04 PIS'!C$5&amp;" &amp; "&amp;'WP04 PIS'!K5</f>
        <v>WP04 PIS Line 35 Column B &amp; J</v>
      </c>
      <c r="D79" s="300">
        <f>IF($L$10=0,('WP04 PIS'!C$40+'WP04 PIS'!K$40),('WP04 PIS'!C$42+'WP04 PIS'!K$42))</f>
        <v>156702749</v>
      </c>
      <c r="E79" s="302"/>
      <c r="F79" s="302" t="s">
        <v>354</v>
      </c>
      <c r="G79" s="306">
        <f>+WS</f>
        <v>0.13823136212441037</v>
      </c>
      <c r="H79" s="307"/>
      <c r="I79" s="300">
        <f>+G79*D79</f>
        <v>21661234.442909583</v>
      </c>
      <c r="J79" s="302"/>
      <c r="K79" s="319"/>
      <c r="L79" s="1289">
        <f>+L70</f>
        <v>0.15203880084848126</v>
      </c>
      <c r="M79" s="1283">
        <f>+D79*L79</f>
        <v>23824898.047620546</v>
      </c>
      <c r="N79" s="1283"/>
      <c r="O79" s="1283"/>
      <c r="P79" s="1283"/>
      <c r="Q79" s="278"/>
    </row>
    <row r="80" spans="1:17" ht="13.8" thickBot="1">
      <c r="A80" s="355">
        <f>+A79+1</f>
        <v>11</v>
      </c>
      <c r="B80" s="706" t="s">
        <v>831</v>
      </c>
      <c r="C80" s="302"/>
      <c r="D80" s="358"/>
      <c r="E80" s="302"/>
      <c r="F80" s="308"/>
      <c r="G80" s="306"/>
      <c r="H80" s="307"/>
      <c r="I80" s="358"/>
      <c r="J80" s="302"/>
      <c r="K80" s="319"/>
      <c r="L80" s="1287"/>
      <c r="M80" s="1283"/>
      <c r="N80" s="1283"/>
      <c r="O80" s="1283"/>
      <c r="P80" s="1283"/>
      <c r="Q80" s="278"/>
    </row>
    <row r="81" spans="1:17">
      <c r="A81" s="355">
        <f>+A80+1</f>
        <v>12</v>
      </c>
      <c r="B81" s="301" t="s">
        <v>357</v>
      </c>
      <c r="C81" s="292" t="str">
        <f>+"(Sum of Line "&amp;A75&amp;" to Line "&amp;A80&amp;")"</f>
        <v>(Sum of Line 7 to Line 11)</v>
      </c>
      <c r="D81" s="300">
        <f>SUM(D75:D80)</f>
        <v>1501107365</v>
      </c>
      <c r="E81" s="302"/>
      <c r="F81" s="302"/>
      <c r="G81" s="308"/>
      <c r="H81" s="307"/>
      <c r="I81" s="300">
        <f>SUM(I75:I80)</f>
        <v>318817163.43138516</v>
      </c>
      <c r="J81" s="302"/>
      <c r="K81" s="319"/>
      <c r="L81" s="1287"/>
      <c r="M81" s="1283">
        <f>+M76+M79</f>
        <v>350662675.04762053</v>
      </c>
      <c r="N81" s="1283"/>
      <c r="O81" s="1283"/>
      <c r="P81" s="1283"/>
      <c r="Q81" s="278"/>
    </row>
    <row r="82" spans="1:17">
      <c r="A82" s="355"/>
      <c r="B82" s="313"/>
      <c r="C82" s="302" t="s">
        <v>65</v>
      </c>
      <c r="D82" s="300"/>
      <c r="E82" s="302"/>
      <c r="F82" s="302"/>
      <c r="G82" s="338"/>
      <c r="H82" s="302"/>
      <c r="I82" s="300"/>
      <c r="J82" s="302"/>
      <c r="K82" s="319"/>
      <c r="L82" s="1288"/>
      <c r="M82" s="1283"/>
      <c r="N82" s="1283"/>
      <c r="O82" s="1283"/>
      <c r="P82" s="1283"/>
      <c r="Q82" s="278"/>
    </row>
    <row r="83" spans="1:17">
      <c r="A83" s="355"/>
      <c r="B83" s="301" t="s">
        <v>358</v>
      </c>
      <c r="C83" s="302"/>
      <c r="D83" s="300"/>
      <c r="E83" s="302"/>
      <c r="F83" s="302"/>
      <c r="G83" s="308"/>
      <c r="H83" s="302"/>
      <c r="I83" s="300"/>
      <c r="J83" s="302"/>
      <c r="K83" s="319"/>
      <c r="L83" s="1287"/>
      <c r="M83" s="1283"/>
      <c r="N83" s="1283"/>
      <c r="O83" s="1283"/>
      <c r="P83" s="1283"/>
      <c r="Q83" s="278"/>
    </row>
    <row r="84" spans="1:17">
      <c r="A84" s="355">
        <f>+A81+1</f>
        <v>13</v>
      </c>
      <c r="B84" s="706" t="s">
        <v>605</v>
      </c>
      <c r="C84" s="302" t="str">
        <f>"(Line "&amp;A66&amp;" - Line "&amp;A75&amp;")"</f>
        <v>(Line 1 - Line 7)</v>
      </c>
      <c r="D84" s="300">
        <f>D66-D75</f>
        <v>503190908.84000003</v>
      </c>
      <c r="E84" s="307"/>
      <c r="F84" s="307"/>
      <c r="G84" s="338"/>
      <c r="H84" s="307"/>
      <c r="I84" s="300" t="s">
        <v>65</v>
      </c>
      <c r="J84" s="302"/>
      <c r="K84" s="319"/>
      <c r="L84" s="1288"/>
      <c r="M84" s="1283"/>
      <c r="N84" s="1283"/>
      <c r="O84" s="1283"/>
      <c r="P84" s="1283"/>
      <c r="Q84" s="278"/>
    </row>
    <row r="85" spans="1:17">
      <c r="A85" s="355">
        <f>+A84+1</f>
        <v>14</v>
      </c>
      <c r="B85" s="706" t="s">
        <v>136</v>
      </c>
      <c r="C85" s="302" t="str">
        <f>"(Line "&amp;A67&amp;" - Line "&amp;A76&amp;")"</f>
        <v>(Line 2 - Line 8)</v>
      </c>
      <c r="D85" s="300">
        <f>D67-D76</f>
        <v>927832441.1099999</v>
      </c>
      <c r="E85" s="307"/>
      <c r="F85" s="307"/>
      <c r="G85" s="308"/>
      <c r="H85" s="307"/>
      <c r="I85" s="300">
        <f>I67-I76</f>
        <v>843571124.22682714</v>
      </c>
      <c r="J85" s="302"/>
      <c r="K85" s="319"/>
      <c r="L85" s="1288"/>
      <c r="M85" s="1283">
        <f>M67-M76</f>
        <v>927832441.1099999</v>
      </c>
      <c r="N85" s="1283">
        <f>+D85-M85</f>
        <v>0</v>
      </c>
      <c r="O85" s="1283"/>
      <c r="P85" s="1283"/>
      <c r="Q85" s="278"/>
    </row>
    <row r="86" spans="1:17">
      <c r="A86" s="355" t="str">
        <f>+A85&amp;"a"</f>
        <v>14a</v>
      </c>
      <c r="B86" s="706" t="s">
        <v>731</v>
      </c>
      <c r="C86" s="302" t="str">
        <f>"(Line "&amp;A68&amp;" - Line "&amp;A77&amp;")"</f>
        <v>(Line 2a - Line 8a)</v>
      </c>
      <c r="D86" s="300">
        <f>D68-D77</f>
        <v>28996035.407335777</v>
      </c>
      <c r="E86" s="307"/>
      <c r="F86" s="307"/>
      <c r="G86" s="308"/>
      <c r="H86" s="307"/>
      <c r="I86" s="300">
        <f>I68-I77</f>
        <v>26362753.772032883</v>
      </c>
      <c r="J86" s="302"/>
      <c r="K86" s="319"/>
      <c r="L86" s="1288"/>
      <c r="M86" s="1283">
        <f>M68-M77</f>
        <v>28996035.407335777</v>
      </c>
      <c r="N86" s="1283"/>
      <c r="O86" s="1283"/>
      <c r="P86" s="1283"/>
      <c r="Q86" s="278"/>
    </row>
    <row r="87" spans="1:17">
      <c r="A87" s="355">
        <f>+A85+1</f>
        <v>15</v>
      </c>
      <c r="B87" s="706" t="s">
        <v>606</v>
      </c>
      <c r="C87" s="302" t="str">
        <f>"(Line "&amp;A69&amp;" - Line "&amp;A78&amp;")"</f>
        <v>(Line 3 - Line 9)</v>
      </c>
      <c r="D87" s="300">
        <f>D69-D78</f>
        <v>1237714600.74</v>
      </c>
      <c r="E87" s="307"/>
      <c r="F87" s="307"/>
      <c r="G87" s="338"/>
      <c r="H87" s="307"/>
      <c r="I87" s="300" t="s">
        <v>65</v>
      </c>
      <c r="J87" s="302"/>
      <c r="K87" s="319"/>
      <c r="L87" s="1288"/>
      <c r="M87" s="1283"/>
      <c r="N87" s="1283"/>
      <c r="O87" s="1283"/>
      <c r="P87" s="1283"/>
      <c r="Q87" s="278"/>
    </row>
    <row r="88" spans="1:17">
      <c r="A88" s="355">
        <f>+A87+1</f>
        <v>16</v>
      </c>
      <c r="B88" s="706" t="s">
        <v>598</v>
      </c>
      <c r="C88" s="302" t="str">
        <f>"(Line "&amp;A70&amp;" - Line "&amp;A79&amp;")"</f>
        <v>(Line 4 - Line 10)</v>
      </c>
      <c r="D88" s="300">
        <f>D70-D79</f>
        <v>91450973.210000008</v>
      </c>
      <c r="E88" s="307"/>
      <c r="F88" s="307"/>
      <c r="G88" s="338"/>
      <c r="H88" s="307"/>
      <c r="I88" s="300">
        <f>I70-I79</f>
        <v>12641392.59442126</v>
      </c>
      <c r="J88" s="302"/>
      <c r="K88" s="319"/>
      <c r="L88" s="1288"/>
      <c r="M88" s="1283">
        <f>M70-M79</f>
        <v>13904096.303274985</v>
      </c>
      <c r="N88" s="1283"/>
      <c r="O88" s="1283"/>
      <c r="P88" s="1283"/>
      <c r="Q88" s="278"/>
    </row>
    <row r="89" spans="1:17" ht="13.8" thickBot="1">
      <c r="A89" s="355">
        <f>+A88+1</f>
        <v>17</v>
      </c>
      <c r="B89" s="706" t="s">
        <v>831</v>
      </c>
      <c r="C89" s="302"/>
      <c r="D89" s="358"/>
      <c r="E89" s="307"/>
      <c r="F89" s="307"/>
      <c r="G89" s="338"/>
      <c r="H89" s="307"/>
      <c r="I89" s="358"/>
      <c r="J89" s="302"/>
      <c r="K89" s="319"/>
      <c r="L89" s="1288"/>
      <c r="M89" s="1283"/>
      <c r="N89" s="1283"/>
      <c r="O89" s="1283"/>
      <c r="P89" s="1283"/>
      <c r="Q89" s="278"/>
    </row>
    <row r="90" spans="1:17">
      <c r="A90" s="355">
        <f>+A89+1</f>
        <v>18</v>
      </c>
      <c r="B90" s="301" t="s">
        <v>359</v>
      </c>
      <c r="C90" s="292" t="str">
        <f>+"(Sum of Line "&amp;A84&amp;" to Line "&amp;A89&amp;")"</f>
        <v>(Sum of Line 13 to Line 17)</v>
      </c>
      <c r="D90" s="300">
        <f>SUM(D84:D89)</f>
        <v>2789184959.3073359</v>
      </c>
      <c r="E90" s="307"/>
      <c r="F90" s="307"/>
      <c r="G90" s="359"/>
      <c r="H90" s="307"/>
      <c r="I90" s="300">
        <f>SUM(I84:I89)</f>
        <v>882575270.59328127</v>
      </c>
      <c r="J90" s="302"/>
      <c r="K90" s="319"/>
      <c r="L90" s="1287"/>
      <c r="M90" s="1283">
        <f>SUM(M84:M89)</f>
        <v>970732572.82061064</v>
      </c>
      <c r="N90" s="1283"/>
      <c r="O90" s="1283"/>
      <c r="P90" s="1283"/>
      <c r="Q90" s="278"/>
    </row>
    <row r="91" spans="1:17">
      <c r="A91" s="355"/>
      <c r="B91" s="301"/>
      <c r="C91" s="302"/>
      <c r="D91" s="300"/>
      <c r="E91" s="307"/>
      <c r="F91" s="307"/>
      <c r="G91" s="338"/>
      <c r="H91" s="307"/>
      <c r="I91" s="300"/>
      <c r="J91" s="302"/>
      <c r="K91" s="319"/>
      <c r="L91" s="1287"/>
      <c r="M91" s="1283"/>
      <c r="N91" s="1283"/>
      <c r="O91" s="1283"/>
      <c r="P91" s="1283"/>
      <c r="Q91" s="278"/>
    </row>
    <row r="92" spans="1:17" s="366" customFormat="1">
      <c r="A92" s="355" t="s">
        <v>638</v>
      </c>
      <c r="B92" s="1100" t="s">
        <v>831</v>
      </c>
      <c r="C92" s="364"/>
      <c r="D92" s="1101"/>
      <c r="E92" s="1102"/>
      <c r="F92" s="362"/>
      <c r="G92" s="1103"/>
      <c r="H92" s="362"/>
      <c r="I92" s="363"/>
      <c r="J92" s="364"/>
      <c r="K92" s="365"/>
      <c r="L92" s="1293"/>
      <c r="M92" s="1294"/>
      <c r="N92" s="1294"/>
      <c r="O92" s="1294"/>
      <c r="P92" s="1294"/>
    </row>
    <row r="93" spans="1:17">
      <c r="A93" s="355"/>
      <c r="B93" s="313"/>
      <c r="C93" s="302"/>
      <c r="D93" s="1405"/>
      <c r="E93" s="364"/>
      <c r="F93" s="1406"/>
      <c r="G93" s="313"/>
      <c r="H93" s="302"/>
      <c r="I93" s="300"/>
      <c r="J93" s="302"/>
      <c r="K93" s="319"/>
      <c r="L93" s="1288"/>
      <c r="M93" s="1283"/>
      <c r="N93" s="1283"/>
      <c r="O93" s="1283"/>
      <c r="P93" s="1283"/>
      <c r="Q93" s="278"/>
    </row>
    <row r="94" spans="1:17">
      <c r="A94" s="355"/>
      <c r="B94" s="285" t="s">
        <v>360</v>
      </c>
      <c r="C94" s="302"/>
      <c r="D94" s="300"/>
      <c r="E94" s="302"/>
      <c r="F94" s="302"/>
      <c r="G94" s="302"/>
      <c r="H94" s="302"/>
      <c r="I94" s="300"/>
      <c r="J94" s="302"/>
      <c r="K94" s="319"/>
      <c r="L94" s="1287"/>
      <c r="M94" s="1283"/>
      <c r="N94" s="1283"/>
      <c r="O94" s="1283"/>
      <c r="P94" s="1283"/>
      <c r="Q94" s="278"/>
    </row>
    <row r="95" spans="1:17">
      <c r="A95" s="355">
        <f>+A90+1</f>
        <v>19</v>
      </c>
      <c r="B95" s="706" t="s">
        <v>145</v>
      </c>
      <c r="C95" s="302" t="str">
        <f>+"Appendix A Line "&amp;'Appendix A'!A75&amp;" "&amp;$L$6&amp;" Column"</f>
        <v>Appendix A Line 43 Projected Column</v>
      </c>
      <c r="D95" s="300">
        <f>IF($L$10=0,'Appendix A'!$H$75,'Appendix A'!$G$75)</f>
        <v>-246727990.95986372</v>
      </c>
      <c r="E95" s="302"/>
      <c r="F95" s="302" t="s">
        <v>353</v>
      </c>
      <c r="G95" s="1271">
        <f>+TP</f>
        <v>0.90918476963106853</v>
      </c>
      <c r="H95" s="307"/>
      <c r="I95" s="300">
        <f>+G95*D95</f>
        <v>-224321331.62238005</v>
      </c>
      <c r="J95" s="302"/>
      <c r="K95" s="319"/>
      <c r="L95" s="1288"/>
      <c r="M95" s="1283">
        <f>+D95</f>
        <v>-246727990.95986372</v>
      </c>
      <c r="N95" s="1283"/>
      <c r="O95" s="1283"/>
      <c r="P95" s="1283"/>
      <c r="Q95" s="278"/>
    </row>
    <row r="96" spans="1:17">
      <c r="B96" s="319"/>
      <c r="C96" s="319"/>
      <c r="D96" s="319"/>
      <c r="E96" s="319"/>
      <c r="F96" s="319"/>
      <c r="G96" s="319"/>
      <c r="H96" s="319"/>
      <c r="I96" s="319"/>
      <c r="L96" s="1283"/>
      <c r="M96" s="1283"/>
      <c r="N96" s="1283"/>
      <c r="O96" s="1284"/>
      <c r="P96" s="1283"/>
    </row>
    <row r="97" spans="1:17">
      <c r="A97" s="355">
        <f>+A95+1</f>
        <v>20</v>
      </c>
      <c r="B97" s="706" t="s">
        <v>831</v>
      </c>
      <c r="C97" s="302"/>
      <c r="D97" s="363"/>
      <c r="E97" s="302"/>
      <c r="F97" s="302"/>
      <c r="G97" s="367"/>
      <c r="H97" s="307"/>
      <c r="I97" s="300"/>
      <c r="J97" s="302"/>
      <c r="K97" s="319"/>
      <c r="L97" s="1288"/>
      <c r="M97" s="1283"/>
      <c r="N97" s="1283"/>
      <c r="O97" s="1283"/>
      <c r="P97" s="1283"/>
      <c r="Q97" s="278"/>
    </row>
    <row r="98" spans="1:17">
      <c r="A98" s="355">
        <f>+A97+1</f>
        <v>21</v>
      </c>
      <c r="B98" s="706" t="s">
        <v>831</v>
      </c>
      <c r="C98" s="302"/>
      <c r="D98" s="363"/>
      <c r="E98" s="302"/>
      <c r="F98" s="302"/>
      <c r="G98" s="367"/>
      <c r="H98" s="307"/>
      <c r="I98" s="300"/>
      <c r="J98" s="302"/>
      <c r="K98" s="319"/>
      <c r="L98" s="1288"/>
      <c r="M98" s="1283"/>
      <c r="N98" s="1283"/>
      <c r="O98" s="1283"/>
      <c r="P98" s="1283"/>
      <c r="Q98" s="278"/>
    </row>
    <row r="99" spans="1:17">
      <c r="A99" s="355">
        <f>+A98+1</f>
        <v>22</v>
      </c>
      <c r="B99" s="712" t="s">
        <v>302</v>
      </c>
      <c r="C99" s="302" t="str">
        <f>+"Appendix A Line "&amp;+'Appendix A'!A87&amp;" "&amp;$L$6&amp;" Column"</f>
        <v>Appendix A Line 52 Projected Column</v>
      </c>
      <c r="D99" s="300">
        <f>IF($L$10=0,'Appendix A'!H87,'Appendix A'!G87)</f>
        <v>9716029.7423053533</v>
      </c>
      <c r="E99" s="302"/>
      <c r="F99" s="302" t="s">
        <v>353</v>
      </c>
      <c r="G99" s="1271">
        <f>+TP</f>
        <v>0.90918476963106853</v>
      </c>
      <c r="H99" s="307"/>
      <c r="I99" s="363">
        <f>+D99*G99</f>
        <v>8833666.2629865035</v>
      </c>
      <c r="J99" s="302"/>
      <c r="K99" s="319"/>
      <c r="L99" s="1288"/>
      <c r="M99" s="1283">
        <f>+D99</f>
        <v>9716029.7423053533</v>
      </c>
      <c r="N99" s="1283"/>
      <c r="O99" s="1283"/>
      <c r="P99" s="1283"/>
      <c r="Q99" s="278"/>
    </row>
    <row r="100" spans="1:17">
      <c r="A100" s="355">
        <f>+A99+1</f>
        <v>23</v>
      </c>
      <c r="B100" s="706" t="s">
        <v>831</v>
      </c>
      <c r="C100" s="302"/>
      <c r="D100" s="300"/>
      <c r="E100" s="362"/>
      <c r="F100" s="302"/>
      <c r="G100" s="367"/>
      <c r="H100" s="307"/>
      <c r="I100" s="363"/>
      <c r="J100" s="319"/>
      <c r="K100" s="319"/>
      <c r="L100" s="1288"/>
      <c r="M100" s="1283"/>
      <c r="N100" s="1283"/>
      <c r="O100" s="1283"/>
      <c r="P100" s="1283"/>
      <c r="Q100" s="278"/>
    </row>
    <row r="101" spans="1:17" s="366" customFormat="1" ht="13.8" thickBot="1">
      <c r="A101" s="355" t="str">
        <f>+A100&amp;"a"</f>
        <v>23a</v>
      </c>
      <c r="B101" s="1104" t="s">
        <v>831</v>
      </c>
      <c r="C101" s="302"/>
      <c r="D101" s="358"/>
      <c r="E101" s="362"/>
      <c r="F101" s="362"/>
      <c r="G101" s="1103"/>
      <c r="H101" s="362"/>
      <c r="I101" s="358"/>
      <c r="J101" s="365"/>
      <c r="K101" s="365"/>
      <c r="L101" s="1295"/>
      <c r="M101" s="1294"/>
      <c r="N101" s="1294"/>
      <c r="O101" s="1294"/>
      <c r="P101" s="1294"/>
    </row>
    <row r="102" spans="1:17">
      <c r="A102" s="355">
        <f>+A100+1</f>
        <v>24</v>
      </c>
      <c r="B102" s="301" t="s">
        <v>361</v>
      </c>
      <c r="C102" s="292" t="str">
        <f>+"(Sum of Line "&amp;A95&amp;" to Line "&amp;A101&amp;")"</f>
        <v>(Sum of Line 19 to Line 23a)</v>
      </c>
      <c r="D102" s="300">
        <f>SUM(D95:D101)</f>
        <v>-237011961.21755838</v>
      </c>
      <c r="E102" s="302"/>
      <c r="F102" s="302"/>
      <c r="G102" s="307"/>
      <c r="H102" s="307"/>
      <c r="I102" s="300">
        <f>SUM(I95:I101)</f>
        <v>-215487665.35939354</v>
      </c>
      <c r="J102" s="302"/>
      <c r="K102" s="319"/>
      <c r="L102" s="1287"/>
      <c r="M102" s="1283">
        <f>+D102</f>
        <v>-237011961.21755838</v>
      </c>
      <c r="N102" s="1283"/>
      <c r="O102" s="1283"/>
      <c r="P102" s="1283"/>
      <c r="Q102" s="278"/>
    </row>
    <row r="103" spans="1:17">
      <c r="A103" s="355"/>
      <c r="B103" s="313"/>
      <c r="C103" s="302"/>
      <c r="D103" s="300"/>
      <c r="E103" s="302"/>
      <c r="F103" s="302"/>
      <c r="G103" s="368"/>
      <c r="H103" s="302"/>
      <c r="I103" s="300"/>
      <c r="J103" s="302"/>
      <c r="K103" s="319"/>
      <c r="L103" s="1288"/>
      <c r="M103" s="1283"/>
      <c r="N103" s="1283"/>
      <c r="O103" s="1283"/>
      <c r="P103" s="1283"/>
      <c r="Q103" s="278"/>
    </row>
    <row r="104" spans="1:17">
      <c r="A104" s="355">
        <f>+A102+1</f>
        <v>25</v>
      </c>
      <c r="B104" s="285" t="s">
        <v>362</v>
      </c>
      <c r="C104" s="302" t="str">
        <f>+"Appendix A Line "&amp;+'Appendix A'!A106&amp;" "&amp;$L$6&amp;" Column"</f>
        <v>Appendix A Line 66 Projected Column</v>
      </c>
      <c r="D104" s="300">
        <f>IF($L$10=0,'Appendix A'!H106,'Appendix A'!G106)</f>
        <v>8691151.9800000004</v>
      </c>
      <c r="E104" s="302"/>
      <c r="F104" s="302" t="s">
        <v>353</v>
      </c>
      <c r="G104" s="306">
        <f>+TP</f>
        <v>0.90918476963106853</v>
      </c>
      <c r="H104" s="307"/>
      <c r="I104" s="300">
        <f>+G104*D104</f>
        <v>7901863.0107649053</v>
      </c>
      <c r="J104" s="302"/>
      <c r="K104" s="319"/>
      <c r="L104" s="1287"/>
      <c r="M104" s="1283">
        <f>+D104</f>
        <v>8691151.9800000004</v>
      </c>
      <c r="N104" s="1283"/>
      <c r="O104" s="1283"/>
      <c r="P104" s="1283"/>
      <c r="Q104" s="278"/>
    </row>
    <row r="105" spans="1:17">
      <c r="A105" s="355"/>
      <c r="B105" s="301"/>
      <c r="C105" s="302"/>
      <c r="D105" s="300"/>
      <c r="E105" s="302"/>
      <c r="F105" s="302"/>
      <c r="G105" s="306"/>
      <c r="H105" s="307"/>
      <c r="I105" s="300"/>
      <c r="J105" s="302"/>
      <c r="K105" s="319"/>
      <c r="L105" s="1287"/>
      <c r="M105" s="1283"/>
      <c r="N105" s="1283"/>
      <c r="O105" s="1283"/>
      <c r="P105" s="1283"/>
      <c r="Q105" s="278"/>
    </row>
    <row r="106" spans="1:17">
      <c r="A106" s="355"/>
      <c r="B106" s="301" t="s">
        <v>363</v>
      </c>
      <c r="C106" s="302"/>
      <c r="D106" s="300"/>
      <c r="E106" s="302"/>
      <c r="F106" s="302"/>
      <c r="G106" s="306"/>
      <c r="H106" s="307"/>
      <c r="I106" s="300"/>
      <c r="J106" s="302"/>
      <c r="K106" s="319"/>
      <c r="L106" s="1287"/>
      <c r="M106" s="1283"/>
      <c r="N106" s="1283"/>
      <c r="O106" s="1283"/>
      <c r="P106" s="1283"/>
      <c r="Q106" s="278"/>
    </row>
    <row r="107" spans="1:17">
      <c r="A107" s="355">
        <f>+A104+1</f>
        <v>26</v>
      </c>
      <c r="B107" s="706" t="s">
        <v>831</v>
      </c>
      <c r="C107" s="313"/>
      <c r="D107" s="300"/>
      <c r="E107" s="302"/>
      <c r="F107" s="302"/>
      <c r="G107" s="369"/>
      <c r="H107" s="307"/>
      <c r="I107" s="300"/>
      <c r="J107" s="292"/>
      <c r="K107" s="319"/>
      <c r="L107" s="1288"/>
      <c r="M107" s="1283">
        <f>+I107</f>
        <v>0</v>
      </c>
      <c r="N107" s="1283"/>
      <c r="O107" s="1283"/>
      <c r="P107" s="1283"/>
      <c r="Q107" s="278"/>
    </row>
    <row r="108" spans="1:17">
      <c r="A108" s="355">
        <f>+A107+1</f>
        <v>27</v>
      </c>
      <c r="B108" s="706" t="s">
        <v>161</v>
      </c>
      <c r="C108" s="302" t="str">
        <f>+"Appendix A Line "&amp;+'Appendix A'!A94&amp;" "&amp;$L$6&amp;" Column"</f>
        <v>Appendix A Line 57 Projected Column</v>
      </c>
      <c r="D108" s="300">
        <f>IF($L$10=0,'Appendix A'!H94,'Appendix A'!G94)</f>
        <v>4393573.6500699641</v>
      </c>
      <c r="E108" s="302"/>
      <c r="F108" s="302" t="s">
        <v>353</v>
      </c>
      <c r="G108" s="306">
        <f>+TP</f>
        <v>0.90918476963106853</v>
      </c>
      <c r="H108" s="307"/>
      <c r="I108" s="300">
        <f>+G108*D108</f>
        <v>3994570.2468959931</v>
      </c>
      <c r="J108" s="302" t="s">
        <v>65</v>
      </c>
      <c r="K108" s="319"/>
      <c r="L108" s="1288"/>
      <c r="M108" s="1283">
        <f>+D108</f>
        <v>4393573.6500699641</v>
      </c>
      <c r="N108" s="1283"/>
      <c r="O108" s="1283"/>
      <c r="P108" s="1283"/>
      <c r="Q108" s="278"/>
    </row>
    <row r="109" spans="1:17" ht="13.8" thickBot="1">
      <c r="A109" s="355">
        <f>+A108+1</f>
        <v>28</v>
      </c>
      <c r="B109" s="706" t="s">
        <v>604</v>
      </c>
      <c r="C109" s="302" t="str">
        <f>+"Appendix A Line "&amp;+'Appendix A'!A104&amp;" "&amp;$L$6&amp;" Column"</f>
        <v>Appendix A Line 65 Projected Column</v>
      </c>
      <c r="D109" s="358">
        <f>IF($L$10=0,'Appendix A'!H104,'Appendix A'!G104)</f>
        <v>848009.82134592766</v>
      </c>
      <c r="E109" s="302"/>
      <c r="F109" s="302" t="s">
        <v>353</v>
      </c>
      <c r="G109" s="306">
        <f>+TP</f>
        <v>0.90918476963106853</v>
      </c>
      <c r="H109" s="307"/>
      <c r="I109" s="358">
        <f>+G109*D109</f>
        <v>770997.61406528077</v>
      </c>
      <c r="J109" s="302"/>
      <c r="K109" s="319"/>
      <c r="L109" s="1288"/>
      <c r="M109" s="1296">
        <f>+D109</f>
        <v>848009.82134592766</v>
      </c>
      <c r="N109" s="1283"/>
      <c r="O109" s="1283"/>
      <c r="P109" s="1283"/>
      <c r="Q109" s="278"/>
    </row>
    <row r="110" spans="1:17">
      <c r="A110" s="355">
        <f>+A109+1</f>
        <v>29</v>
      </c>
      <c r="B110" s="301" t="s">
        <v>364</v>
      </c>
      <c r="C110" s="292" t="str">
        <f>+"(Sum of Lines "&amp;A107&amp;" to "&amp;A109&amp;")"</f>
        <v>(Sum of Lines 26 to 28)</v>
      </c>
      <c r="D110" s="300">
        <f>SUM(D107:D109)</f>
        <v>5241583.4714158922</v>
      </c>
      <c r="E110" s="292"/>
      <c r="F110" s="292"/>
      <c r="G110" s="370"/>
      <c r="H110" s="370"/>
      <c r="I110" s="300">
        <f>I107+I108+I109</f>
        <v>4765567.8609612742</v>
      </c>
      <c r="J110" s="292"/>
      <c r="K110" s="319"/>
      <c r="L110" s="1297"/>
      <c r="M110" s="1283">
        <f>+M107+M108+M109</f>
        <v>5241583.4714158922</v>
      </c>
      <c r="N110" s="1283"/>
      <c r="O110" s="1283"/>
      <c r="P110" s="1283"/>
      <c r="Q110" s="278"/>
    </row>
    <row r="111" spans="1:17" ht="13.8" thickBot="1">
      <c r="A111" s="355"/>
      <c r="B111" s="313"/>
      <c r="C111" s="302"/>
      <c r="D111" s="358"/>
      <c r="E111" s="302"/>
      <c r="F111" s="302"/>
      <c r="G111" s="302"/>
      <c r="H111" s="302"/>
      <c r="I111" s="358"/>
      <c r="J111" s="302"/>
      <c r="K111" s="319"/>
      <c r="L111" s="1287"/>
      <c r="M111" s="1283"/>
      <c r="N111" s="1283"/>
      <c r="O111" s="1283"/>
      <c r="P111" s="1283"/>
      <c r="Q111" s="278"/>
    </row>
    <row r="112" spans="1:17" ht="13.8" thickBot="1">
      <c r="A112" s="355">
        <f>+A110+1</f>
        <v>30</v>
      </c>
      <c r="B112" s="301" t="s">
        <v>365</v>
      </c>
      <c r="C112" s="302" t="str">
        <f>+"(Line "&amp;A90&amp;" + Line "&amp;A92&amp;" + Line "&amp;A102&amp;" + Line "&amp;A104&amp;" + Line "&amp;A110&amp;")"</f>
        <v>(Line 18 + Line 18a + Line 24 + Line 25 + Line 29)</v>
      </c>
      <c r="D112" s="371">
        <f>+D110+D104+D102+D90+D92</f>
        <v>2566105733.5411935</v>
      </c>
      <c r="E112" s="307"/>
      <c r="F112" s="307"/>
      <c r="G112" s="372"/>
      <c r="H112" s="307"/>
      <c r="I112" s="371">
        <f>+I110+I104+I102+I90+I92</f>
        <v>679755036.10561395</v>
      </c>
      <c r="J112" s="302"/>
      <c r="K112" s="319"/>
      <c r="L112" s="1288"/>
      <c r="M112" s="1298">
        <f>+M90+M92+M102+M104+M110</f>
        <v>747653347.05446815</v>
      </c>
      <c r="N112" s="1283">
        <f>IF($L$10=0,'Appendix A'!H120,'Appendix A'!G120)</f>
        <v>747653347.05446827</v>
      </c>
      <c r="O112" s="1285"/>
      <c r="P112" s="1283"/>
      <c r="Q112" s="278"/>
    </row>
    <row r="113" spans="1:18" ht="13.8" thickTop="1">
      <c r="A113" s="355"/>
      <c r="B113" s="301"/>
      <c r="C113" s="302"/>
      <c r="D113" s="373"/>
      <c r="E113" s="307"/>
      <c r="F113" s="307"/>
      <c r="G113" s="372"/>
      <c r="H113" s="307"/>
      <c r="I113" s="373"/>
      <c r="J113" s="302"/>
      <c r="K113" s="368"/>
      <c r="L113" s="1283"/>
      <c r="M113" s="1283"/>
      <c r="N113" s="1283"/>
      <c r="O113" s="1284"/>
      <c r="P113" s="1284"/>
      <c r="Q113" s="278"/>
    </row>
    <row r="114" spans="1:18">
      <c r="A114" s="355"/>
      <c r="B114" s="301"/>
      <c r="C114" s="302"/>
      <c r="D114" s="373"/>
      <c r="E114" s="307"/>
      <c r="F114" s="307"/>
      <c r="G114" s="372"/>
      <c r="H114" s="307"/>
      <c r="I114" s="373"/>
      <c r="J114" s="302"/>
      <c r="K114" s="348" t="str">
        <f>+K1</f>
        <v>Attachment O-ETI</v>
      </c>
      <c r="L114" s="1283"/>
      <c r="M114" s="1283"/>
      <c r="N114" s="1283"/>
      <c r="O114" s="1284"/>
      <c r="P114" s="1284"/>
      <c r="Q114" s="278"/>
    </row>
    <row r="115" spans="1:18">
      <c r="A115" s="355"/>
      <c r="B115" s="301"/>
      <c r="C115" s="302"/>
      <c r="D115" s="302"/>
      <c r="E115" s="302"/>
      <c r="F115" s="302"/>
      <c r="G115" s="302"/>
      <c r="H115" s="302"/>
      <c r="I115" s="302"/>
      <c r="J115" s="302"/>
      <c r="K115" s="374" t="s">
        <v>366</v>
      </c>
      <c r="L115" s="1283"/>
      <c r="M115" s="1283"/>
      <c r="N115" s="1283"/>
      <c r="O115" s="1284"/>
      <c r="P115" s="1284"/>
      <c r="Q115" s="278"/>
    </row>
    <row r="116" spans="1:18">
      <c r="A116" s="355"/>
      <c r="B116" s="301"/>
      <c r="C116" s="377" t="str">
        <f>+C$3</f>
        <v>MISO Cover</v>
      </c>
      <c r="D116" s="302"/>
      <c r="E116" s="302"/>
      <c r="F116" s="302"/>
      <c r="G116" s="302"/>
      <c r="H116" s="302"/>
      <c r="I116" s="302"/>
      <c r="J116" s="302"/>
      <c r="K116" s="374"/>
      <c r="L116" s="1283"/>
      <c r="M116" s="1283"/>
      <c r="N116" s="1283"/>
      <c r="O116" s="1284"/>
      <c r="P116" s="1284"/>
      <c r="Q116" s="278"/>
    </row>
    <row r="117" spans="1:18">
      <c r="A117" s="355"/>
      <c r="B117" s="301" t="s">
        <v>312</v>
      </c>
      <c r="C117" s="375" t="s">
        <v>313</v>
      </c>
      <c r="D117" s="319"/>
      <c r="E117" s="302"/>
      <c r="F117" s="302"/>
      <c r="G117" s="302"/>
      <c r="H117" s="302"/>
      <c r="I117" s="376"/>
      <c r="J117" s="302"/>
      <c r="K117" s="374" t="str">
        <f>K4</f>
        <v>For  the 12 Months Ended 12/31/2016</v>
      </c>
      <c r="L117" s="1283"/>
      <c r="M117" s="1283"/>
      <c r="N117" s="1283"/>
      <c r="O117" s="1284"/>
      <c r="P117" s="1283"/>
    </row>
    <row r="118" spans="1:18">
      <c r="A118" s="355"/>
      <c r="B118" s="301"/>
      <c r="C118" s="375" t="s">
        <v>314</v>
      </c>
      <c r="D118" s="319"/>
      <c r="E118" s="302"/>
      <c r="F118" s="302"/>
      <c r="G118" s="302"/>
      <c r="H118" s="302"/>
      <c r="I118" s="302"/>
      <c r="J118" s="302"/>
      <c r="K118" s="302"/>
      <c r="L118" s="1283"/>
      <c r="M118" s="1283"/>
      <c r="N118" s="1283"/>
      <c r="O118" s="1284"/>
      <c r="P118" s="1283"/>
    </row>
    <row r="119" spans="1:18">
      <c r="A119" s="355"/>
      <c r="B119" s="313"/>
      <c r="C119" s="375" t="str">
        <f>+C59</f>
        <v>Entergy Texas, Inc.</v>
      </c>
      <c r="D119" s="319"/>
      <c r="E119" s="302"/>
      <c r="F119" s="302"/>
      <c r="G119" s="302"/>
      <c r="H119" s="302"/>
      <c r="I119" s="302"/>
      <c r="J119" s="302"/>
      <c r="K119" s="302"/>
      <c r="L119" s="1283"/>
      <c r="M119" s="1283"/>
      <c r="N119" s="1283"/>
      <c r="O119" s="1284"/>
      <c r="P119" s="1283"/>
    </row>
    <row r="120" spans="1:18">
      <c r="A120" s="928"/>
      <c r="B120" s="928"/>
      <c r="C120" s="375" t="str">
        <f>+C60</f>
        <v>Projected Rate</v>
      </c>
      <c r="D120" s="928"/>
      <c r="E120" s="928"/>
      <c r="F120" s="928"/>
      <c r="G120" s="928"/>
      <c r="H120" s="928"/>
      <c r="I120" s="928"/>
      <c r="J120" s="928"/>
      <c r="K120" s="928"/>
      <c r="L120" s="1283"/>
      <c r="M120" s="1283"/>
      <c r="N120" s="1283"/>
      <c r="O120" s="1284"/>
      <c r="P120" s="1283"/>
    </row>
    <row r="121" spans="1:18">
      <c r="A121" s="355"/>
      <c r="B121" s="377" t="s">
        <v>170</v>
      </c>
      <c r="C121" s="377" t="s">
        <v>316</v>
      </c>
      <c r="D121" s="377" t="s">
        <v>317</v>
      </c>
      <c r="E121" s="302" t="s">
        <v>65</v>
      </c>
      <c r="F121" s="302"/>
      <c r="G121" s="378" t="s">
        <v>318</v>
      </c>
      <c r="H121" s="302"/>
      <c r="I121" s="378" t="s">
        <v>319</v>
      </c>
      <c r="J121" s="302"/>
      <c r="K121" s="302"/>
      <c r="L121" s="1283"/>
      <c r="M121" s="1283"/>
      <c r="N121" s="1283"/>
      <c r="O121" s="1284"/>
      <c r="P121" s="1283"/>
    </row>
    <row r="122" spans="1:18">
      <c r="A122" s="355" t="s">
        <v>320</v>
      </c>
      <c r="B122" s="301"/>
      <c r="C122" s="379"/>
      <c r="D122" s="302"/>
      <c r="E122" s="302"/>
      <c r="F122" s="302"/>
      <c r="G122" s="355"/>
      <c r="H122" s="302"/>
      <c r="I122" s="1661"/>
      <c r="J122" s="302"/>
      <c r="K122" s="1661"/>
      <c r="L122" s="1283"/>
      <c r="M122" s="1283"/>
      <c r="N122" s="1283"/>
      <c r="O122" s="1284"/>
      <c r="P122" s="1283"/>
    </row>
    <row r="123" spans="1:18" ht="13.8" thickBot="1">
      <c r="A123" s="303" t="s">
        <v>322</v>
      </c>
      <c r="B123" s="301"/>
      <c r="C123" s="380" t="s">
        <v>158</v>
      </c>
      <c r="D123" s="1661" t="s">
        <v>921</v>
      </c>
      <c r="E123" s="381"/>
      <c r="F123" s="1661" t="s">
        <v>349</v>
      </c>
      <c r="G123" s="313"/>
      <c r="H123" s="381"/>
      <c r="I123" s="355" t="s">
        <v>350</v>
      </c>
      <c r="J123" s="302"/>
      <c r="K123" s="319"/>
      <c r="L123" s="1299"/>
      <c r="M123" s="1283"/>
      <c r="N123" s="1283"/>
      <c r="O123" s="1283"/>
      <c r="P123" s="1283"/>
    </row>
    <row r="124" spans="1:18">
      <c r="A124" s="355"/>
      <c r="B124" s="301" t="s">
        <v>126</v>
      </c>
      <c r="C124" s="302"/>
      <c r="D124" s="302"/>
      <c r="E124" s="302"/>
      <c r="F124" s="302"/>
      <c r="G124" s="302"/>
      <c r="H124" s="302"/>
      <c r="I124" s="302"/>
      <c r="J124" s="302"/>
      <c r="K124" s="319"/>
      <c r="L124" s="1287"/>
      <c r="M124" s="1283"/>
      <c r="N124" s="1283"/>
      <c r="O124" s="1283"/>
      <c r="P124" s="1283"/>
      <c r="Q124" s="357"/>
      <c r="R124" s="382"/>
    </row>
    <row r="125" spans="1:18">
      <c r="A125" s="355">
        <v>1</v>
      </c>
      <c r="B125" s="301" t="s">
        <v>367</v>
      </c>
      <c r="C125" s="302" t="str">
        <f>+"Appendix A Line "&amp;+'Appendix A'!A125&amp;" "&amp;$L$6&amp;" Column"</f>
        <v>Appendix A Line 75 Projected Column</v>
      </c>
      <c r="D125" s="300">
        <f>IF($L$10=0,'Appendix A'!H125,'Appendix A'!G125)</f>
        <v>28775450.609999992</v>
      </c>
      <c r="E125" s="302"/>
      <c r="F125" s="302" t="s">
        <v>353</v>
      </c>
      <c r="G125" s="306">
        <f>+TP</f>
        <v>0.90918476963106853</v>
      </c>
      <c r="H125" s="307"/>
      <c r="I125" s="300">
        <f t="shared" ref="I125:I132" si="1">+G125*D125</f>
        <v>26162201.433883034</v>
      </c>
      <c r="J125" s="383"/>
      <c r="K125" s="319"/>
      <c r="L125" s="1287"/>
      <c r="M125" s="1283">
        <f>+D125</f>
        <v>28775450.609999992</v>
      </c>
      <c r="N125" s="1283"/>
      <c r="O125" s="1283"/>
      <c r="P125" s="1283"/>
      <c r="Q125" s="357"/>
      <c r="R125" s="382"/>
    </row>
    <row r="126" spans="1:18">
      <c r="A126" s="384" t="s">
        <v>639</v>
      </c>
      <c r="B126" s="709" t="s">
        <v>600</v>
      </c>
      <c r="C126" s="409" t="str">
        <f>+"Appendix A Lines "&amp;+'Appendix A'!A126&amp;" - Line "&amp;'Appendix A'!A128&amp;" - Line "&amp;'Appendix A'!A129&amp;" "&amp;$L$6&amp;" Column"</f>
        <v>Appendix A Lines 76 - Line 78 - Line 79 Projected Column</v>
      </c>
      <c r="D126" s="1393">
        <f>IF($L$10=0,'Appendix A'!H126-'Appendix A'!H128-'Appendix A'!H129,'Appendix A'!G126-'Appendix A'!G128-'Appendix A'!G129)</f>
        <v>1990567.5870588548</v>
      </c>
      <c r="E126" s="322"/>
      <c r="F126" s="322" t="str">
        <f>+F125</f>
        <v>TP</v>
      </c>
      <c r="G126" s="306">
        <f>+TP</f>
        <v>0.90918476963106853</v>
      </c>
      <c r="H126" s="322"/>
      <c r="I126" s="300">
        <f>+G126*D126</f>
        <v>1809793.7330751768</v>
      </c>
      <c r="J126" s="385"/>
      <c r="K126" s="319"/>
      <c r="L126" s="1287"/>
      <c r="M126" s="1283">
        <f>+D126</f>
        <v>1990567.5870588548</v>
      </c>
      <c r="N126" s="1283"/>
      <c r="O126" s="1283"/>
      <c r="P126" s="1283"/>
      <c r="Q126" s="357"/>
      <c r="R126" s="382"/>
    </row>
    <row r="127" spans="1:18">
      <c r="A127" s="384">
        <f>+A125+1</f>
        <v>2</v>
      </c>
      <c r="B127" s="706" t="s">
        <v>601</v>
      </c>
      <c r="C127" s="302" t="str">
        <f>+"Appendix A Line "&amp;+'Appendix A'!A127&amp;" "&amp;$L$6&amp;" Column"</f>
        <v>Appendix A Line 77 Projected Column</v>
      </c>
      <c r="D127" s="300">
        <f>IF($L$10=0,'Appendix A'!H127,'Appendix A'!G127)</f>
        <v>10842307.99</v>
      </c>
      <c r="E127" s="302"/>
      <c r="F127" s="302" t="str">
        <f>+F126</f>
        <v>TP</v>
      </c>
      <c r="G127" s="306">
        <f>+TP</f>
        <v>0.90918476963106853</v>
      </c>
      <c r="H127" s="307"/>
      <c r="I127" s="300">
        <f t="shared" si="1"/>
        <v>9857661.2921572439</v>
      </c>
      <c r="J127" s="385"/>
      <c r="K127" s="319"/>
      <c r="L127" s="1287"/>
      <c r="M127" s="1283">
        <f>+D127</f>
        <v>10842307.99</v>
      </c>
      <c r="N127" s="1283">
        <f>+M125-M126-M127</f>
        <v>15942575.032941138</v>
      </c>
      <c r="O127" s="1283">
        <f>+M125-M126-M127-N127</f>
        <v>0</v>
      </c>
      <c r="P127" s="1283"/>
      <c r="Q127" s="357"/>
      <c r="R127" s="382"/>
    </row>
    <row r="128" spans="1:18">
      <c r="A128" s="384">
        <f>+A127+1</f>
        <v>3</v>
      </c>
      <c r="B128" s="301" t="s">
        <v>368</v>
      </c>
      <c r="C128" s="302" t="str">
        <f>+"Appendix A Line "&amp;+'Appendix A'!A133&amp;" "&amp;$L$6&amp;" Column"</f>
        <v>Appendix A Line 81 Projected Column</v>
      </c>
      <c r="D128" s="300">
        <f>IF($L$10=0,+'Appendix A'!H133,'Appendix A'!G133)</f>
        <v>80733776</v>
      </c>
      <c r="E128" s="302"/>
      <c r="F128" s="302" t="s">
        <v>354</v>
      </c>
      <c r="G128" s="306">
        <f>+WS</f>
        <v>0.13823136212441037</v>
      </c>
      <c r="H128" s="307"/>
      <c r="I128" s="300">
        <f t="shared" si="1"/>
        <v>11159939.82592703</v>
      </c>
      <c r="J128" s="383"/>
      <c r="K128" s="386"/>
      <c r="L128" s="1289">
        <f>+L79</f>
        <v>0.15203880084848126</v>
      </c>
      <c r="M128" s="1283">
        <f>+L128*D128</f>
        <v>12274666.491009897</v>
      </c>
      <c r="N128" s="1283"/>
      <c r="O128" s="1283"/>
      <c r="P128" s="1283"/>
      <c r="Q128" s="357"/>
      <c r="R128" s="382"/>
    </row>
    <row r="129" spans="1:18">
      <c r="A129" s="384">
        <f>+A128+1</f>
        <v>4</v>
      </c>
      <c r="B129" s="706" t="s">
        <v>599</v>
      </c>
      <c r="C129" s="302" t="str">
        <f>+"Appendix A Line "&amp;+'Appendix A'!A154&amp;" "&amp;$L$6&amp;" Column"</f>
        <v>Appendix A Line 100 Projected Column</v>
      </c>
      <c r="D129" s="300">
        <f>IF($L$10=0,'Appendix A'!H154,'Appendix A'!G154)</f>
        <v>2049228.3841158298</v>
      </c>
      <c r="E129" s="302"/>
      <c r="F129" s="302" t="str">
        <f>+F127</f>
        <v>TP</v>
      </c>
      <c r="G129" s="306">
        <f>+TP</f>
        <v>0.90918476963106853</v>
      </c>
      <c r="H129" s="307"/>
      <c r="I129" s="300">
        <f>+D129*G129</f>
        <v>1863127.2363337975</v>
      </c>
      <c r="J129" s="383"/>
      <c r="K129" s="300"/>
      <c r="L129" s="1300"/>
      <c r="M129" s="1283">
        <f>+D129</f>
        <v>2049228.3841158298</v>
      </c>
      <c r="N129" s="1283"/>
      <c r="O129" s="1283"/>
      <c r="P129" s="1283"/>
      <c r="Q129" s="357"/>
      <c r="R129" s="382"/>
    </row>
    <row r="130" spans="1:18" s="704" customFormat="1" ht="25.95" customHeight="1">
      <c r="A130" s="827">
        <f>+A129+1</f>
        <v>5</v>
      </c>
      <c r="B130" s="980" t="s">
        <v>807</v>
      </c>
      <c r="C130" s="979" t="str">
        <f>+"Appendix A Sum of Lines "&amp;+'Appendix A'!A135&amp;" to Line "&amp;'Appendix A'!A139&amp;" - Line "&amp;'Appendix A'!A140&amp;" "&amp;$L$6&amp;" Column"</f>
        <v>Appendix A Sum of Lines 83 to Line 87 - Line 88 Projected Column</v>
      </c>
      <c r="D130" s="697">
        <f>IF($L$10=0,SUM('Appendix A'!H135:H139)-'Appendix A'!H140,SUM('Appendix A'!G135:G139)-'Appendix A'!G140)</f>
        <v>17789021.91</v>
      </c>
      <c r="E130" s="725"/>
      <c r="F130" s="725" t="s">
        <v>354</v>
      </c>
      <c r="G130" s="726">
        <f>+WS</f>
        <v>0.13823136212441037</v>
      </c>
      <c r="H130" s="727"/>
      <c r="I130" s="697">
        <f t="shared" si="1"/>
        <v>2459000.7294802801</v>
      </c>
      <c r="J130" s="981"/>
      <c r="K130" s="702"/>
      <c r="L130" s="1301">
        <f>+L128</f>
        <v>0.15203880084848126</v>
      </c>
      <c r="M130" s="1302">
        <f>+L130*D130</f>
        <v>2704621.5594637599</v>
      </c>
      <c r="N130" s="1302"/>
      <c r="O130" s="1302"/>
      <c r="P130" s="1302"/>
      <c r="Q130" s="729"/>
      <c r="R130" s="730"/>
    </row>
    <row r="131" spans="1:18" s="704" customFormat="1">
      <c r="A131" s="827" t="s">
        <v>640</v>
      </c>
      <c r="B131" s="731" t="s">
        <v>648</v>
      </c>
      <c r="C131" s="725" t="str">
        <f>+"Appendix A Lines "&amp;+'Appendix A'!A146&amp;" to "&amp;'Appendix A'!A147&amp;" "&amp;$L$6&amp;" Column"</f>
        <v>Appendix A Lines 92 to 93 Projected Column</v>
      </c>
      <c r="D131" s="697">
        <f>IF($L$10=0,SUM('Appendix A'!H146:H147),SUM('Appendix A'!G146:G147))</f>
        <v>4899</v>
      </c>
      <c r="E131" s="725"/>
      <c r="F131" s="725" t="str">
        <f>+F127</f>
        <v>TP</v>
      </c>
      <c r="G131" s="726">
        <f>+TP</f>
        <v>0.90918476963106853</v>
      </c>
      <c r="H131" s="727"/>
      <c r="I131" s="697">
        <f>+D131*G131</f>
        <v>4454.0961864226047</v>
      </c>
      <c r="J131" s="728"/>
      <c r="K131" s="702"/>
      <c r="L131" s="1303"/>
      <c r="M131" s="1302">
        <f>+D131</f>
        <v>4899</v>
      </c>
      <c r="N131" s="1302"/>
      <c r="O131" s="1302"/>
      <c r="P131" s="1302"/>
      <c r="Q131" s="729"/>
      <c r="R131" s="730"/>
    </row>
    <row r="132" spans="1:18">
      <c r="A132" s="384" t="s">
        <v>641</v>
      </c>
      <c r="B132" s="706" t="s">
        <v>775</v>
      </c>
      <c r="C132" s="302" t="str">
        <f>+"Appendix A Line "&amp;+'Appendix A'!A134&amp;" "&amp;$L$6&amp;" Column"</f>
        <v>Appendix A Line 82 Projected Column</v>
      </c>
      <c r="D132" s="300">
        <f>IF($L$10=0,'Appendix A'!H134,'Appendix A'!G134)</f>
        <v>0</v>
      </c>
      <c r="E132" s="302"/>
      <c r="F132" s="302" t="str">
        <f>+F130</f>
        <v>W/S</v>
      </c>
      <c r="G132" s="306">
        <f>+WS</f>
        <v>0.13823136212441037</v>
      </c>
      <c r="H132" s="307"/>
      <c r="I132" s="300">
        <f t="shared" si="1"/>
        <v>0</v>
      </c>
      <c r="J132" s="302"/>
      <c r="K132" s="319"/>
      <c r="L132" s="1289">
        <f>+L130</f>
        <v>0.15203880084848126</v>
      </c>
      <c r="M132" s="1283">
        <f>+L132*D132</f>
        <v>0</v>
      </c>
      <c r="N132" s="1283"/>
      <c r="O132" s="1283"/>
      <c r="P132" s="1283"/>
      <c r="Q132" s="357"/>
      <c r="R132" s="382"/>
    </row>
    <row r="133" spans="1:18">
      <c r="A133" s="384">
        <f>+A130+1</f>
        <v>6</v>
      </c>
      <c r="B133" s="706" t="s">
        <v>831</v>
      </c>
      <c r="C133" s="302"/>
      <c r="D133" s="302"/>
      <c r="E133" s="302"/>
      <c r="F133" s="302"/>
      <c r="G133" s="308"/>
      <c r="H133" s="307"/>
      <c r="I133" s="300"/>
      <c r="J133" s="288"/>
      <c r="L133" s="1287"/>
      <c r="M133" s="1283">
        <f>+D133</f>
        <v>0</v>
      </c>
      <c r="N133" s="1283"/>
      <c r="O133" s="1283"/>
      <c r="P133" s="1284"/>
      <c r="Q133" s="278"/>
    </row>
    <row r="134" spans="1:18">
      <c r="A134" s="384" t="s">
        <v>733</v>
      </c>
      <c r="B134" s="1105" t="s">
        <v>760</v>
      </c>
      <c r="C134" s="302" t="str">
        <f>+"Appendix A Line "&amp;'Appendix A'!A189&amp;" "&amp;$L$6&amp;" Column"</f>
        <v>Appendix A Line 125 Projected Column</v>
      </c>
      <c r="D134" s="300">
        <f>IF($L$10=0,'Appendix A'!H189,'Appendix A'!G189)</f>
        <v>0</v>
      </c>
      <c r="E134" s="300"/>
      <c r="F134" s="300" t="s">
        <v>353</v>
      </c>
      <c r="G134" s="306">
        <f>+TP</f>
        <v>0.90918476963106853</v>
      </c>
      <c r="H134" s="300"/>
      <c r="I134" s="300">
        <f>+D134*G134</f>
        <v>0</v>
      </c>
      <c r="J134" s="288"/>
      <c r="L134" s="1287"/>
      <c r="M134" s="1283">
        <f>+D134</f>
        <v>0</v>
      </c>
      <c r="N134" s="1283"/>
      <c r="O134" s="1283"/>
      <c r="P134" s="1284"/>
      <c r="Q134" s="278"/>
    </row>
    <row r="135" spans="1:18">
      <c r="A135" s="384" t="s">
        <v>734</v>
      </c>
      <c r="B135" s="1105" t="s">
        <v>761</v>
      </c>
      <c r="C135" s="302" t="str">
        <f>+"Appendix A Line "&amp;'Appendix A'!A192&amp;" "&amp;$L$6&amp;" Column"</f>
        <v>Appendix A Line 128 Projected Column</v>
      </c>
      <c r="D135" s="363">
        <f>IF($L$10=0,'Appendix A'!H192,'Appendix A'!G192)</f>
        <v>0</v>
      </c>
      <c r="E135" s="363"/>
      <c r="F135" s="363" t="s">
        <v>353</v>
      </c>
      <c r="G135" s="897">
        <f>+TP</f>
        <v>0.90918476963106853</v>
      </c>
      <c r="H135" s="363"/>
      <c r="I135" s="363">
        <f>+D135*G135</f>
        <v>0</v>
      </c>
      <c r="J135" s="288"/>
      <c r="L135" s="1287"/>
      <c r="M135" s="1283"/>
      <c r="N135" s="1283"/>
      <c r="O135" s="1283"/>
      <c r="P135" s="1284"/>
      <c r="Q135" s="278"/>
    </row>
    <row r="136" spans="1:18" ht="13.8" thickBot="1">
      <c r="A136" s="384">
        <f>+A133+1</f>
        <v>7</v>
      </c>
      <c r="B136" s="706" t="s">
        <v>831</v>
      </c>
      <c r="C136" s="302"/>
      <c r="D136" s="358"/>
      <c r="E136" s="1106"/>
      <c r="F136" s="1106"/>
      <c r="G136" s="897"/>
      <c r="H136" s="373"/>
      <c r="I136" s="358"/>
      <c r="J136" s="288"/>
      <c r="L136" s="1287"/>
      <c r="M136" s="1283">
        <f>+D136</f>
        <v>0</v>
      </c>
      <c r="N136" s="1283"/>
      <c r="O136" s="1283"/>
      <c r="P136" s="1284"/>
      <c r="Q136" s="278"/>
    </row>
    <row r="137" spans="1:18">
      <c r="A137" s="384">
        <f>+A136+1</f>
        <v>8</v>
      </c>
      <c r="B137" s="929" t="s">
        <v>369</v>
      </c>
      <c r="C137" s="1674" t="str">
        <f>+"(Sum of Line "&amp;A125&amp;" + Line  "&amp;A128&amp;" + Line "&amp;A129&amp;" + Line "&amp;A131&amp;" + Line "&amp;A134&amp;" to Line "&amp;A136&amp;" - Line "&amp;A126&amp;" - Line "&amp;A127&amp;" - Line "&amp;A130&amp;" - Line "&amp;A132&amp;")"</f>
        <v>(Sum of Line 1 + Line  3 + Line 4 + Line 5a + Line 6a to Line 7 - Line 1a - Line 2 - Line 5 - Line 5b)</v>
      </c>
      <c r="D137" s="300">
        <f>+D125 - D126 - D127 + D128 + D129 - D130 + D131 - D132 + D133 + D134 + D135 + D136</f>
        <v>80941456.507056966</v>
      </c>
      <c r="E137" s="300"/>
      <c r="F137" s="300"/>
      <c r="G137" s="300"/>
      <c r="H137" s="300"/>
      <c r="I137" s="300">
        <f>+I125 - I126 - I127 + I128 + I129 - I130 + I131 - I132 + I133 + I134 + I135 + I136</f>
        <v>25063266.837617584</v>
      </c>
      <c r="J137" s="288"/>
      <c r="K137" s="279"/>
      <c r="L137" s="1290">
        <f>+I137/M137</f>
        <v>0.90918476963106842</v>
      </c>
      <c r="M137" s="1283">
        <f>+M125-M126-M127+M128+M129-M130+M131-M132+M133+M134+M136</f>
        <v>27566747.348603107</v>
      </c>
      <c r="N137" s="1283">
        <f>IF($L$10=0,'Appendix A'!H156,'Appendix A'!G156)</f>
        <v>27566747.3486031</v>
      </c>
      <c r="O137" s="1283">
        <f>+M137-N137</f>
        <v>0</v>
      </c>
      <c r="P137" s="1304" t="s">
        <v>764</v>
      </c>
      <c r="Q137" s="278"/>
    </row>
    <row r="138" spans="1:18">
      <c r="A138" s="384"/>
      <c r="B138" s="313"/>
      <c r="C138" s="1674"/>
      <c r="D138" s="300"/>
      <c r="E138" s="300"/>
      <c r="F138" s="300"/>
      <c r="G138" s="300"/>
      <c r="H138" s="300"/>
      <c r="I138" s="300"/>
      <c r="J138" s="288"/>
      <c r="L138" s="1287"/>
      <c r="M138" s="1284"/>
      <c r="N138" s="1283"/>
      <c r="O138" s="1283"/>
      <c r="P138" s="1284"/>
      <c r="Q138" s="278"/>
    </row>
    <row r="139" spans="1:18">
      <c r="A139" s="384"/>
      <c r="B139" s="301" t="s">
        <v>370</v>
      </c>
      <c r="C139" s="302"/>
      <c r="D139" s="300"/>
      <c r="E139" s="300"/>
      <c r="F139" s="300"/>
      <c r="G139" s="300"/>
      <c r="H139" s="300"/>
      <c r="I139" s="300"/>
      <c r="J139" s="302"/>
      <c r="K139" s="319"/>
      <c r="L139" s="1287"/>
      <c r="M139" s="1283"/>
      <c r="N139" s="1283"/>
      <c r="O139" s="1283"/>
      <c r="P139" s="1284"/>
      <c r="Q139" s="278"/>
    </row>
    <row r="140" spans="1:18">
      <c r="A140" s="384">
        <f>+A137+1</f>
        <v>9</v>
      </c>
      <c r="B140" s="706" t="s">
        <v>597</v>
      </c>
      <c r="C140" s="302" t="str">
        <f>+"Appendix A Line "&amp;'Appendix A'!A161&amp;" "&amp;$L$6&amp;" Column"</f>
        <v>Appendix A Line 103 Projected Column</v>
      </c>
      <c r="D140" s="300">
        <f>IF($L$10=0,'Appendix A'!H161,'Appendix A'!G161)</f>
        <v>21427519.640023574</v>
      </c>
      <c r="E140" s="300"/>
      <c r="F140" s="300" t="s">
        <v>353</v>
      </c>
      <c r="G140" s="306">
        <f>+TP</f>
        <v>0.90918476963106853</v>
      </c>
      <c r="H140" s="300"/>
      <c r="I140" s="300">
        <f>+G140*D140</f>
        <v>19481574.507680029</v>
      </c>
      <c r="J140" s="302"/>
      <c r="K140" s="319"/>
      <c r="L140" s="1288"/>
      <c r="M140" s="1283">
        <f>+D140</f>
        <v>21427519.640023574</v>
      </c>
      <c r="N140" s="1283"/>
      <c r="O140" s="1283"/>
      <c r="P140" s="1284"/>
      <c r="Q140" s="278"/>
    </row>
    <row r="141" spans="1:18">
      <c r="A141" s="384">
        <f t="shared" ref="A141:A153" si="2">+A140+1</f>
        <v>10</v>
      </c>
      <c r="B141" s="708" t="s">
        <v>598</v>
      </c>
      <c r="C141" s="302" t="str">
        <f>+"Appendix A Line "&amp;+'Appendix A'!A168&amp;" "&amp;$L$6&amp;" Column"</f>
        <v>Appendix A Line 110 Projected Column</v>
      </c>
      <c r="D141" s="300">
        <f>IF($L$10=0,'Appendix A'!H168,'Appendix A'!G168)</f>
        <v>1935783.046098219</v>
      </c>
      <c r="E141" s="300"/>
      <c r="F141" s="300" t="str">
        <f>+F140</f>
        <v>TP</v>
      </c>
      <c r="G141" s="306">
        <f>+TP</f>
        <v>0.90918476963106853</v>
      </c>
      <c r="H141" s="300"/>
      <c r="I141" s="300">
        <f>+G141*D141</f>
        <v>1759984.4628225374</v>
      </c>
      <c r="J141" s="302"/>
      <c r="K141" s="319"/>
      <c r="L141" s="1288"/>
      <c r="M141" s="1283">
        <f>+D141</f>
        <v>1935783.046098219</v>
      </c>
      <c r="N141" s="1283"/>
      <c r="O141" s="1283"/>
      <c r="P141" s="1284"/>
      <c r="Q141" s="278"/>
    </row>
    <row r="142" spans="1:18" ht="13.8" thickBot="1">
      <c r="A142" s="384">
        <f t="shared" si="2"/>
        <v>11</v>
      </c>
      <c r="B142" s="706" t="s">
        <v>831</v>
      </c>
      <c r="C142" s="302"/>
      <c r="D142" s="358"/>
      <c r="E142" s="363"/>
      <c r="F142" s="300"/>
      <c r="G142" s="306"/>
      <c r="H142" s="363"/>
      <c r="I142" s="358"/>
      <c r="J142" s="302"/>
      <c r="K142" s="319"/>
      <c r="L142" s="1288"/>
      <c r="M142" s="1283">
        <f>+D142</f>
        <v>0</v>
      </c>
      <c r="N142" s="1283"/>
      <c r="O142" s="1283"/>
      <c r="P142" s="1284"/>
      <c r="Q142" s="278"/>
    </row>
    <row r="143" spans="1:18">
      <c r="A143" s="384">
        <f>+A142+1</f>
        <v>12</v>
      </c>
      <c r="B143" s="301" t="s">
        <v>371</v>
      </c>
      <c r="C143" s="302" t="str">
        <f>+"(Sum of Lines "&amp;A140&amp;" to Line "&amp;A142&amp;")"</f>
        <v>(Sum of Lines 9 to Line 11)</v>
      </c>
      <c r="D143" s="300">
        <f>SUM(D140:D142)</f>
        <v>23363302.686121792</v>
      </c>
      <c r="E143" s="300"/>
      <c r="F143" s="300"/>
      <c r="G143" s="306"/>
      <c r="H143" s="300"/>
      <c r="I143" s="300">
        <f>SUM(I140:I142)</f>
        <v>21241558.970502567</v>
      </c>
      <c r="J143" s="302"/>
      <c r="K143" s="319"/>
      <c r="L143" s="1290">
        <f>+I143/M143</f>
        <v>0.90918476963106853</v>
      </c>
      <c r="M143" s="1283">
        <f>SUM(M140:M142)</f>
        <v>23363302.686121792</v>
      </c>
      <c r="N143" s="1283">
        <f>IF($L$10=0,'Appendix A'!H170,'Appendix A'!G170)</f>
        <v>23363302.686121792</v>
      </c>
      <c r="O143" s="1283">
        <f>+M143-N143</f>
        <v>0</v>
      </c>
      <c r="P143" s="1284"/>
      <c r="Q143" s="278"/>
    </row>
    <row r="144" spans="1:18">
      <c r="A144" s="384"/>
      <c r="B144" s="301"/>
      <c r="C144" s="302"/>
      <c r="D144" s="300"/>
      <c r="E144" s="300"/>
      <c r="F144" s="300"/>
      <c r="G144" s="306"/>
      <c r="H144" s="300"/>
      <c r="I144" s="300"/>
      <c r="J144" s="302"/>
      <c r="K144" s="319"/>
      <c r="L144" s="1287"/>
      <c r="M144" s="1283"/>
      <c r="N144" s="1283"/>
      <c r="O144" s="1283"/>
      <c r="P144" s="1284"/>
      <c r="Q144" s="278"/>
    </row>
    <row r="145" spans="1:17">
      <c r="A145" s="384"/>
      <c r="B145" s="301" t="s">
        <v>372</v>
      </c>
      <c r="C145" s="313"/>
      <c r="D145" s="300"/>
      <c r="E145" s="300"/>
      <c r="F145" s="300"/>
      <c r="G145" s="306"/>
      <c r="H145" s="300"/>
      <c r="I145" s="300"/>
      <c r="J145" s="302"/>
      <c r="K145" s="319"/>
      <c r="L145" s="1287"/>
      <c r="M145" s="1283"/>
      <c r="N145" s="1283"/>
      <c r="O145" s="1283"/>
      <c r="P145" s="1284"/>
      <c r="Q145" s="278"/>
    </row>
    <row r="146" spans="1:17">
      <c r="A146" s="384">
        <f>+A143+1</f>
        <v>13</v>
      </c>
      <c r="B146" s="706" t="s">
        <v>373</v>
      </c>
      <c r="C146" s="302" t="str">
        <f>+"Appendix A Line "&amp;+'Appendix A'!A185&amp;" "&amp;$L$6&amp;" Column"</f>
        <v>Appendix A Line 124 Projected Column</v>
      </c>
      <c r="D146" s="300">
        <f>IF($L$10=0,'Appendix A'!H185,'Appendix A'!G185)</f>
        <v>10574394.978252631</v>
      </c>
      <c r="E146" s="300"/>
      <c r="F146" s="300" t="s">
        <v>353</v>
      </c>
      <c r="G146" s="359">
        <f>+TP</f>
        <v>0.90918476963106853</v>
      </c>
      <c r="H146" s="300"/>
      <c r="I146" s="300">
        <f>+G146*D146</f>
        <v>9614078.8622905463</v>
      </c>
      <c r="J146" s="302"/>
      <c r="K146" s="319"/>
      <c r="L146" s="1288"/>
      <c r="M146" s="1283">
        <f t="shared" ref="M146:M152" si="3">+D146</f>
        <v>10574394.978252631</v>
      </c>
      <c r="N146" s="1283"/>
      <c r="O146" s="1283"/>
      <c r="P146" s="1284"/>
      <c r="Q146" s="278"/>
    </row>
    <row r="147" spans="1:17">
      <c r="A147" s="384">
        <f t="shared" si="2"/>
        <v>14</v>
      </c>
      <c r="B147" s="706" t="s">
        <v>831</v>
      </c>
      <c r="C147" s="302"/>
      <c r="D147" s="300"/>
      <c r="E147" s="300"/>
      <c r="F147" s="307"/>
      <c r="G147" s="369"/>
      <c r="H147" s="300"/>
      <c r="I147" s="1107"/>
      <c r="J147" s="302"/>
      <c r="K147" s="319"/>
      <c r="L147" s="1288"/>
      <c r="M147" s="1283">
        <f t="shared" si="3"/>
        <v>0</v>
      </c>
      <c r="N147" s="1283"/>
      <c r="O147" s="1283"/>
      <c r="P147" s="1284"/>
      <c r="Q147" s="278"/>
    </row>
    <row r="148" spans="1:17">
      <c r="A148" s="384">
        <f t="shared" si="2"/>
        <v>15</v>
      </c>
      <c r="B148" s="406" t="s">
        <v>642</v>
      </c>
      <c r="C148" s="302"/>
      <c r="D148" s="300"/>
      <c r="E148" s="300"/>
      <c r="F148" s="300"/>
      <c r="G148" s="306"/>
      <c r="H148" s="300"/>
      <c r="I148" s="300"/>
      <c r="J148" s="302"/>
      <c r="K148" s="319"/>
      <c r="L148" s="1288"/>
      <c r="M148" s="1283">
        <f t="shared" si="3"/>
        <v>0</v>
      </c>
      <c r="N148" s="1283"/>
      <c r="O148" s="1283"/>
      <c r="P148" s="1284"/>
      <c r="Q148" s="278"/>
    </row>
    <row r="149" spans="1:17">
      <c r="A149" s="384">
        <f t="shared" si="2"/>
        <v>16</v>
      </c>
      <c r="B149" s="706" t="s">
        <v>831</v>
      </c>
      <c r="C149" s="302"/>
      <c r="D149" s="300"/>
      <c r="E149" s="300"/>
      <c r="F149" s="307"/>
      <c r="G149" s="369"/>
      <c r="H149" s="300"/>
      <c r="I149" s="300"/>
      <c r="J149" s="302"/>
      <c r="K149" s="319"/>
      <c r="L149" s="1288"/>
      <c r="M149" s="1283">
        <f t="shared" si="3"/>
        <v>0</v>
      </c>
      <c r="N149" s="1283"/>
      <c r="O149" s="1283"/>
      <c r="P149" s="1284"/>
      <c r="Q149" s="278"/>
    </row>
    <row r="150" spans="1:17">
      <c r="A150" s="384">
        <f t="shared" si="2"/>
        <v>17</v>
      </c>
      <c r="B150" s="706" t="s">
        <v>831</v>
      </c>
      <c r="C150" s="302"/>
      <c r="D150" s="300"/>
      <c r="E150" s="300"/>
      <c r="F150" s="307"/>
      <c r="G150" s="369"/>
      <c r="H150" s="300"/>
      <c r="I150" s="300"/>
      <c r="J150" s="302"/>
      <c r="K150" s="319"/>
      <c r="L150" s="1288"/>
      <c r="M150" s="1283">
        <f>+D150</f>
        <v>0</v>
      </c>
      <c r="N150" s="1283"/>
      <c r="O150" s="1283"/>
      <c r="P150" s="1284"/>
      <c r="Q150" s="278"/>
    </row>
    <row r="151" spans="1:17">
      <c r="A151" s="384">
        <f t="shared" si="2"/>
        <v>18</v>
      </c>
      <c r="B151" s="706" t="s">
        <v>831</v>
      </c>
      <c r="C151" s="302"/>
      <c r="D151" s="300"/>
      <c r="E151" s="300"/>
      <c r="F151" s="307"/>
      <c r="G151" s="369"/>
      <c r="H151" s="300"/>
      <c r="I151" s="300"/>
      <c r="J151" s="302"/>
      <c r="K151" s="319"/>
      <c r="L151" s="1288"/>
      <c r="M151" s="1283">
        <f>+D151</f>
        <v>0</v>
      </c>
      <c r="N151" s="1283"/>
      <c r="O151" s="1283"/>
      <c r="P151" s="1284"/>
      <c r="Q151" s="278"/>
    </row>
    <row r="152" spans="1:17" ht="13.8" thickBot="1">
      <c r="A152" s="384">
        <f t="shared" si="2"/>
        <v>19</v>
      </c>
      <c r="B152" s="706" t="s">
        <v>831</v>
      </c>
      <c r="C152" s="302"/>
      <c r="D152" s="358"/>
      <c r="E152" s="300"/>
      <c r="F152" s="307"/>
      <c r="G152" s="369"/>
      <c r="H152" s="300"/>
      <c r="I152" s="358"/>
      <c r="J152" s="302"/>
      <c r="K152" s="319"/>
      <c r="L152" s="1288"/>
      <c r="M152" s="1283">
        <f t="shared" si="3"/>
        <v>0</v>
      </c>
      <c r="N152" s="1283"/>
      <c r="O152" s="1283"/>
      <c r="P152" s="1284"/>
      <c r="Q152" s="278"/>
    </row>
    <row r="153" spans="1:17">
      <c r="A153" s="384">
        <f t="shared" si="2"/>
        <v>20</v>
      </c>
      <c r="B153" s="301" t="s">
        <v>374</v>
      </c>
      <c r="C153" s="302" t="str">
        <f>+"(Sum of Line "&amp;A146&amp;" to Line "&amp;A152&amp;")"</f>
        <v>(Sum of Line 13 to Line 19)</v>
      </c>
      <c r="D153" s="300">
        <f>SUM(D146:D152)</f>
        <v>10574394.978252631</v>
      </c>
      <c r="E153" s="300"/>
      <c r="F153" s="300"/>
      <c r="G153" s="300"/>
      <c r="H153" s="300"/>
      <c r="I153" s="300">
        <f>SUM(I146:I152)</f>
        <v>9614078.8622905463</v>
      </c>
      <c r="J153" s="302"/>
      <c r="K153" s="319"/>
      <c r="L153" s="1290">
        <f>+I153/M153</f>
        <v>0.90918476963106853</v>
      </c>
      <c r="M153" s="1283">
        <f>SUM(M146:M152)</f>
        <v>10574394.978252631</v>
      </c>
      <c r="N153" s="1283">
        <f>IF($L$10=0,'Appendix A'!H185,'Appendix A'!G185)</f>
        <v>10574394.978252631</v>
      </c>
      <c r="O153" s="1283">
        <f>+M153-N153</f>
        <v>0</v>
      </c>
      <c r="P153" s="1284"/>
      <c r="Q153" s="278"/>
    </row>
    <row r="154" spans="1:17">
      <c r="A154" s="384"/>
      <c r="B154" s="301"/>
      <c r="C154" s="302"/>
      <c r="D154" s="300"/>
      <c r="E154" s="300"/>
      <c r="F154" s="300"/>
      <c r="G154" s="300"/>
      <c r="H154" s="300"/>
      <c r="I154" s="300"/>
      <c r="J154" s="302"/>
      <c r="K154" s="319"/>
      <c r="L154" s="1290"/>
      <c r="M154" s="1283"/>
      <c r="N154" s="1283"/>
      <c r="O154" s="1283"/>
      <c r="P154" s="1284"/>
      <c r="Q154" s="278"/>
    </row>
    <row r="155" spans="1:17">
      <c r="A155" s="319"/>
      <c r="B155" s="301" t="s">
        <v>375</v>
      </c>
      <c r="C155" s="302" t="str">
        <f>""</f>
        <v/>
      </c>
      <c r="D155" s="302"/>
      <c r="E155" s="302"/>
      <c r="F155" s="313"/>
      <c r="G155" s="387"/>
      <c r="H155" s="302"/>
      <c r="I155" s="313"/>
      <c r="J155" s="302"/>
      <c r="K155" s="319"/>
      <c r="L155" s="1305"/>
      <c r="M155" s="1283"/>
      <c r="N155" s="1283"/>
      <c r="O155" s="1283"/>
      <c r="P155" s="1284"/>
      <c r="Q155" s="278"/>
    </row>
    <row r="156" spans="1:17">
      <c r="A156" s="384">
        <f>+A153+1</f>
        <v>21</v>
      </c>
      <c r="B156" s="706" t="s">
        <v>119</v>
      </c>
      <c r="C156" s="302" t="str">
        <f>+"Appendix A Line "&amp;+'Appendix A'!A239&amp;" "&amp;$L$6&amp;" Column"</f>
        <v>Appendix A Line 157 Projected Column</v>
      </c>
      <c r="D156" s="363">
        <f>IF($L$10=0,'Appendix A'!H239,'Appendix A'!G239)</f>
        <v>23208506.652785975</v>
      </c>
      <c r="E156" s="373"/>
      <c r="F156" s="363" t="s">
        <v>353</v>
      </c>
      <c r="G156" s="897">
        <f>+TP</f>
        <v>0.90918476963106853</v>
      </c>
      <c r="H156" s="373"/>
      <c r="I156" s="898">
        <f>+D156*G156</f>
        <v>21100820.774594337</v>
      </c>
      <c r="J156" s="302"/>
      <c r="K156" s="319"/>
      <c r="L156" s="1290">
        <f>+I156/M156</f>
        <v>0.90918476963106842</v>
      </c>
      <c r="M156" s="1283">
        <f>+D156</f>
        <v>23208506.652785975</v>
      </c>
      <c r="N156" s="1283">
        <f>IF($L$10=0,'Appendix A'!H239,'Appendix A'!G239)</f>
        <v>23208506.652785975</v>
      </c>
      <c r="O156" s="1283"/>
      <c r="P156" s="1284"/>
      <c r="Q156" s="278"/>
    </row>
    <row r="157" spans="1:17">
      <c r="A157" s="384">
        <f t="shared" ref="A157:A162" si="4">+A156+1</f>
        <v>22</v>
      </c>
      <c r="B157" s="706" t="s">
        <v>831</v>
      </c>
      <c r="C157" s="302"/>
      <c r="D157" s="300"/>
      <c r="E157" s="373"/>
      <c r="F157" s="307"/>
      <c r="G157" s="369"/>
      <c r="H157" s="300"/>
      <c r="I157" s="300"/>
      <c r="J157" s="302"/>
      <c r="K157" s="319"/>
      <c r="L157" s="1290"/>
      <c r="M157" s="1283"/>
      <c r="N157" s="1283"/>
      <c r="O157" s="1283"/>
      <c r="P157" s="1284"/>
      <c r="Q157" s="278"/>
    </row>
    <row r="158" spans="1:17">
      <c r="A158" s="384">
        <f t="shared" si="4"/>
        <v>23</v>
      </c>
      <c r="B158" s="706" t="s">
        <v>831</v>
      </c>
      <c r="C158" s="302"/>
      <c r="D158" s="300"/>
      <c r="E158" s="373"/>
      <c r="F158" s="307"/>
      <c r="G158" s="369"/>
      <c r="H158" s="300"/>
      <c r="I158" s="300"/>
      <c r="J158" s="302"/>
      <c r="K158" s="319"/>
      <c r="L158" s="1290"/>
      <c r="M158" s="1283"/>
      <c r="N158" s="1283"/>
      <c r="O158" s="1283"/>
      <c r="P158" s="1284"/>
      <c r="Q158" s="278"/>
    </row>
    <row r="159" spans="1:17">
      <c r="A159" s="384">
        <f t="shared" si="4"/>
        <v>24</v>
      </c>
      <c r="B159" s="706" t="s">
        <v>831</v>
      </c>
      <c r="C159" s="302"/>
      <c r="D159" s="300"/>
      <c r="E159" s="373"/>
      <c r="F159" s="307"/>
      <c r="G159" s="369"/>
      <c r="H159" s="300"/>
      <c r="I159" s="300"/>
      <c r="J159" s="302"/>
      <c r="K159" s="319"/>
      <c r="L159" s="1290"/>
      <c r="M159" s="1283"/>
      <c r="N159" s="1283"/>
      <c r="O159" s="1283"/>
      <c r="P159" s="1284"/>
      <c r="Q159" s="278"/>
    </row>
    <row r="160" spans="1:17">
      <c r="A160" s="384">
        <f t="shared" si="4"/>
        <v>25</v>
      </c>
      <c r="B160" s="706" t="s">
        <v>831</v>
      </c>
      <c r="C160" s="302"/>
      <c r="D160" s="300"/>
      <c r="E160" s="373"/>
      <c r="F160" s="307"/>
      <c r="G160" s="369"/>
      <c r="H160" s="300"/>
      <c r="I160" s="300"/>
      <c r="J160" s="302"/>
      <c r="K160" s="319"/>
      <c r="L160" s="1290"/>
      <c r="M160" s="1283"/>
      <c r="N160" s="1283"/>
      <c r="O160" s="1283"/>
      <c r="P160" s="1284"/>
      <c r="Q160" s="278"/>
    </row>
    <row r="161" spans="1:17" ht="13.8" thickBot="1">
      <c r="A161" s="384">
        <f t="shared" si="4"/>
        <v>26</v>
      </c>
      <c r="B161" s="706" t="s">
        <v>831</v>
      </c>
      <c r="C161" s="302"/>
      <c r="D161" s="358"/>
      <c r="E161" s="373"/>
      <c r="F161" s="307"/>
      <c r="G161" s="369"/>
      <c r="H161" s="300"/>
      <c r="I161" s="358"/>
      <c r="J161" s="302"/>
      <c r="K161" s="319"/>
      <c r="L161" s="1290"/>
      <c r="M161" s="1283"/>
      <c r="N161" s="1283"/>
      <c r="O161" s="1283"/>
      <c r="P161" s="1284"/>
      <c r="Q161" s="278"/>
    </row>
    <row r="162" spans="1:17">
      <c r="A162" s="384">
        <f t="shared" si="4"/>
        <v>27</v>
      </c>
      <c r="B162" s="706" t="s">
        <v>50</v>
      </c>
      <c r="C162" s="302" t="str">
        <f>+"(Sum of Line "&amp;A156&amp;" to Line "&amp;A161&amp;")"</f>
        <v>(Sum of Line 21 to Line 26)</v>
      </c>
      <c r="D162" s="300">
        <f>SUM(D156:D161)</f>
        <v>23208506.652785975</v>
      </c>
      <c r="E162" s="319"/>
      <c r="F162" s="319"/>
      <c r="G162" s="319"/>
      <c r="H162" s="319"/>
      <c r="I162" s="300">
        <f>SUM(I156:I161)</f>
        <v>21100820.774594337</v>
      </c>
      <c r="L162" s="1284"/>
      <c r="M162" s="1284"/>
      <c r="N162" s="1284"/>
      <c r="O162" s="1284"/>
      <c r="P162" s="1284"/>
      <c r="Q162" s="278"/>
    </row>
    <row r="163" spans="1:17">
      <c r="A163" s="384"/>
      <c r="B163" s="313"/>
      <c r="C163" s="388"/>
      <c r="D163" s="300"/>
      <c r="E163" s="302"/>
      <c r="F163" s="302"/>
      <c r="G163" s="314"/>
      <c r="H163" s="302"/>
      <c r="I163" s="300"/>
      <c r="J163" s="302"/>
      <c r="K163" s="319"/>
      <c r="L163" s="1287"/>
      <c r="M163" s="1283"/>
      <c r="N163" s="1283"/>
      <c r="O163" s="1283"/>
      <c r="P163" s="1284"/>
      <c r="Q163" s="278"/>
    </row>
    <row r="164" spans="1:17">
      <c r="A164" s="384"/>
      <c r="B164" s="301" t="s">
        <v>376</v>
      </c>
      <c r="C164" s="319"/>
      <c r="D164" s="319"/>
      <c r="E164" s="319"/>
      <c r="F164" s="319"/>
      <c r="G164" s="319"/>
      <c r="H164" s="319"/>
      <c r="I164" s="1799"/>
      <c r="J164" s="302"/>
      <c r="K164" s="319"/>
      <c r="L164" s="1305"/>
      <c r="M164" s="1283"/>
      <c r="N164" s="1283"/>
      <c r="O164" s="1283"/>
      <c r="P164" s="1284"/>
      <c r="Q164" s="278"/>
    </row>
    <row r="165" spans="1:17">
      <c r="A165" s="384">
        <v>28</v>
      </c>
      <c r="B165" s="707" t="s">
        <v>377</v>
      </c>
      <c r="C165" s="302" t="str">
        <f>+"Appendix A Line "&amp;+'Appendix A'!A217&amp;" "&amp;$L$6&amp;" Column"</f>
        <v>Appendix A Line 146 Projected Column</v>
      </c>
      <c r="D165" s="300">
        <f>IF($L$10=0,'Appendix A'!H217,'Appendix A'!G217)</f>
        <v>62815548.668057457</v>
      </c>
      <c r="E165" s="307"/>
      <c r="F165" s="300" t="s">
        <v>353</v>
      </c>
      <c r="G165" s="306">
        <f>+TP</f>
        <v>0.90918476963106853</v>
      </c>
      <c r="H165" s="307"/>
      <c r="I165" s="300">
        <f>+D165*G165</f>
        <v>57110940.145016991</v>
      </c>
      <c r="J165" s="319"/>
      <c r="K165" s="319"/>
      <c r="L165" s="1290">
        <f>+I165/M165</f>
        <v>0.90918476963106853</v>
      </c>
      <c r="M165" s="1283">
        <f>+D165</f>
        <v>62815548.668057457</v>
      </c>
      <c r="N165" s="1283">
        <f>IF($L$10=0,'Appendix A'!H217,'Appendix A'!G217)</f>
        <v>62815548.668057457</v>
      </c>
      <c r="O165" s="1283">
        <f>+M165-N165</f>
        <v>0</v>
      </c>
      <c r="P165" s="1284"/>
      <c r="Q165" s="278"/>
    </row>
    <row r="166" spans="1:17">
      <c r="A166" s="384"/>
      <c r="B166" s="301"/>
      <c r="C166" s="313"/>
      <c r="D166" s="363"/>
      <c r="E166" s="307"/>
      <c r="F166" s="307"/>
      <c r="G166" s="389"/>
      <c r="H166" s="307"/>
      <c r="I166" s="363"/>
      <c r="J166" s="302"/>
      <c r="K166" s="319"/>
      <c r="L166" s="1288"/>
      <c r="M166" s="1283"/>
      <c r="N166" s="1283"/>
      <c r="O166" s="1283"/>
      <c r="P166" s="1284"/>
      <c r="Q166" s="278"/>
    </row>
    <row r="167" spans="1:17" ht="13.8" thickBot="1">
      <c r="A167" s="384">
        <f>A165+1</f>
        <v>29</v>
      </c>
      <c r="B167" s="301" t="s">
        <v>378</v>
      </c>
      <c r="C167" s="302" t="str">
        <f>+"(Line "&amp;A137&amp;" + Line "&amp;A143&amp;" + Line "&amp;A153&amp;" + Line "&amp;A162&amp;" + Line "&amp;A165&amp;")"</f>
        <v>(Line 8 + Line 12 + Line 20 + Line 27 + Line 28)</v>
      </c>
      <c r="D167" s="390">
        <f>+D137+D143+D153+D162+D165</f>
        <v>200903209.49227482</v>
      </c>
      <c r="E167" s="307"/>
      <c r="F167" s="307"/>
      <c r="G167" s="373"/>
      <c r="H167" s="307"/>
      <c r="I167" s="390">
        <f>+I137+I143+I153+I162+I165</f>
        <v>134130665.59002203</v>
      </c>
      <c r="J167" s="292"/>
      <c r="K167" s="319"/>
      <c r="L167" s="1297"/>
      <c r="M167" s="1306">
        <f>+M137+M143+M153+M156+M165</f>
        <v>147528500.33382094</v>
      </c>
      <c r="N167" s="1283">
        <f>IF($L$10=0,'Appendix A'!H257,'Appendix A'!G257)</f>
        <v>147528500.33382097</v>
      </c>
      <c r="O167" s="1283">
        <f>+M167-N167</f>
        <v>0</v>
      </c>
      <c r="P167" s="1284"/>
      <c r="Q167" s="278"/>
    </row>
    <row r="168" spans="1:17" ht="13.8" thickTop="1">
      <c r="A168" s="384"/>
      <c r="B168" s="301"/>
      <c r="C168" s="302"/>
      <c r="D168" s="373"/>
      <c r="E168" s="307"/>
      <c r="F168" s="307"/>
      <c r="G168" s="373"/>
      <c r="H168" s="307"/>
      <c r="I168" s="363"/>
      <c r="J168" s="292"/>
      <c r="K168" s="319"/>
      <c r="L168" s="1297"/>
      <c r="M168" s="1283"/>
      <c r="N168" s="1283"/>
      <c r="O168" s="1283"/>
      <c r="P168" s="1284"/>
      <c r="Q168" s="278"/>
    </row>
    <row r="169" spans="1:17" s="704" customFormat="1">
      <c r="A169" s="828">
        <f>+A167+1</f>
        <v>30</v>
      </c>
      <c r="B169" s="698" t="s">
        <v>749</v>
      </c>
      <c r="C169" s="830"/>
      <c r="D169" s="696"/>
      <c r="E169" s="697"/>
      <c r="F169" s="697"/>
      <c r="G169" s="697"/>
      <c r="H169" s="697"/>
      <c r="I169" s="696"/>
      <c r="J169" s="702"/>
      <c r="K169" s="702"/>
      <c r="L169" s="1307"/>
      <c r="M169" s="1302"/>
      <c r="N169" s="1302"/>
      <c r="O169" s="1302"/>
      <c r="P169" s="1308"/>
    </row>
    <row r="170" spans="1:17" s="704" customFormat="1">
      <c r="A170" s="828"/>
      <c r="B170" s="698" t="s">
        <v>750</v>
      </c>
      <c r="C170" s="725" t="str">
        <f>+"Appendix A Line "&amp;+'Appendix A'!A254&amp;" "&amp;$L$6&amp;" Column"</f>
        <v>Appendix A Line 167 Projected Column</v>
      </c>
      <c r="D170" s="697">
        <f>IF($L$10=0,'Appendix A'!H254,'Appendix A'!G254)</f>
        <v>0</v>
      </c>
      <c r="E170" s="697"/>
      <c r="F170" s="697" t="s">
        <v>326</v>
      </c>
      <c r="G170" s="954">
        <v>1</v>
      </c>
      <c r="H170" s="697"/>
      <c r="I170" s="696">
        <f>+D170</f>
        <v>0</v>
      </c>
      <c r="J170" s="702"/>
      <c r="K170" s="955"/>
      <c r="L170" s="1302"/>
      <c r="M170" s="1302"/>
      <c r="N170" s="1302"/>
      <c r="O170" s="1308"/>
      <c r="P170" s="1308"/>
    </row>
    <row r="171" spans="1:17">
      <c r="A171" s="343"/>
      <c r="B171" s="328"/>
      <c r="C171" s="334"/>
      <c r="D171" s="363"/>
      <c r="E171" s="300"/>
      <c r="F171" s="300"/>
      <c r="G171" s="300"/>
      <c r="H171" s="300"/>
      <c r="I171" s="363"/>
      <c r="J171" s="319"/>
      <c r="K171" s="329"/>
      <c r="L171" s="1283"/>
      <c r="M171" s="1283"/>
      <c r="N171" s="1283"/>
      <c r="O171" s="1284"/>
      <c r="P171" s="1284"/>
      <c r="Q171" s="278"/>
    </row>
    <row r="172" spans="1:17">
      <c r="A172" s="829" t="s">
        <v>643</v>
      </c>
      <c r="B172" s="698" t="s">
        <v>748</v>
      </c>
      <c r="C172" s="699"/>
      <c r="D172" s="700"/>
      <c r="E172" s="701"/>
      <c r="F172" s="701"/>
      <c r="G172" s="701"/>
      <c r="H172" s="701"/>
      <c r="I172" s="700"/>
      <c r="J172" s="319"/>
      <c r="K172" s="329"/>
      <c r="L172" s="1283"/>
      <c r="M172" s="1283"/>
      <c r="N172" s="1283"/>
      <c r="O172" s="1284"/>
      <c r="P172" s="1284"/>
      <c r="Q172" s="278"/>
    </row>
    <row r="173" spans="1:17" s="704" customFormat="1" ht="13.8" thickBot="1">
      <c r="A173" s="828"/>
      <c r="B173" s="698" t="s">
        <v>751</v>
      </c>
      <c r="C173" s="725" t="str">
        <f>+"Appendix A Line "&amp;+'Appendix A'!A255&amp;" "&amp;$L$6&amp;" Column"</f>
        <v>Appendix A Line 168 Projected Column</v>
      </c>
      <c r="D173" s="1108">
        <f>IF($L$10=0,'Appendix A'!H255,'Appendix A'!G255)</f>
        <v>0</v>
      </c>
      <c r="E173" s="697"/>
      <c r="F173" s="697" t="s">
        <v>326</v>
      </c>
      <c r="G173" s="954">
        <v>1</v>
      </c>
      <c r="H173" s="697"/>
      <c r="I173" s="696">
        <f>+D173</f>
        <v>0</v>
      </c>
      <c r="J173" s="702"/>
      <c r="K173" s="955"/>
      <c r="L173" s="1302"/>
      <c r="M173" s="1302"/>
      <c r="N173" s="1302"/>
      <c r="O173" s="1308"/>
      <c r="P173" s="1302"/>
      <c r="Q173" s="703"/>
    </row>
    <row r="174" spans="1:17" ht="13.8" thickBot="1">
      <c r="A174" s="343">
        <f>+A169+1</f>
        <v>31</v>
      </c>
      <c r="B174" s="328" t="s">
        <v>379</v>
      </c>
      <c r="C174" s="328" t="str">
        <f>+"(Line "&amp;A167&amp;" - Line "&amp;A169&amp;" - Line "&amp;A172&amp;")"</f>
        <v>(Line 29 - Line 30 - Line 30a)</v>
      </c>
      <c r="D174" s="391">
        <f>+D167-D170-D173</f>
        <v>200903209.49227482</v>
      </c>
      <c r="E174" s="300"/>
      <c r="F174" s="300"/>
      <c r="G174" s="300"/>
      <c r="H174" s="300"/>
      <c r="I174" s="391">
        <f>+I167-I170-I173</f>
        <v>134130665.59002203</v>
      </c>
      <c r="J174" s="319"/>
      <c r="K174" s="329"/>
      <c r="L174" s="1283">
        <f>+'Appendix A'!H265</f>
        <v>134130665.59002204</v>
      </c>
      <c r="M174" s="1283">
        <f>+L174-I174</f>
        <v>0</v>
      </c>
      <c r="N174" s="1283"/>
      <c r="O174" s="1283"/>
      <c r="P174" s="1283"/>
    </row>
    <row r="175" spans="1:17" ht="13.8" thickTop="1">
      <c r="L175" s="1283"/>
      <c r="M175" s="1283"/>
      <c r="N175" s="1283"/>
      <c r="O175" s="1284"/>
      <c r="P175" s="1283"/>
    </row>
    <row r="176" spans="1:17">
      <c r="A176" s="384"/>
      <c r="B176" s="301"/>
      <c r="C176" s="302"/>
      <c r="D176" s="373"/>
      <c r="E176" s="307"/>
      <c r="F176" s="307"/>
      <c r="G176" s="373"/>
      <c r="H176" s="307"/>
      <c r="I176" s="363"/>
      <c r="J176" s="292"/>
      <c r="K176" s="292"/>
      <c r="L176" s="1283"/>
      <c r="M176" s="1283"/>
      <c r="N176" s="1283"/>
      <c r="O176" s="1284"/>
      <c r="P176" s="1283"/>
    </row>
    <row r="177" spans="1:19">
      <c r="A177" s="384"/>
      <c r="B177" s="392"/>
      <c r="C177" s="307"/>
      <c r="D177" s="373"/>
      <c r="E177" s="373"/>
      <c r="F177" s="373"/>
      <c r="G177" s="373"/>
      <c r="H177" s="373"/>
      <c r="I177" s="373"/>
      <c r="J177" s="292"/>
      <c r="K177" s="348" t="str">
        <f>+K1</f>
        <v>Attachment O-ETI</v>
      </c>
      <c r="L177" s="1283"/>
      <c r="M177" s="1283"/>
      <c r="N177" s="1283"/>
      <c r="O177" s="1284"/>
      <c r="P177" s="1283"/>
    </row>
    <row r="178" spans="1:19">
      <c r="A178" s="355"/>
      <c r="B178" s="313"/>
      <c r="C178" s="313"/>
      <c r="D178" s="313"/>
      <c r="E178" s="313"/>
      <c r="F178" s="313"/>
      <c r="G178" s="313"/>
      <c r="H178" s="313"/>
      <c r="I178" s="313"/>
      <c r="J178" s="302"/>
      <c r="K178" s="374" t="s">
        <v>380</v>
      </c>
    </row>
    <row r="179" spans="1:19">
      <c r="A179" s="355"/>
      <c r="B179" s="313"/>
      <c r="C179" s="377" t="str">
        <f>+C$3</f>
        <v>MISO Cover</v>
      </c>
      <c r="D179" s="313"/>
      <c r="E179" s="313"/>
      <c r="F179" s="313"/>
      <c r="G179" s="313"/>
      <c r="H179" s="313"/>
      <c r="I179" s="313"/>
      <c r="J179" s="302"/>
      <c r="K179" s="302"/>
    </row>
    <row r="180" spans="1:19">
      <c r="A180" s="355"/>
      <c r="B180" s="301" t="s">
        <v>312</v>
      </c>
      <c r="C180" s="393" t="s">
        <v>313</v>
      </c>
      <c r="D180" s="319"/>
      <c r="E180" s="313"/>
      <c r="F180" s="313"/>
      <c r="G180" s="313"/>
      <c r="H180" s="313"/>
      <c r="I180" s="376"/>
      <c r="J180" s="302"/>
      <c r="K180" s="394" t="str">
        <f>K4</f>
        <v>For  the 12 Months Ended 12/31/2016</v>
      </c>
    </row>
    <row r="181" spans="1:19">
      <c r="A181" s="355"/>
      <c r="B181" s="301"/>
      <c r="C181" s="393" t="s">
        <v>314</v>
      </c>
      <c r="D181" s="319"/>
      <c r="E181" s="313"/>
      <c r="F181" s="313"/>
      <c r="G181" s="313"/>
      <c r="H181" s="313"/>
      <c r="I181" s="313"/>
      <c r="J181" s="302"/>
      <c r="K181" s="302"/>
    </row>
    <row r="182" spans="1:19">
      <c r="A182" s="355"/>
      <c r="B182" s="313"/>
      <c r="C182" s="393" t="str">
        <f>+C119</f>
        <v>Entergy Texas, Inc.</v>
      </c>
      <c r="D182" s="319"/>
      <c r="E182" s="313"/>
      <c r="F182" s="313"/>
      <c r="G182" s="313"/>
      <c r="H182" s="313"/>
      <c r="I182" s="313"/>
      <c r="J182" s="302"/>
      <c r="K182" s="302"/>
    </row>
    <row r="183" spans="1:19">
      <c r="A183" s="928"/>
      <c r="B183" s="928"/>
      <c r="C183" s="393" t="str">
        <f>+C120</f>
        <v>Projected Rate</v>
      </c>
      <c r="D183" s="928"/>
      <c r="E183" s="928"/>
      <c r="F183" s="928"/>
      <c r="G183" s="928"/>
      <c r="H183" s="928"/>
      <c r="I183" s="928"/>
      <c r="J183" s="928"/>
      <c r="K183" s="928"/>
    </row>
    <row r="184" spans="1:19">
      <c r="A184" s="355"/>
      <c r="B184" s="377" t="s">
        <v>170</v>
      </c>
      <c r="C184" s="377" t="s">
        <v>316</v>
      </c>
      <c r="D184" s="377" t="s">
        <v>317</v>
      </c>
      <c r="E184" s="302" t="s">
        <v>65</v>
      </c>
      <c r="F184" s="302"/>
      <c r="G184" s="378" t="s">
        <v>318</v>
      </c>
      <c r="H184" s="302"/>
      <c r="I184" s="378" t="s">
        <v>319</v>
      </c>
      <c r="J184" s="302"/>
      <c r="K184" s="302"/>
    </row>
    <row r="185" spans="1:19">
      <c r="A185" s="355"/>
      <c r="B185" s="313"/>
      <c r="C185" s="301"/>
      <c r="D185" s="301"/>
      <c r="E185" s="301"/>
      <c r="F185" s="301"/>
      <c r="G185" s="301"/>
      <c r="H185" s="301"/>
      <c r="I185" s="301"/>
      <c r="J185" s="301"/>
      <c r="K185" s="301"/>
    </row>
    <row r="186" spans="1:19">
      <c r="A186" s="1673" t="s">
        <v>381</v>
      </c>
      <c r="B186" s="1673"/>
      <c r="C186" s="1673"/>
      <c r="D186" s="1673"/>
      <c r="E186" s="1673"/>
      <c r="F186" s="1673"/>
      <c r="G186" s="1673"/>
      <c r="H186" s="1673"/>
      <c r="I186" s="1673"/>
      <c r="J186" s="1673"/>
      <c r="K186" s="1673"/>
    </row>
    <row r="187" spans="1:19">
      <c r="A187" s="355" t="s">
        <v>320</v>
      </c>
      <c r="B187" s="395"/>
      <c r="C187" s="292"/>
      <c r="D187" s="292"/>
      <c r="E187" s="292"/>
      <c r="F187" s="292"/>
      <c r="G187" s="292"/>
      <c r="H187" s="292"/>
      <c r="I187" s="292"/>
      <c r="J187" s="302"/>
      <c r="K187" s="302"/>
    </row>
    <row r="188" spans="1:19" ht="13.8" thickBot="1">
      <c r="A188" s="303" t="s">
        <v>322</v>
      </c>
      <c r="B188" s="285" t="s">
        <v>382</v>
      </c>
      <c r="C188" s="292"/>
      <c r="D188" s="292"/>
      <c r="E188" s="292"/>
      <c r="F188" s="292"/>
      <c r="G188" s="292"/>
      <c r="H188" s="313"/>
      <c r="I188" s="313"/>
      <c r="J188" s="302"/>
      <c r="K188" s="302"/>
    </row>
    <row r="189" spans="1:19">
      <c r="A189" s="355">
        <v>1</v>
      </c>
      <c r="B189" s="705" t="s">
        <v>383</v>
      </c>
      <c r="C189" s="302" t="str">
        <f>+"Appendix A Line "&amp;+'Appendix A'!A260&amp;" "&amp;$L$6&amp;" Column"</f>
        <v>Appendix A Line 170 Projected Column</v>
      </c>
      <c r="D189" s="302"/>
      <c r="E189" s="302"/>
      <c r="F189" s="302"/>
      <c r="G189" s="302"/>
      <c r="H189" s="302"/>
      <c r="I189" s="300">
        <f>IF($L$10=0,'Appendix A'!H260,'Appendix A'!G260)</f>
        <v>1283666253.5173357</v>
      </c>
      <c r="J189" s="302"/>
      <c r="K189" s="302"/>
      <c r="N189" s="366"/>
      <c r="O189" s="366"/>
      <c r="P189" s="366"/>
      <c r="Q189" s="366"/>
      <c r="R189" s="366"/>
      <c r="S189" s="366"/>
    </row>
    <row r="190" spans="1:19">
      <c r="A190" s="355">
        <f>+A189+1</f>
        <v>2</v>
      </c>
      <c r="B190" s="705" t="s">
        <v>384</v>
      </c>
      <c r="C190" s="302" t="str">
        <f>+"Appendix A Line "&amp;+'Appendix A'!A261&amp;" "&amp;$L$6&amp;" Column"</f>
        <v>Appendix A Line 171 Projected Column</v>
      </c>
      <c r="D190" s="313"/>
      <c r="E190" s="313"/>
      <c r="F190" s="313"/>
      <c r="G190" s="313"/>
      <c r="H190" s="313"/>
      <c r="I190" s="300">
        <f>IF($L$10=0,'Appendix A'!H261,'Appendix A'!G261)</f>
        <v>116576446.53</v>
      </c>
      <c r="J190" s="302"/>
      <c r="K190" s="302"/>
      <c r="N190" s="366"/>
      <c r="O190" s="366"/>
      <c r="P190" s="366"/>
      <c r="Q190" s="366"/>
      <c r="R190" s="366"/>
      <c r="S190" s="366"/>
    </row>
    <row r="191" spans="1:19" ht="13.8" thickBot="1">
      <c r="A191" s="355">
        <f t="shared" ref="A191:A215" si="5">+A190+1</f>
        <v>3</v>
      </c>
      <c r="B191" s="706" t="s">
        <v>831</v>
      </c>
      <c r="C191" s="396"/>
      <c r="D191" s="376"/>
      <c r="E191" s="302"/>
      <c r="F191" s="302"/>
      <c r="G191" s="375"/>
      <c r="H191" s="302"/>
      <c r="I191" s="358"/>
      <c r="J191" s="302"/>
      <c r="K191" s="302"/>
      <c r="N191" s="366"/>
      <c r="O191" s="366"/>
      <c r="P191" s="366"/>
      <c r="Q191" s="366"/>
      <c r="R191" s="366"/>
      <c r="S191" s="366"/>
    </row>
    <row r="192" spans="1:19">
      <c r="A192" s="355">
        <f t="shared" si="5"/>
        <v>4</v>
      </c>
      <c r="B192" s="705" t="s">
        <v>385</v>
      </c>
      <c r="C192" s="292" t="str">
        <f>+"(Line "&amp;A189&amp;" - Line "&amp;A190&amp;" - Line "&amp;A191&amp;")"</f>
        <v>(Line 1 - Line 2 - Line 3)</v>
      </c>
      <c r="D192" s="302"/>
      <c r="E192" s="302"/>
      <c r="F192" s="302"/>
      <c r="G192" s="375"/>
      <c r="H192" s="302"/>
      <c r="I192" s="300">
        <f>I189-I190-I191</f>
        <v>1167089806.9873357</v>
      </c>
      <c r="J192" s="302"/>
      <c r="K192" s="302"/>
      <c r="N192" s="366"/>
      <c r="O192" s="366"/>
      <c r="P192" s="366"/>
      <c r="Q192" s="366"/>
      <c r="R192" s="366"/>
      <c r="S192" s="366"/>
    </row>
    <row r="193" spans="1:19">
      <c r="A193" s="355"/>
      <c r="B193" s="313"/>
      <c r="C193" s="292"/>
      <c r="D193" s="302"/>
      <c r="E193" s="302"/>
      <c r="F193" s="302"/>
      <c r="G193" s="375"/>
      <c r="H193" s="302"/>
      <c r="I193" s="300"/>
      <c r="J193" s="302"/>
      <c r="K193" s="302"/>
      <c r="N193" s="366"/>
      <c r="O193" s="366"/>
      <c r="P193" s="366"/>
      <c r="Q193" s="366"/>
      <c r="R193" s="366"/>
      <c r="S193" s="366"/>
    </row>
    <row r="194" spans="1:19">
      <c r="A194" s="355">
        <f>+A192+1</f>
        <v>5</v>
      </c>
      <c r="B194" s="705" t="s">
        <v>386</v>
      </c>
      <c r="C194" s="292" t="str">
        <f>+"(Line "&amp;A192&amp;" / Line "&amp;A189&amp;")"</f>
        <v>(Line 4 / Line 1)</v>
      </c>
      <c r="D194" s="397"/>
      <c r="E194" s="397"/>
      <c r="F194" s="397"/>
      <c r="G194" s="1109" t="s">
        <v>823</v>
      </c>
      <c r="H194" s="302" t="s">
        <v>387</v>
      </c>
      <c r="I194" s="369">
        <f>IF(I189&gt;0,I192/I189,0)</f>
        <v>0.90918476963106853</v>
      </c>
      <c r="J194" s="302"/>
      <c r="K194" s="302"/>
      <c r="N194" s="366"/>
      <c r="O194" s="366"/>
      <c r="P194" s="366"/>
      <c r="Q194" s="366"/>
      <c r="R194" s="366"/>
      <c r="S194" s="366"/>
    </row>
    <row r="195" spans="1:19">
      <c r="A195" s="355"/>
      <c r="B195" s="705"/>
      <c r="C195" s="292"/>
      <c r="D195" s="397"/>
      <c r="E195" s="397"/>
      <c r="F195" s="397"/>
      <c r="G195" s="378"/>
      <c r="H195" s="302"/>
      <c r="I195" s="369"/>
      <c r="J195" s="302"/>
      <c r="K195" s="302"/>
      <c r="N195" s="366"/>
      <c r="O195" s="366"/>
      <c r="P195" s="366"/>
      <c r="Q195" s="366"/>
      <c r="R195" s="366"/>
      <c r="S195" s="366"/>
    </row>
    <row r="196" spans="1:19">
      <c r="A196" s="823" t="s">
        <v>649</v>
      </c>
      <c r="B196" s="301" t="s">
        <v>388</v>
      </c>
      <c r="C196" s="313"/>
      <c r="D196" s="313"/>
      <c r="E196" s="313"/>
      <c r="F196" s="313"/>
      <c r="G196" s="313"/>
      <c r="H196" s="313"/>
      <c r="I196" s="313"/>
      <c r="J196" s="313"/>
      <c r="K196" s="313"/>
      <c r="N196" s="366"/>
      <c r="O196" s="366"/>
      <c r="P196" s="366"/>
      <c r="Q196" s="366"/>
      <c r="R196" s="366"/>
      <c r="S196" s="366"/>
    </row>
    <row r="197" spans="1:19" ht="13.8" thickBot="1">
      <c r="B197" s="319"/>
      <c r="C197" s="398" t="s">
        <v>389</v>
      </c>
      <c r="D197" s="399" t="s">
        <v>390</v>
      </c>
      <c r="E197" s="319"/>
      <c r="F197" s="399" t="s">
        <v>353</v>
      </c>
      <c r="G197" s="399" t="s">
        <v>120</v>
      </c>
      <c r="H197" s="302"/>
      <c r="I197" s="302"/>
      <c r="J197" s="302"/>
      <c r="K197" s="302"/>
      <c r="N197" s="366"/>
      <c r="O197" s="366"/>
      <c r="P197" s="366"/>
      <c r="Q197" s="366"/>
      <c r="R197" s="366"/>
      <c r="S197" s="366"/>
    </row>
    <row r="198" spans="1:19">
      <c r="A198" s="355">
        <v>12</v>
      </c>
      <c r="B198" s="706" t="s">
        <v>595</v>
      </c>
      <c r="C198" s="302" t="str">
        <f>+"Appendix A Line "&amp;+'Appendix A'!A11&amp;" "&amp;$L$6&amp;" Column"</f>
        <v>Appendix A Line 1 Projected Column</v>
      </c>
      <c r="D198" s="300">
        <f>IF($L$10=0,'Appendix A'!H11,'Appendix A'!G11)</f>
        <v>6371311.5300000068</v>
      </c>
      <c r="E198" s="319"/>
      <c r="F198" s="306">
        <f>+TP</f>
        <v>0.90918476963106853</v>
      </c>
      <c r="G198" s="300">
        <f>+D198*F198</f>
        <v>5792699.4056508271</v>
      </c>
      <c r="H198" s="307"/>
      <c r="I198" s="307"/>
      <c r="J198" s="302"/>
      <c r="K198" s="302"/>
      <c r="N198" s="366"/>
      <c r="O198" s="366"/>
      <c r="P198" s="366"/>
      <c r="Q198" s="366"/>
      <c r="R198" s="366"/>
      <c r="S198" s="366"/>
    </row>
    <row r="199" spans="1:19">
      <c r="A199" s="355">
        <f t="shared" si="5"/>
        <v>13</v>
      </c>
      <c r="B199" s="706" t="s">
        <v>596</v>
      </c>
      <c r="C199" s="302" t="str">
        <f>+"Appendix A Line "&amp;+'Appendix A'!A12&amp;" "&amp;$L$6&amp;" Column"</f>
        <v>Appendix A Line 2 Projected Column</v>
      </c>
      <c r="D199" s="300">
        <f>IF($L$10=0,'Appendix A'!H12,'Appendix A'!G12)</f>
        <v>213048.08000000002</v>
      </c>
      <c r="E199" s="319"/>
      <c r="F199" s="306">
        <f>+TP</f>
        <v>0.90918476963106853</v>
      </c>
      <c r="G199" s="300">
        <f>+D199*F199</f>
        <v>193700.06953514146</v>
      </c>
      <c r="H199" s="307"/>
      <c r="I199" s="307"/>
      <c r="J199" s="302"/>
      <c r="K199" s="302"/>
      <c r="L199" s="279">
        <f>+D199/D202</f>
        <v>4.9194722835424346E-3</v>
      </c>
      <c r="N199" s="366"/>
      <c r="O199" s="366"/>
      <c r="P199" s="366"/>
      <c r="Q199" s="366"/>
      <c r="R199" s="366"/>
      <c r="S199" s="366"/>
    </row>
    <row r="200" spans="1:19">
      <c r="A200" s="355">
        <f t="shared" si="5"/>
        <v>14</v>
      </c>
      <c r="B200" s="706" t="s">
        <v>831</v>
      </c>
      <c r="C200" s="302"/>
      <c r="D200" s="300"/>
      <c r="E200" s="319"/>
      <c r="F200" s="400"/>
      <c r="G200" s="300"/>
      <c r="H200" s="307"/>
      <c r="I200" s="401" t="s">
        <v>391</v>
      </c>
      <c r="J200" s="302"/>
      <c r="K200" s="302"/>
      <c r="L200" s="279">
        <f>+I194</f>
        <v>0.90918476963106853</v>
      </c>
      <c r="N200" s="366"/>
      <c r="O200" s="366"/>
      <c r="P200" s="366"/>
      <c r="Q200" s="366"/>
      <c r="R200" s="366"/>
      <c r="S200" s="366"/>
    </row>
    <row r="201" spans="1:19" ht="13.8" thickBot="1">
      <c r="A201" s="355">
        <f t="shared" si="5"/>
        <v>15</v>
      </c>
      <c r="B201" s="706" t="s">
        <v>831</v>
      </c>
      <c r="C201" s="302"/>
      <c r="D201" s="358"/>
      <c r="E201" s="319"/>
      <c r="F201" s="400"/>
      <c r="G201" s="358"/>
      <c r="H201" s="307"/>
      <c r="I201" s="402" t="s">
        <v>392</v>
      </c>
      <c r="J201" s="302"/>
      <c r="K201" s="302"/>
      <c r="L201" s="279">
        <f>+L199*L200</f>
        <v>4.472709274818955E-3</v>
      </c>
      <c r="N201" s="366"/>
      <c r="O201" s="366"/>
      <c r="P201" s="366"/>
      <c r="Q201" s="366"/>
      <c r="R201" s="366"/>
      <c r="S201" s="366"/>
    </row>
    <row r="202" spans="1:19">
      <c r="A202" s="355">
        <f t="shared" si="5"/>
        <v>16</v>
      </c>
      <c r="B202" s="706" t="s">
        <v>501</v>
      </c>
      <c r="C202" s="302" t="str">
        <f>+"Appendix A Line "&amp;+'Appendix A'!A23&amp;" "&amp;$L$6&amp;" Column"</f>
        <v>Appendix A Line 10 Projected Column</v>
      </c>
      <c r="D202" s="300">
        <f>IF($L$10=0,'Appendix A'!H23,'Appendix A'!G23)</f>
        <v>43307100.379999995</v>
      </c>
      <c r="E202" s="302"/>
      <c r="F202" s="302"/>
      <c r="G202" s="300">
        <f>SUM(G198:G201)</f>
        <v>5986399.4751859689</v>
      </c>
      <c r="H202" s="403" t="s">
        <v>393</v>
      </c>
      <c r="I202" s="404">
        <f>IF(G202&gt;0,G202/D202,0)</f>
        <v>0.13823136212441037</v>
      </c>
      <c r="J202" s="375" t="s">
        <v>393</v>
      </c>
      <c r="K202" s="302" t="s">
        <v>394</v>
      </c>
      <c r="N202" s="366"/>
      <c r="O202" s="366"/>
      <c r="P202" s="366"/>
      <c r="Q202" s="366"/>
      <c r="R202" s="366"/>
      <c r="S202" s="366"/>
    </row>
    <row r="203" spans="1:19">
      <c r="A203" s="355"/>
      <c r="B203" s="301" t="s">
        <v>65</v>
      </c>
      <c r="C203" s="302" t="s">
        <v>65</v>
      </c>
      <c r="D203" s="313"/>
      <c r="E203" s="302"/>
      <c r="F203" s="302"/>
      <c r="G203" s="313"/>
      <c r="H203" s="313"/>
      <c r="I203" s="313"/>
      <c r="J203" s="313"/>
      <c r="K203" s="302"/>
      <c r="N203" s="366"/>
      <c r="O203" s="366"/>
      <c r="P203" s="366"/>
      <c r="Q203" s="366"/>
      <c r="R203" s="366"/>
      <c r="S203" s="366"/>
    </row>
    <row r="204" spans="1:19">
      <c r="A204" s="355"/>
      <c r="B204" s="301" t="s">
        <v>831</v>
      </c>
      <c r="C204" s="319"/>
      <c r="D204" s="379" t="s">
        <v>390</v>
      </c>
      <c r="E204" s="302"/>
      <c r="F204" s="302"/>
      <c r="G204" s="374"/>
      <c r="H204" s="387"/>
      <c r="I204" s="368"/>
      <c r="J204" s="302"/>
      <c r="K204" s="302"/>
      <c r="M204" s="278"/>
      <c r="N204" s="366"/>
      <c r="O204" s="366"/>
      <c r="P204" s="366"/>
      <c r="Q204" s="366"/>
      <c r="R204" s="366"/>
      <c r="S204" s="366"/>
    </row>
    <row r="205" spans="1:19">
      <c r="A205" s="355">
        <f>+A202+1</f>
        <v>17</v>
      </c>
      <c r="B205" s="706" t="s">
        <v>831</v>
      </c>
      <c r="C205" s="302"/>
      <c r="D205" s="300">
        <v>0</v>
      </c>
      <c r="E205" s="302"/>
      <c r="F205" s="313"/>
      <c r="G205" s="825"/>
      <c r="H205" s="405"/>
      <c r="I205" s="355"/>
      <c r="J205" s="302"/>
      <c r="K205" s="406"/>
      <c r="M205" s="278"/>
      <c r="N205" s="278"/>
      <c r="P205" s="278"/>
      <c r="Q205" s="278"/>
    </row>
    <row r="206" spans="1:19">
      <c r="A206" s="355">
        <f t="shared" si="5"/>
        <v>18</v>
      </c>
      <c r="B206" s="706" t="s">
        <v>831</v>
      </c>
      <c r="C206" s="302"/>
      <c r="D206" s="300">
        <v>0</v>
      </c>
      <c r="E206" s="302"/>
      <c r="F206" s="313"/>
      <c r="G206" s="404"/>
      <c r="H206" s="407" t="s">
        <v>263</v>
      </c>
      <c r="I206" s="404"/>
      <c r="J206" s="407"/>
      <c r="K206" s="404"/>
      <c r="L206" s="278"/>
      <c r="M206" s="278"/>
      <c r="N206" s="278"/>
      <c r="P206" s="278"/>
      <c r="Q206" s="278"/>
    </row>
    <row r="207" spans="1:19" ht="13.8" thickBot="1">
      <c r="A207" s="355">
        <f t="shared" si="5"/>
        <v>19</v>
      </c>
      <c r="B207" s="710" t="s">
        <v>831</v>
      </c>
      <c r="C207" s="398"/>
      <c r="D207" s="358">
        <v>0</v>
      </c>
      <c r="E207" s="302"/>
      <c r="F207" s="302"/>
      <c r="G207" s="302" t="s">
        <v>65</v>
      </c>
      <c r="H207" s="302"/>
      <c r="I207" s="302"/>
      <c r="J207" s="302"/>
      <c r="K207" s="302"/>
      <c r="L207" s="278"/>
      <c r="M207" s="278"/>
      <c r="N207" s="278"/>
      <c r="P207" s="278"/>
      <c r="Q207" s="278"/>
    </row>
    <row r="208" spans="1:19">
      <c r="A208" s="355">
        <f t="shared" si="5"/>
        <v>20</v>
      </c>
      <c r="B208" s="301" t="s">
        <v>113</v>
      </c>
      <c r="C208" s="313" t="str">
        <f>+"(Sum of Line "&amp;A205&amp;" to Line "&amp;A207&amp;")"</f>
        <v>(Sum of Line 17 to Line 19)</v>
      </c>
      <c r="D208" s="300">
        <f>D205+D206+D207</f>
        <v>0</v>
      </c>
      <c r="E208" s="302"/>
      <c r="F208" s="302"/>
      <c r="G208" s="302"/>
      <c r="H208" s="302"/>
      <c r="I208" s="302"/>
      <c r="J208" s="302"/>
      <c r="K208" s="302"/>
      <c r="L208" s="278"/>
      <c r="M208" s="278"/>
      <c r="N208" s="278"/>
      <c r="P208" s="278"/>
      <c r="Q208" s="278"/>
    </row>
    <row r="209" spans="1:17">
      <c r="A209" s="355"/>
      <c r="B209" s="301"/>
      <c r="C209" s="302"/>
      <c r="D209" s="313"/>
      <c r="E209" s="302"/>
      <c r="F209" s="302"/>
      <c r="G209" s="302"/>
      <c r="H209" s="302"/>
      <c r="I209" s="302"/>
      <c r="J209" s="302"/>
      <c r="K209" s="302"/>
      <c r="L209" s="278"/>
      <c r="M209" s="278"/>
      <c r="N209" s="278"/>
      <c r="P209" s="278"/>
      <c r="Q209" s="278"/>
    </row>
    <row r="210" spans="1:17">
      <c r="A210" s="824" t="s">
        <v>650</v>
      </c>
      <c r="B210" s="285" t="s">
        <v>395</v>
      </c>
      <c r="C210" s="302"/>
      <c r="D210" s="302"/>
      <c r="E210" s="302"/>
      <c r="F210" s="302"/>
      <c r="G210" s="375" t="s">
        <v>396</v>
      </c>
      <c r="H210" s="302"/>
      <c r="I210" s="302"/>
      <c r="J210" s="302"/>
      <c r="K210" s="302"/>
      <c r="L210" s="278"/>
      <c r="M210" s="278"/>
      <c r="N210" s="278"/>
      <c r="P210" s="278"/>
      <c r="Q210" s="278"/>
    </row>
    <row r="211" spans="1:17" ht="13.8" thickBot="1">
      <c r="A211" s="355"/>
      <c r="B211" s="301"/>
      <c r="C211" s="302"/>
      <c r="D211" s="303" t="s">
        <v>390</v>
      </c>
      <c r="E211" s="319"/>
      <c r="F211" s="303" t="s">
        <v>397</v>
      </c>
      <c r="G211" s="393"/>
      <c r="H211" s="302"/>
      <c r="I211" s="303" t="s">
        <v>398</v>
      </c>
      <c r="J211" s="302"/>
      <c r="K211" s="302"/>
      <c r="L211" s="278"/>
      <c r="M211" s="278"/>
      <c r="N211" s="278"/>
      <c r="P211" s="278"/>
      <c r="Q211" s="278"/>
    </row>
    <row r="212" spans="1:17">
      <c r="A212" s="355">
        <v>27</v>
      </c>
      <c r="B212" s="705" t="s">
        <v>602</v>
      </c>
      <c r="C212" s="302" t="str">
        <f>+"Appendix A Line "&amp;+'Appendix A'!A197&amp;" "&amp;$L$6&amp;" Column"</f>
        <v>Appendix A Line 130 Projected Column</v>
      </c>
      <c r="D212" s="300">
        <f>IF($L$10=0,'Appendix A'!H197,'Appendix A'!G197)</f>
        <v>1089312642.47</v>
      </c>
      <c r="E212" s="319"/>
      <c r="F212" s="1272">
        <f>IF(D$215=0,0,+D212/D$215)</f>
        <v>0.49859073025210049</v>
      </c>
      <c r="G212" s="386">
        <f>IF($L$10=0,'Appendix A'!H208,'Appendix A'!G208)</f>
        <v>5.9697178949614196E-2</v>
      </c>
      <c r="H212" s="308"/>
      <c r="I212" s="408">
        <f>F212*G212</f>
        <v>2.9764460046478463E-2</v>
      </c>
      <c r="J212" s="407" t="s">
        <v>393</v>
      </c>
      <c r="K212" s="409" t="s">
        <v>399</v>
      </c>
      <c r="L212" s="278"/>
      <c r="M212" s="278"/>
      <c r="N212" s="278"/>
      <c r="P212" s="278"/>
      <c r="Q212" s="278"/>
    </row>
    <row r="213" spans="1:17">
      <c r="A213" s="355">
        <f t="shared" si="5"/>
        <v>28</v>
      </c>
      <c r="B213" s="705" t="s">
        <v>603</v>
      </c>
      <c r="C213" s="302" t="str">
        <f>+"Appendix A Line "&amp;+'Appendix A'!A200&amp;" "&amp;$L$6&amp;" Column"</f>
        <v>Appendix A Line 133 Projected Column</v>
      </c>
      <c r="D213" s="300">
        <f>IF($L$10=0,'Appendix A'!H200,'Appendix A'!G200)</f>
        <v>0</v>
      </c>
      <c r="E213" s="319"/>
      <c r="F213" s="1272">
        <f>IF(D$215=0,0,+D213/D$215)</f>
        <v>0</v>
      </c>
      <c r="G213" s="386">
        <f>IF($L$10=0,'Appendix A'!H209,'Appendix A'!G209)</f>
        <v>0</v>
      </c>
      <c r="H213" s="308"/>
      <c r="I213" s="408">
        <f>F213*G213</f>
        <v>0</v>
      </c>
      <c r="J213" s="302"/>
      <c r="K213" s="313"/>
      <c r="L213" s="278" t="s">
        <v>1449</v>
      </c>
      <c r="M213" s="278"/>
      <c r="N213" s="278"/>
      <c r="P213" s="278"/>
      <c r="Q213" s="278"/>
    </row>
    <row r="214" spans="1:17" ht="13.8" thickBot="1">
      <c r="A214" s="355">
        <f t="shared" si="5"/>
        <v>29</v>
      </c>
      <c r="B214" s="705" t="s">
        <v>53</v>
      </c>
      <c r="C214" s="302" t="str">
        <f>+"Appendix A Line "&amp;+'Appendix A'!A202&amp;" "&amp;$L$6&amp;" Column"</f>
        <v>Appendix A Line 135 Projected Column</v>
      </c>
      <c r="D214" s="358">
        <f>IF($L$10=0,'Appendix A'!H202,'Appendix A'!G202)</f>
        <v>1095470540.1600001</v>
      </c>
      <c r="E214" s="319"/>
      <c r="F214" s="1272">
        <f>IF(D$215=0,0,+D214/D$215)</f>
        <v>0.50140926974789946</v>
      </c>
      <c r="G214" s="386">
        <f>IF($L$10=0,'Appendix A'!H210,'Appendix A'!G210)</f>
        <v>0.1082</v>
      </c>
      <c r="H214" s="313"/>
      <c r="I214" s="410">
        <f>F214*G214</f>
        <v>5.4252482986722722E-2</v>
      </c>
      <c r="J214" s="302"/>
      <c r="K214" s="313"/>
      <c r="L214" s="278"/>
      <c r="M214" s="278"/>
      <c r="N214" s="278"/>
      <c r="P214" s="278"/>
      <c r="Q214" s="278"/>
    </row>
    <row r="215" spans="1:17">
      <c r="A215" s="355">
        <f t="shared" si="5"/>
        <v>30</v>
      </c>
      <c r="B215" s="301" t="s">
        <v>8</v>
      </c>
      <c r="C215" s="313" t="str">
        <f>+"(Sum of Lines "&amp;A212&amp;" to "&amp;A214&amp;")"</f>
        <v>(Sum of Lines 27 to 29)</v>
      </c>
      <c r="D215" s="411">
        <f>SUM(D212:D214)</f>
        <v>2184783182.6300001</v>
      </c>
      <c r="E215" s="308" t="s">
        <v>65</v>
      </c>
      <c r="F215" s="308"/>
      <c r="G215" s="302"/>
      <c r="H215" s="302"/>
      <c r="I215" s="408">
        <f>SUM(I212:I214)</f>
        <v>8.4016943033201189E-2</v>
      </c>
      <c r="J215" s="407" t="s">
        <v>393</v>
      </c>
      <c r="K215" s="313" t="s">
        <v>222</v>
      </c>
      <c r="L215" s="278"/>
      <c r="M215" s="278"/>
      <c r="N215" s="278"/>
      <c r="P215" s="278"/>
      <c r="Q215" s="278"/>
    </row>
    <row r="216" spans="1:17">
      <c r="A216" s="355"/>
      <c r="B216" s="313"/>
      <c r="C216" s="313"/>
      <c r="D216" s="313"/>
      <c r="E216" s="302"/>
      <c r="F216" s="302"/>
      <c r="G216" s="302"/>
      <c r="H216" s="302"/>
      <c r="I216" s="313"/>
      <c r="J216" s="313"/>
      <c r="K216" s="313"/>
      <c r="L216" s="278"/>
      <c r="M216" s="278"/>
      <c r="N216" s="278"/>
      <c r="P216" s="278"/>
      <c r="Q216" s="278"/>
    </row>
    <row r="217" spans="1:17">
      <c r="A217" s="355"/>
      <c r="B217" s="285" t="s">
        <v>400</v>
      </c>
      <c r="C217" s="286"/>
      <c r="D217" s="286"/>
      <c r="E217" s="286"/>
      <c r="F217" s="286"/>
      <c r="G217" s="286"/>
      <c r="H217" s="286"/>
      <c r="I217" s="286"/>
      <c r="J217" s="286"/>
      <c r="K217" s="286"/>
      <c r="L217" s="278"/>
      <c r="M217" s="278"/>
      <c r="N217" s="278"/>
      <c r="P217" s="278"/>
      <c r="Q217" s="278"/>
    </row>
    <row r="218" spans="1:17">
      <c r="A218" s="355"/>
      <c r="B218" s="285"/>
      <c r="C218" s="285"/>
      <c r="D218" s="285"/>
      <c r="E218" s="285"/>
      <c r="F218" s="285"/>
      <c r="G218" s="285"/>
      <c r="H218" s="285"/>
      <c r="I218" s="412"/>
      <c r="J218" s="323"/>
      <c r="K218" s="313"/>
      <c r="L218" s="278"/>
      <c r="M218" s="278"/>
      <c r="N218" s="278"/>
      <c r="P218" s="278"/>
      <c r="Q218" s="278"/>
    </row>
    <row r="219" spans="1:17">
      <c r="A219" s="355"/>
      <c r="B219" s="285" t="s">
        <v>401</v>
      </c>
      <c r="C219" s="286"/>
      <c r="D219" s="286"/>
      <c r="E219" s="286"/>
      <c r="F219" s="286"/>
      <c r="G219" s="286" t="s">
        <v>65</v>
      </c>
      <c r="H219" s="313"/>
      <c r="I219" s="412"/>
      <c r="J219" s="412"/>
      <c r="K219" s="313"/>
      <c r="L219" s="278"/>
      <c r="M219" s="278"/>
      <c r="N219" s="278"/>
      <c r="P219" s="278"/>
      <c r="Q219" s="278"/>
    </row>
    <row r="220" spans="1:17">
      <c r="A220" s="355">
        <f>+A215+1</f>
        <v>31</v>
      </c>
      <c r="B220" s="706" t="s">
        <v>831</v>
      </c>
      <c r="C220" s="286"/>
      <c r="D220" s="286"/>
      <c r="E220" s="313"/>
      <c r="F220" s="286"/>
      <c r="G220" s="313"/>
      <c r="H220" s="313"/>
      <c r="I220" s="413"/>
      <c r="J220" s="414"/>
      <c r="K220" s="313"/>
      <c r="L220" s="278"/>
      <c r="M220" s="278"/>
      <c r="N220" s="278"/>
      <c r="P220" s="278"/>
      <c r="Q220" s="278"/>
    </row>
    <row r="221" spans="1:17" ht="13.8" thickBot="1">
      <c r="A221" s="355">
        <f>+A220+1</f>
        <v>32</v>
      </c>
      <c r="B221" s="710" t="s">
        <v>831</v>
      </c>
      <c r="C221" s="398"/>
      <c r="D221" s="947"/>
      <c r="E221" s="948"/>
      <c r="F221" s="948"/>
      <c r="G221" s="948"/>
      <c r="H221" s="286"/>
      <c r="I221" s="415"/>
      <c r="J221" s="416"/>
      <c r="K221" s="313"/>
      <c r="N221" s="278"/>
      <c r="P221" s="278"/>
      <c r="Q221" s="278"/>
    </row>
    <row r="222" spans="1:17">
      <c r="A222" s="355">
        <f>+A221+1</f>
        <v>33</v>
      </c>
      <c r="B222" s="325" t="s">
        <v>113</v>
      </c>
      <c r="C222" s="313" t="str">
        <f>+"(Sum of Line "&amp;A220&amp;" + Line "&amp;A221&amp;")"</f>
        <v>(Sum of Line 31 + Line 32)</v>
      </c>
      <c r="D222" s="313"/>
      <c r="E222" s="286"/>
      <c r="F222" s="286"/>
      <c r="G222" s="286"/>
      <c r="H222" s="286"/>
      <c r="I222" s="1110">
        <f>I220+I221</f>
        <v>0</v>
      </c>
      <c r="J222" s="414"/>
      <c r="K222" s="313"/>
      <c r="N222" s="278"/>
      <c r="P222" s="278"/>
      <c r="Q222" s="278"/>
    </row>
    <row r="223" spans="1:17">
      <c r="A223" s="355"/>
      <c r="B223" s="325"/>
      <c r="C223" s="292"/>
      <c r="D223" s="313"/>
      <c r="E223" s="286"/>
      <c r="F223" s="286"/>
      <c r="G223" s="286"/>
      <c r="H223" s="286"/>
      <c r="I223" s="417"/>
      <c r="J223" s="412"/>
      <c r="K223" s="313"/>
      <c r="N223" s="278"/>
      <c r="P223" s="278"/>
      <c r="Q223" s="278"/>
    </row>
    <row r="224" spans="1:17">
      <c r="A224" s="355">
        <f>+A222+1</f>
        <v>34</v>
      </c>
      <c r="B224" s="930" t="s">
        <v>735</v>
      </c>
      <c r="C224" s="292" t="str">
        <f>+"Appendix A Line "&amp;+'Appendix A'!A273&amp;" "&amp;$L$6&amp;" Column"</f>
        <v>Appendix A Line 180 Projected Column</v>
      </c>
      <c r="D224" s="319"/>
      <c r="E224" s="286"/>
      <c r="F224" s="286"/>
      <c r="G224" s="418"/>
      <c r="H224" s="286"/>
      <c r="I224" s="300">
        <f>IF($L$10=0,'Appendix A'!H273,'Appendix A'!G273)</f>
        <v>42466.716332555901</v>
      </c>
      <c r="J224" s="412"/>
      <c r="K224" s="419"/>
      <c r="N224" s="278"/>
      <c r="P224" s="278"/>
      <c r="Q224" s="278"/>
    </row>
    <row r="225" spans="1:17">
      <c r="A225" s="355"/>
      <c r="B225" s="930"/>
      <c r="C225" s="292"/>
      <c r="D225" s="319"/>
      <c r="E225" s="286"/>
      <c r="F225" s="286"/>
      <c r="G225" s="418"/>
      <c r="H225" s="286"/>
      <c r="I225" s="300"/>
      <c r="J225" s="412"/>
      <c r="K225" s="419"/>
      <c r="N225" s="278"/>
      <c r="P225" s="278"/>
      <c r="Q225" s="278"/>
    </row>
    <row r="226" spans="1:17">
      <c r="A226" s="355"/>
      <c r="B226" s="930" t="s">
        <v>770</v>
      </c>
      <c r="C226" s="286"/>
      <c r="D226" s="286"/>
      <c r="E226" s="286"/>
      <c r="F226" s="286"/>
      <c r="G226" s="286"/>
      <c r="H226" s="286"/>
      <c r="I226" s="417"/>
      <c r="J226" s="412"/>
      <c r="K226" s="419"/>
      <c r="N226" s="278"/>
      <c r="P226" s="278"/>
      <c r="Q226" s="278"/>
    </row>
    <row r="227" spans="1:17">
      <c r="A227" s="355">
        <f>+A224+1</f>
        <v>35</v>
      </c>
      <c r="B227" s="705" t="s">
        <v>793</v>
      </c>
      <c r="C227" s="302" t="str">
        <f>+"Appendix A Line "&amp;+'Appendix A'!A282&amp;" "&amp;$L$6&amp;" Column"</f>
        <v>Appendix A Line 187 Projected Column</v>
      </c>
      <c r="D227" s="319"/>
      <c r="E227" s="302"/>
      <c r="F227" s="302"/>
      <c r="G227" s="302"/>
      <c r="H227" s="302"/>
      <c r="I227" s="300">
        <f>IF($L$10=0,'Appendix A'!H282,'Appendix A'!G282)</f>
        <v>21329131.046691559</v>
      </c>
      <c r="J227" s="421"/>
      <c r="K227" s="420"/>
      <c r="N227" s="278"/>
      <c r="P227" s="278"/>
      <c r="Q227" s="278"/>
    </row>
    <row r="228" spans="1:17">
      <c r="A228" s="355">
        <f>+A227+1</f>
        <v>36</v>
      </c>
      <c r="B228" s="706" t="s">
        <v>797</v>
      </c>
      <c r="C228" s="302" t="str">
        <f>+"Appendix A Line "&amp;+'Appendix A'!A283&amp;" "&amp;$L$6&amp;" Column"</f>
        <v>Appendix A Line 188 Projected Column</v>
      </c>
      <c r="D228" s="302"/>
      <c r="E228" s="302"/>
      <c r="F228" s="302"/>
      <c r="G228" s="302"/>
      <c r="H228" s="302"/>
      <c r="I228" s="300">
        <f>IF($L$10=0,'Appendix A'!H283,'Appendix A'!G283)</f>
        <v>19389201.531567749</v>
      </c>
      <c r="J228" s="421"/>
      <c r="K228" s="420"/>
      <c r="N228" s="278"/>
      <c r="P228" s="278"/>
      <c r="Q228" s="278"/>
    </row>
    <row r="229" spans="1:17">
      <c r="A229" s="355" t="s">
        <v>651</v>
      </c>
      <c r="B229" s="706" t="s">
        <v>736</v>
      </c>
      <c r="C229" s="302" t="str">
        <f>+"Appendix A Line "&amp;+'Appendix A'!A284&amp;" "&amp;$L$6&amp;" Column"</f>
        <v>Appendix A Line 189 Projected Column</v>
      </c>
      <c r="D229" s="302"/>
      <c r="E229" s="302"/>
      <c r="F229" s="302"/>
      <c r="G229" s="302"/>
      <c r="H229" s="302"/>
      <c r="I229" s="300">
        <f>IF($L$10=0,'Appendix A'!H284,'Appendix A'!G284)</f>
        <v>0</v>
      </c>
      <c r="J229" s="421"/>
      <c r="K229" s="420"/>
      <c r="N229" s="278"/>
      <c r="P229" s="278"/>
      <c r="Q229" s="278"/>
    </row>
    <row r="230" spans="1:17" ht="13.8" thickBot="1">
      <c r="A230" s="355" t="s">
        <v>652</v>
      </c>
      <c r="B230" s="710" t="s">
        <v>737</v>
      </c>
      <c r="C230" s="398" t="str">
        <f>+"Appendix A Line "&amp;+'Appendix A'!A285&amp;" "&amp;$L$6&amp;" Column"</f>
        <v>Appendix A Line 190 Projected Column</v>
      </c>
      <c r="D230" s="398"/>
      <c r="E230" s="398"/>
      <c r="F230" s="398"/>
      <c r="G230" s="398"/>
      <c r="H230" s="302"/>
      <c r="I230" s="415">
        <f>IF($L$10=0,'Appendix A'!H285,'Appendix A'!G285)</f>
        <v>0</v>
      </c>
      <c r="J230" s="421"/>
      <c r="K230" s="420"/>
      <c r="N230" s="278"/>
      <c r="P230" s="278"/>
      <c r="Q230" s="278"/>
    </row>
    <row r="231" spans="1:17">
      <c r="A231" s="355">
        <f>+A228+1</f>
        <v>37</v>
      </c>
      <c r="B231" s="826" t="s">
        <v>113</v>
      </c>
      <c r="C231" s="302" t="str">
        <f>+"(Line "&amp;A227&amp;" - Line "&amp;A228&amp;" - Line "&amp;A229&amp;" - Line "&amp;A230&amp;")"</f>
        <v>(Line 35 - Line 36 - Line 36a - Line 36b)</v>
      </c>
      <c r="D231" s="302"/>
      <c r="E231" s="302"/>
      <c r="F231" s="302"/>
      <c r="G231" s="302"/>
      <c r="H231" s="286"/>
      <c r="I231" s="422">
        <f>+I227-I228-I229-I230</f>
        <v>1939929.5151238106</v>
      </c>
      <c r="J231" s="421"/>
      <c r="K231" s="421"/>
      <c r="N231" s="278"/>
      <c r="P231" s="278"/>
      <c r="Q231" s="278"/>
    </row>
    <row r="232" spans="1:17">
      <c r="A232" s="355"/>
      <c r="B232" s="319"/>
      <c r="C232" s="355"/>
      <c r="D232" s="302"/>
      <c r="E232" s="302"/>
      <c r="F232" s="302"/>
      <c r="G232" s="302"/>
      <c r="H232" s="286"/>
      <c r="I232" s="423"/>
      <c r="J232" s="421"/>
      <c r="K232" s="421"/>
      <c r="N232" s="278"/>
      <c r="P232" s="278"/>
      <c r="Q232" s="278"/>
    </row>
    <row r="233" spans="1:17">
      <c r="A233" s="319"/>
      <c r="B233" s="319" t="s">
        <v>402</v>
      </c>
      <c r="C233" s="319"/>
      <c r="D233" s="319"/>
      <c r="E233" s="319"/>
      <c r="F233" s="319"/>
      <c r="G233" s="319"/>
      <c r="H233" s="319"/>
      <c r="I233" s="319"/>
      <c r="J233" s="319"/>
      <c r="K233" s="319"/>
      <c r="N233" s="278"/>
      <c r="P233" s="278"/>
      <c r="Q233" s="278"/>
    </row>
    <row r="234" spans="1:17" ht="15.6">
      <c r="A234" s="355">
        <f>+A231+1</f>
        <v>38</v>
      </c>
      <c r="B234" s="711" t="s">
        <v>403</v>
      </c>
      <c r="C234" s="302" t="str">
        <f>+"Appendix A Line "&amp;+'Appendix A'!A222&amp;" "&amp;$L$6&amp;" Column"</f>
        <v>Appendix A Line 147 Projected Column</v>
      </c>
      <c r="D234" s="386">
        <f>IF($L$10=0,'Appendix A'!H222,'Appendix A'!G222)</f>
        <v>0.35</v>
      </c>
      <c r="E234" s="424"/>
      <c r="F234" s="319"/>
      <c r="G234" s="424"/>
      <c r="H234" s="1800"/>
      <c r="I234" s="1800"/>
      <c r="J234" s="1800"/>
      <c r="K234" s="1800"/>
      <c r="N234" s="278"/>
      <c r="P234" s="278"/>
      <c r="Q234" s="278"/>
    </row>
    <row r="235" spans="1:17" ht="15.6">
      <c r="A235" s="355">
        <f>+A234+1</f>
        <v>39</v>
      </c>
      <c r="B235" s="711" t="s">
        <v>404</v>
      </c>
      <c r="C235" s="302" t="str">
        <f>+"Appendix A Line "&amp;+'Appendix A'!A223&amp;" "&amp;$L$6&amp;" Column"</f>
        <v>Appendix A Line 148 Projected Column</v>
      </c>
      <c r="D235" s="386">
        <f>IF($L$10=0,'Appendix A'!H223,'Appendix A'!G223)</f>
        <v>0</v>
      </c>
      <c r="E235" s="319"/>
      <c r="F235" s="805" t="s">
        <v>405</v>
      </c>
      <c r="G235" s="424"/>
      <c r="H235" s="424"/>
      <c r="I235" s="424"/>
      <c r="J235" s="424"/>
      <c r="K235" s="424"/>
      <c r="L235" s="1801"/>
      <c r="M235" s="1801"/>
      <c r="N235" s="278"/>
      <c r="P235" s="278"/>
      <c r="Q235" s="278"/>
    </row>
    <row r="236" spans="1:17" ht="15.6">
      <c r="A236" s="355">
        <f>+A235+1</f>
        <v>40</v>
      </c>
      <c r="B236" s="711" t="s">
        <v>406</v>
      </c>
      <c r="C236" s="302" t="str">
        <f>+"Appendix A Line "&amp;+'Appendix A'!A224&amp;" "&amp;$L$6&amp;" Column"</f>
        <v>Appendix A Line 149 Projected Column</v>
      </c>
      <c r="D236" s="386">
        <f>IF($L$10=0,'Appendix A'!H224,'Appendix A'!G224)</f>
        <v>0</v>
      </c>
      <c r="E236" s="319"/>
      <c r="F236" s="805" t="s">
        <v>607</v>
      </c>
      <c r="G236" s="424"/>
      <c r="H236" s="424"/>
      <c r="I236" s="424"/>
      <c r="J236" s="424"/>
      <c r="K236" s="424"/>
      <c r="L236" s="425"/>
      <c r="M236" s="425"/>
      <c r="N236" s="278"/>
      <c r="P236" s="278"/>
      <c r="Q236" s="278"/>
    </row>
    <row r="237" spans="1:17" ht="9.75" customHeight="1">
      <c r="A237" s="319"/>
      <c r="B237" s="319"/>
      <c r="C237" s="319"/>
      <c r="D237" s="319"/>
      <c r="E237" s="319"/>
      <c r="F237" s="319"/>
      <c r="G237" s="319"/>
      <c r="H237" s="319"/>
      <c r="I237" s="319"/>
      <c r="J237" s="319"/>
      <c r="L237" s="425"/>
      <c r="M237" s="425"/>
    </row>
    <row r="238" spans="1:17">
      <c r="A238" s="319" t="s">
        <v>295</v>
      </c>
      <c r="B238" s="319"/>
      <c r="C238" s="319"/>
      <c r="D238" s="319"/>
      <c r="E238" s="319"/>
      <c r="F238" s="319"/>
      <c r="G238" s="319"/>
      <c r="H238" s="319"/>
      <c r="I238" s="319"/>
      <c r="J238" s="319"/>
    </row>
    <row r="239" spans="1:17">
      <c r="A239" s="1111" t="s">
        <v>170</v>
      </c>
      <c r="B239" s="319" t="s">
        <v>832</v>
      </c>
      <c r="C239" s="319"/>
      <c r="D239" s="319"/>
      <c r="E239" s="319"/>
      <c r="F239" s="319"/>
      <c r="G239" s="319"/>
      <c r="H239" s="319"/>
      <c r="I239" s="319"/>
      <c r="J239" s="319"/>
    </row>
    <row r="240" spans="1:17">
      <c r="A240" s="319"/>
      <c r="B240" s="319"/>
      <c r="C240" s="319"/>
      <c r="D240" s="319"/>
      <c r="E240" s="319"/>
      <c r="F240" s="319"/>
      <c r="G240" s="319"/>
      <c r="H240" s="319"/>
      <c r="I240" s="319"/>
      <c r="J240" s="319"/>
    </row>
  </sheetData>
  <mergeCells count="4">
    <mergeCell ref="A186:K186"/>
    <mergeCell ref="C137:C138"/>
    <mergeCell ref="L4:O5"/>
    <mergeCell ref="F63:G63"/>
  </mergeCells>
  <dataValidations disablePrompts="1" count="1">
    <dataValidation type="list" allowBlank="1" showInputMessage="1" showErrorMessage="1" sqref="L6">
      <formula1>$L$8:$L$9</formula1>
    </dataValidation>
  </dataValidations>
  <pageMargins left="0.5" right="0.5" top="0.7" bottom="0.7" header="0.5" footer="0.5"/>
  <pageSetup scale="61" fitToHeight="6" orientation="landscape" r:id="rId1"/>
  <rowBreaks count="3" manualBreakCount="3">
    <brk id="53" max="10" man="1"/>
    <brk id="113" max="10" man="1"/>
    <brk id="175" max="10" man="1"/>
  </rowBreaks>
  <ignoredErrors>
    <ignoredError sqref="B9:I9 B184:I184" numberStoredAsText="1"/>
    <ignoredError sqref="A15:I60 A132:I169 A121:A131 A190:A202 A205:A215 A220:A224 A227:A238 I230 A174 A62:I120 A61" unlockedFormula="1"/>
    <ignoredError sqref="B121:I127 B128:F131 A239 B61:I61" numberStoredAsText="1" unlockedFormula="1"/>
    <ignoredError sqref="G128:I131" numberStoredAsText="1" formula="1"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50"/>
  <sheetViews>
    <sheetView zoomScaleNormal="100" workbookViewId="0">
      <selection activeCell="A9" sqref="A9"/>
    </sheetView>
  </sheetViews>
  <sheetFormatPr defaultColWidth="8.88671875" defaultRowHeight="13.2"/>
  <cols>
    <col min="1" max="1" width="4.88671875" style="1367" customWidth="1"/>
    <col min="2" max="2" width="51.109375" style="1367" customWidth="1"/>
    <col min="3" max="3" width="13.33203125" style="1367" customWidth="1"/>
    <col min="4" max="4" width="13.33203125" style="1373" customWidth="1"/>
    <col min="5" max="5" width="17.6640625" style="1373" customWidth="1"/>
    <col min="6" max="7" width="13.33203125" style="1373" customWidth="1"/>
    <col min="8" max="8" width="18.5546875" style="1368" bestFit="1" customWidth="1"/>
    <col min="9" max="10" width="8.88671875" style="1367"/>
    <col min="11" max="11" width="10" style="1367" bestFit="1" customWidth="1"/>
    <col min="12" max="16384" width="8.88671875" style="1367"/>
  </cols>
  <sheetData>
    <row r="1" spans="1:9">
      <c r="A1" s="1720" t="str">
        <f>+'MISO Cover'!C6</f>
        <v>Entergy Texas, Inc.</v>
      </c>
      <c r="B1" s="1720"/>
      <c r="C1" s="1720"/>
      <c r="D1" s="1720"/>
      <c r="E1" s="1720"/>
      <c r="F1" s="1720"/>
      <c r="G1" s="1720"/>
      <c r="H1" s="1720"/>
      <c r="I1" s="754"/>
    </row>
    <row r="2" spans="1:9" s="160" customFormat="1">
      <c r="A2" s="1721" t="s">
        <v>654</v>
      </c>
      <c r="B2" s="1721"/>
      <c r="C2" s="1721"/>
      <c r="D2" s="1721"/>
      <c r="E2" s="1721"/>
      <c r="F2" s="1721"/>
      <c r="G2" s="1721"/>
      <c r="H2" s="1721"/>
    </row>
    <row r="3" spans="1:9" s="160" customFormat="1">
      <c r="A3" s="1721" t="str">
        <f>+'MISO Cover'!K4</f>
        <v>For  the 12 Months Ended 12/31/2016</v>
      </c>
      <c r="B3" s="1721"/>
      <c r="C3" s="1721"/>
      <c r="D3" s="1721"/>
      <c r="E3" s="1721"/>
      <c r="F3" s="1721"/>
      <c r="G3" s="1721"/>
      <c r="H3" s="1721"/>
    </row>
    <row r="4" spans="1:9" s="160" customFormat="1">
      <c r="A4" s="647"/>
      <c r="B4" s="647"/>
      <c r="C4" s="647"/>
      <c r="D4" s="647"/>
      <c r="E4" s="647"/>
      <c r="F4" s="647"/>
      <c r="G4" s="647"/>
      <c r="H4" s="647"/>
    </row>
    <row r="5" spans="1:9" s="160" customFormat="1">
      <c r="A5" s="1317" t="s">
        <v>277</v>
      </c>
      <c r="B5" s="1317" t="s">
        <v>67</v>
      </c>
      <c r="C5" s="1317" t="s">
        <v>114</v>
      </c>
      <c r="D5" s="554" t="s">
        <v>55</v>
      </c>
      <c r="E5" s="554" t="s">
        <v>68</v>
      </c>
      <c r="F5" s="473" t="s">
        <v>66</v>
      </c>
      <c r="G5" s="473" t="s">
        <v>156</v>
      </c>
      <c r="H5" s="1319" t="s">
        <v>69</v>
      </c>
    </row>
    <row r="6" spans="1:9">
      <c r="A6" s="1368"/>
      <c r="B6" s="514"/>
      <c r="C6" s="514"/>
      <c r="D6" s="555"/>
      <c r="E6" s="552"/>
      <c r="F6" s="552"/>
      <c r="G6" s="552"/>
      <c r="H6" s="514"/>
    </row>
    <row r="7" spans="1:9" ht="21.6" customHeight="1">
      <c r="A7" s="1369">
        <v>1</v>
      </c>
      <c r="B7" s="1419" t="s">
        <v>9</v>
      </c>
      <c r="C7" s="1087" t="s">
        <v>148</v>
      </c>
      <c r="D7" s="1420" t="s">
        <v>717</v>
      </c>
      <c r="E7" s="1420" t="s">
        <v>719</v>
      </c>
      <c r="F7" s="1421" t="s">
        <v>718</v>
      </c>
      <c r="G7" s="1421" t="s">
        <v>720</v>
      </c>
      <c r="H7" s="1087" t="s">
        <v>140</v>
      </c>
    </row>
    <row r="8" spans="1:9">
      <c r="A8" s="806">
        <f>+A7+0.01</f>
        <v>1.01</v>
      </c>
      <c r="B8" s="1172" t="s">
        <v>255</v>
      </c>
      <c r="C8" s="1202">
        <v>15908049.620000001</v>
      </c>
      <c r="D8" s="1370">
        <f>+C8</f>
        <v>15908049.620000001</v>
      </c>
      <c r="E8" s="1371"/>
      <c r="F8" s="1371"/>
      <c r="G8" s="1371"/>
      <c r="H8" s="1222" t="s">
        <v>1167</v>
      </c>
      <c r="I8" s="1372"/>
    </row>
    <row r="9" spans="1:9">
      <c r="A9" s="806">
        <f t="shared" ref="A9:A30" si="0">+A8+0.01</f>
        <v>1.02</v>
      </c>
      <c r="B9" s="1173" t="s">
        <v>10</v>
      </c>
      <c r="C9" s="1202">
        <v>2325955</v>
      </c>
      <c r="E9" s="1371"/>
      <c r="F9" s="1371"/>
      <c r="G9" s="1371">
        <f>+C9</f>
        <v>2325955</v>
      </c>
      <c r="H9" s="1220" t="s">
        <v>1168</v>
      </c>
      <c r="I9" s="1372"/>
    </row>
    <row r="10" spans="1:9">
      <c r="A10" s="806">
        <f t="shared" si="0"/>
        <v>1.03</v>
      </c>
      <c r="B10" s="1173" t="s">
        <v>11</v>
      </c>
      <c r="C10" s="1202">
        <v>14681</v>
      </c>
      <c r="E10" s="1371"/>
      <c r="F10" s="1371"/>
      <c r="G10" s="1371">
        <f>+C10</f>
        <v>14681</v>
      </c>
      <c r="H10" s="1220" t="s">
        <v>1169</v>
      </c>
      <c r="I10" s="1372"/>
    </row>
    <row r="11" spans="1:9">
      <c r="A11" s="806">
        <f t="shared" si="0"/>
        <v>1.04</v>
      </c>
      <c r="B11" s="1173" t="s">
        <v>16</v>
      </c>
      <c r="C11" s="1202">
        <v>11102</v>
      </c>
      <c r="E11" s="1371"/>
      <c r="F11" s="1371">
        <f>+C11</f>
        <v>11102</v>
      </c>
      <c r="G11" s="1371"/>
      <c r="H11" s="1220" t="s">
        <v>1170</v>
      </c>
      <c r="I11" s="1372"/>
    </row>
    <row r="12" spans="1:9">
      <c r="A12" s="806">
        <f t="shared" si="0"/>
        <v>1.05</v>
      </c>
      <c r="B12" s="1172" t="s">
        <v>256</v>
      </c>
      <c r="C12" s="1202">
        <v>406794</v>
      </c>
      <c r="D12" s="1370">
        <f>+C12</f>
        <v>406794</v>
      </c>
      <c r="E12" s="1371"/>
      <c r="F12" s="1371"/>
      <c r="G12" s="1371"/>
      <c r="H12" s="1222" t="s">
        <v>1171</v>
      </c>
      <c r="I12" s="1372"/>
    </row>
    <row r="13" spans="1:9" s="1374" customFormat="1">
      <c r="A13" s="806">
        <f t="shared" si="0"/>
        <v>1.06</v>
      </c>
      <c r="B13" s="1173" t="s">
        <v>12</v>
      </c>
      <c r="C13" s="1202">
        <v>61753</v>
      </c>
      <c r="D13" s="1373"/>
      <c r="E13" s="1371"/>
      <c r="F13" s="1371"/>
      <c r="G13" s="1371">
        <f>+C13</f>
        <v>61753</v>
      </c>
      <c r="H13" s="1220" t="s">
        <v>1172</v>
      </c>
      <c r="I13" s="1141"/>
    </row>
    <row r="14" spans="1:9" s="1374" customFormat="1">
      <c r="A14" s="806">
        <f t="shared" si="0"/>
        <v>1.07</v>
      </c>
      <c r="B14" s="1173" t="s">
        <v>17</v>
      </c>
      <c r="C14" s="1202">
        <v>0</v>
      </c>
      <c r="D14" s="1373"/>
      <c r="E14" s="1371"/>
      <c r="F14" s="1371">
        <f>+C14</f>
        <v>0</v>
      </c>
      <c r="G14" s="1371"/>
      <c r="H14" s="1220"/>
      <c r="I14" s="1141"/>
    </row>
    <row r="15" spans="1:9">
      <c r="A15" s="806">
        <f t="shared" si="0"/>
        <v>1.08</v>
      </c>
      <c r="B15" s="1173" t="s">
        <v>18</v>
      </c>
      <c r="C15" s="1202">
        <v>2162185.21</v>
      </c>
      <c r="D15" s="1370">
        <f>+C15</f>
        <v>2162185.21</v>
      </c>
      <c r="E15" s="1371"/>
      <c r="F15" s="1371"/>
      <c r="G15" s="1371"/>
      <c r="H15" s="1220" t="s">
        <v>1173</v>
      </c>
      <c r="I15" s="1372"/>
    </row>
    <row r="16" spans="1:9">
      <c r="A16" s="806">
        <f t="shared" si="0"/>
        <v>1.0900000000000001</v>
      </c>
      <c r="B16" s="1173" t="s">
        <v>14</v>
      </c>
      <c r="C16" s="1202">
        <v>0</v>
      </c>
      <c r="D16" s="1370">
        <f>+C16</f>
        <v>0</v>
      </c>
      <c r="E16" s="1371"/>
      <c r="F16" s="1371"/>
      <c r="G16" s="1371"/>
      <c r="H16" s="1220" t="s">
        <v>1174</v>
      </c>
      <c r="I16" s="1372"/>
    </row>
    <row r="17" spans="1:15">
      <c r="A17" s="806">
        <f t="shared" si="0"/>
        <v>1.1000000000000001</v>
      </c>
      <c r="B17" s="1173" t="s">
        <v>13</v>
      </c>
      <c r="C17" s="1202">
        <v>11500270.820000002</v>
      </c>
      <c r="D17" s="1370">
        <f>+C17</f>
        <v>11500270.820000002</v>
      </c>
      <c r="E17" s="1371"/>
      <c r="F17" s="1371"/>
      <c r="G17" s="1371"/>
      <c r="H17" s="1220" t="s">
        <v>1519</v>
      </c>
      <c r="I17" s="1372"/>
    </row>
    <row r="18" spans="1:15">
      <c r="A18" s="806">
        <f t="shared" si="0"/>
        <v>1.1100000000000001</v>
      </c>
      <c r="B18" s="1173" t="s">
        <v>936</v>
      </c>
      <c r="C18" s="1202">
        <v>301883.77</v>
      </c>
      <c r="D18" s="1375">
        <f>+C18</f>
        <v>301883.77</v>
      </c>
      <c r="E18" s="1376"/>
      <c r="F18" s="1376"/>
      <c r="G18" s="1371"/>
      <c r="H18" s="1220" t="s">
        <v>1175</v>
      </c>
      <c r="I18" s="1372"/>
    </row>
    <row r="19" spans="1:15">
      <c r="A19" s="806">
        <f t="shared" si="0"/>
        <v>1.1200000000000001</v>
      </c>
      <c r="B19" s="1173" t="s">
        <v>262</v>
      </c>
      <c r="C19" s="1202">
        <v>31393154.599999998</v>
      </c>
      <c r="E19" s="1371"/>
      <c r="F19" s="1370">
        <f>+C19</f>
        <v>31393154.599999998</v>
      </c>
      <c r="G19" s="1371"/>
      <c r="H19" s="1220" t="s">
        <v>1176</v>
      </c>
      <c r="I19" s="1372"/>
    </row>
    <row r="20" spans="1:15">
      <c r="A20" s="806">
        <f t="shared" si="0"/>
        <v>1.1300000000000001</v>
      </c>
      <c r="B20" s="1173" t="s">
        <v>1275</v>
      </c>
      <c r="C20" s="1202">
        <v>24393173.589999996</v>
      </c>
      <c r="D20" s="1370">
        <f>+C20</f>
        <v>24393173.589999996</v>
      </c>
      <c r="E20" s="1371"/>
      <c r="F20" s="1371"/>
      <c r="G20" s="1371"/>
      <c r="H20" s="1220" t="s">
        <v>1177</v>
      </c>
      <c r="I20" s="1372"/>
    </row>
    <row r="21" spans="1:15">
      <c r="A21" s="806">
        <f t="shared" si="0"/>
        <v>1.1400000000000001</v>
      </c>
      <c r="B21" s="1173" t="s">
        <v>15</v>
      </c>
      <c r="C21" s="1202">
        <v>5057.3099999999995</v>
      </c>
      <c r="D21" s="1370">
        <f>+C21</f>
        <v>5057.3099999999995</v>
      </c>
      <c r="E21" s="1371"/>
      <c r="F21" s="1371"/>
      <c r="G21" s="1371"/>
      <c r="H21" s="1220" t="s">
        <v>1178</v>
      </c>
      <c r="I21" s="1372"/>
    </row>
    <row r="22" spans="1:15">
      <c r="A22" s="806">
        <f t="shared" si="0"/>
        <v>1.1500000000000001</v>
      </c>
      <c r="B22" s="1173" t="s">
        <v>19</v>
      </c>
      <c r="C22" s="1202">
        <v>-3600000</v>
      </c>
      <c r="D22" s="1373">
        <f>C22</f>
        <v>-3600000</v>
      </c>
      <c r="E22" s="1371"/>
      <c r="F22" s="1371"/>
      <c r="G22" s="1371"/>
      <c r="H22" s="1220" t="s">
        <v>1179</v>
      </c>
      <c r="I22" s="1372"/>
    </row>
    <row r="23" spans="1:15">
      <c r="A23" s="806">
        <f t="shared" si="0"/>
        <v>1.1600000000000001</v>
      </c>
      <c r="B23" s="1174" t="str">
        <f>+"Entergy Services, Inc. 408110 Employment Taxes  (Ln "&amp;A$37&amp;")"</f>
        <v>Entergy Services, Inc. 408110 Employment Taxes  (Ln 4)</v>
      </c>
      <c r="C23" s="1202">
        <v>1700673.4099999969</v>
      </c>
      <c r="E23" s="1371"/>
      <c r="F23" s="1371"/>
      <c r="G23" s="1371">
        <f>C23</f>
        <v>1700673.4099999969</v>
      </c>
      <c r="H23" s="1220" t="s">
        <v>1180</v>
      </c>
      <c r="I23" s="1372"/>
    </row>
    <row r="24" spans="1:15">
      <c r="A24" s="806">
        <f t="shared" si="0"/>
        <v>1.1700000000000002</v>
      </c>
      <c r="B24" s="1173" t="str">
        <f>+"Entergy Services, Inc. 408122 Excise Tax- State  (Ln "&amp;A$37&amp;")"</f>
        <v>Entergy Services, Inc. 408122 Excise Tax- State  (Ln 4)</v>
      </c>
      <c r="C24" s="1202">
        <v>40.21</v>
      </c>
      <c r="E24" s="1371"/>
      <c r="F24" s="1373">
        <f t="shared" ref="F24:F29" si="1">+C24</f>
        <v>40.21</v>
      </c>
      <c r="G24" s="1371"/>
      <c r="H24" s="1220" t="s">
        <v>1180</v>
      </c>
      <c r="I24" s="1372"/>
    </row>
    <row r="25" spans="1:15">
      <c r="A25" s="806">
        <f t="shared" si="0"/>
        <v>1.1800000000000002</v>
      </c>
      <c r="B25" s="1173" t="str">
        <f>+"Entergy Services, Inc. 408123 Excise Tax Federal  (Ln "&amp;A$37&amp;")"</f>
        <v>Entergy Services, Inc. 408123 Excise Tax Federal  (Ln 4)</v>
      </c>
      <c r="C25" s="1202">
        <v>35.28</v>
      </c>
      <c r="E25" s="1371"/>
      <c r="F25" s="1373">
        <f t="shared" si="1"/>
        <v>35.28</v>
      </c>
      <c r="G25" s="1371"/>
      <c r="H25" s="1220" t="s">
        <v>1180</v>
      </c>
      <c r="I25" s="1372"/>
      <c r="J25" s="1377"/>
      <c r="K25" s="1377"/>
      <c r="L25" s="1377"/>
      <c r="M25" s="1377"/>
      <c r="N25" s="1377"/>
      <c r="O25" s="1378"/>
    </row>
    <row r="26" spans="1:15">
      <c r="A26" s="806">
        <f t="shared" si="0"/>
        <v>1.1900000000000002</v>
      </c>
      <c r="B26" s="1173" t="str">
        <f>+"Entergy Services, Inc. 408142 Ad Valorem  (Ln "&amp;A$37&amp;")"</f>
        <v>Entergy Services, Inc. 408142 Ad Valorem  (Ln 4)</v>
      </c>
      <c r="C26" s="1202">
        <v>516988.33</v>
      </c>
      <c r="E26" s="1371"/>
      <c r="F26" s="1371">
        <f t="shared" si="1"/>
        <v>516988.33</v>
      </c>
      <c r="G26" s="1371"/>
      <c r="H26" s="1220" t="s">
        <v>1180</v>
      </c>
      <c r="I26" s="1372"/>
    </row>
    <row r="27" spans="1:15">
      <c r="A27" s="806">
        <f t="shared" si="0"/>
        <v>1.2000000000000002</v>
      </c>
      <c r="B27" s="1173" t="str">
        <f>+"Entergy Services, Inc. 408152 Franchise Tax State  (Ln "&amp;A$37&amp;")"</f>
        <v>Entergy Services, Inc. 408152 Franchise Tax State  (Ln 4)</v>
      </c>
      <c r="C27" s="1202">
        <v>88014.34</v>
      </c>
      <c r="E27" s="1371"/>
      <c r="F27" s="1371">
        <f t="shared" si="1"/>
        <v>88014.34</v>
      </c>
      <c r="G27" s="1371"/>
      <c r="H27" s="1220" t="s">
        <v>1180</v>
      </c>
      <c r="I27" s="1372"/>
    </row>
    <row r="28" spans="1:15">
      <c r="A28" s="806">
        <f t="shared" si="0"/>
        <v>1.2100000000000002</v>
      </c>
      <c r="B28" s="1173" t="str">
        <f>+"Entergy Services, Inc. 408165 City Occupation Tax  (Ln "&amp;A$37&amp;")"</f>
        <v>Entergy Services, Inc. 408165 City Occupation Tax  (Ln 4)</v>
      </c>
      <c r="C28" s="1202">
        <v>213.35999999999996</v>
      </c>
      <c r="E28" s="1371"/>
      <c r="F28" s="1371">
        <f t="shared" si="1"/>
        <v>213.35999999999996</v>
      </c>
      <c r="G28" s="1371"/>
      <c r="H28" s="1220" t="s">
        <v>1180</v>
      </c>
      <c r="I28" s="1372"/>
    </row>
    <row r="29" spans="1:15">
      <c r="A29" s="806">
        <f t="shared" si="0"/>
        <v>1.2200000000000002</v>
      </c>
      <c r="B29" s="1173" t="s">
        <v>862</v>
      </c>
      <c r="C29" s="1202">
        <v>0</v>
      </c>
      <c r="E29" s="1371"/>
      <c r="F29" s="1371">
        <f t="shared" si="1"/>
        <v>0</v>
      </c>
      <c r="G29" s="1371"/>
      <c r="H29" s="1220" t="s">
        <v>1180</v>
      </c>
      <c r="I29" s="1142"/>
    </row>
    <row r="30" spans="1:15">
      <c r="A30" s="806">
        <f t="shared" si="0"/>
        <v>1.2300000000000002</v>
      </c>
      <c r="B30" s="1173" t="s">
        <v>581</v>
      </c>
      <c r="C30" s="1202">
        <v>2029563.0299999991</v>
      </c>
      <c r="D30" s="1375">
        <f>+C30</f>
        <v>2029563.0299999991</v>
      </c>
      <c r="E30" s="1376"/>
      <c r="G30" s="1371"/>
      <c r="H30" s="1220" t="s">
        <v>1549</v>
      </c>
      <c r="I30" s="1600"/>
      <c r="J30" s="1277"/>
      <c r="K30" s="1379"/>
      <c r="L30" s="1379"/>
      <c r="M30" s="1379"/>
      <c r="N30" s="1379"/>
    </row>
    <row r="31" spans="1:15">
      <c r="A31" s="1218">
        <f>+A30+0.01</f>
        <v>1.2400000000000002</v>
      </c>
      <c r="B31" s="1219" t="s">
        <v>1166</v>
      </c>
      <c r="C31" s="1380">
        <v>80682</v>
      </c>
      <c r="D31" s="1381"/>
      <c r="E31" s="1381"/>
      <c r="F31" s="1381">
        <f>C31</f>
        <v>80682</v>
      </c>
      <c r="G31" s="1381"/>
      <c r="H31" s="1220" t="s">
        <v>1181</v>
      </c>
      <c r="I31" s="1142"/>
      <c r="J31" s="1379"/>
      <c r="K31" s="1379"/>
      <c r="L31" s="1379"/>
      <c r="M31" s="1379"/>
      <c r="N31" s="1379"/>
    </row>
    <row r="32" spans="1:15">
      <c r="A32" s="1218">
        <f>+A31+0.01</f>
        <v>1.2500000000000002</v>
      </c>
      <c r="B32" s="1219" t="s">
        <v>913</v>
      </c>
      <c r="C32" s="1380">
        <v>0</v>
      </c>
      <c r="D32" s="1381"/>
      <c r="E32" s="1381"/>
      <c r="F32" s="1381"/>
      <c r="G32" s="1381"/>
      <c r="H32" s="1220"/>
      <c r="I32" s="1142"/>
      <c r="J32" s="1379"/>
      <c r="K32" s="1379"/>
      <c r="L32" s="1379"/>
      <c r="M32" s="1379"/>
      <c r="N32" s="1379"/>
    </row>
    <row r="33" spans="1:14">
      <c r="A33" s="1218" t="s">
        <v>904</v>
      </c>
      <c r="B33" s="1219" t="s">
        <v>913</v>
      </c>
      <c r="C33" s="1380">
        <v>0</v>
      </c>
      <c r="D33" s="1381"/>
      <c r="E33" s="1381"/>
      <c r="F33" s="1381"/>
      <c r="G33" s="1381"/>
      <c r="H33" s="1220"/>
      <c r="I33" s="1142"/>
      <c r="J33" s="1379"/>
      <c r="K33" s="1379"/>
      <c r="L33" s="1379"/>
      <c r="M33" s="1379"/>
      <c r="N33" s="1379"/>
    </row>
    <row r="34" spans="1:14" ht="15">
      <c r="A34" s="1218" t="s">
        <v>908</v>
      </c>
      <c r="B34" s="1219" t="s">
        <v>913</v>
      </c>
      <c r="C34" s="1380">
        <v>0</v>
      </c>
      <c r="D34" s="1382"/>
      <c r="E34" s="1221"/>
      <c r="F34" s="1221"/>
      <c r="G34" s="1221"/>
      <c r="H34" s="1222"/>
      <c r="I34" s="1372"/>
    </row>
    <row r="35" spans="1:14" ht="13.8" thickBot="1">
      <c r="A35" s="807">
        <f>+A7+1</f>
        <v>2</v>
      </c>
      <c r="B35" s="200" t="str">
        <f>+"Sum Line "&amp;A7&amp;" Subparts"</f>
        <v>Sum Line 1 Subparts</v>
      </c>
      <c r="C35" s="1383">
        <f>+SUM(C8:C34)</f>
        <v>89300269.879999995</v>
      </c>
      <c r="D35" s="1383">
        <f>+SUM(D8:D34)</f>
        <v>53106977.350000009</v>
      </c>
      <c r="E35" s="1383">
        <f>+SUM(E8:E34)</f>
        <v>0</v>
      </c>
      <c r="F35" s="1383">
        <f>+SUM(F8:F34)</f>
        <v>32090230.119999997</v>
      </c>
      <c r="G35" s="1383">
        <f>+SUM(G8:G34)</f>
        <v>4103062.4099999969</v>
      </c>
      <c r="H35" s="490" t="s">
        <v>448</v>
      </c>
    </row>
    <row r="36" spans="1:14" ht="13.8" thickTop="1">
      <c r="A36" s="878">
        <f>+A35+1</f>
        <v>3</v>
      </c>
      <c r="B36" s="200"/>
      <c r="C36" s="488"/>
      <c r="D36" s="488"/>
      <c r="E36" s="1371"/>
      <c r="F36" s="1371"/>
      <c r="G36" s="1371"/>
      <c r="H36" s="490"/>
    </row>
    <row r="37" spans="1:14">
      <c r="A37" s="878">
        <f>+A36+1</f>
        <v>4</v>
      </c>
      <c r="B37" s="1384" t="s">
        <v>716</v>
      </c>
      <c r="C37" s="1202">
        <v>2305964.9300000034</v>
      </c>
      <c r="D37" s="1384"/>
      <c r="E37" s="1384"/>
      <c r="F37" s="1384"/>
      <c r="G37" s="1384"/>
      <c r="H37" s="1220" t="s">
        <v>1550</v>
      </c>
      <c r="I37" s="489"/>
    </row>
    <row r="38" spans="1:14">
      <c r="A38" s="878"/>
      <c r="B38" s="1384"/>
      <c r="C38" s="1384"/>
      <c r="D38" s="1384"/>
      <c r="E38" s="1384"/>
      <c r="F38" s="1384"/>
      <c r="G38" s="1384"/>
      <c r="H38" s="1384"/>
      <c r="I38" s="489"/>
    </row>
    <row r="39" spans="1:14" s="489" customFormat="1">
      <c r="A39" s="767" t="s">
        <v>557</v>
      </c>
      <c r="B39" s="163"/>
      <c r="C39" s="163"/>
      <c r="D39" s="73"/>
      <c r="E39" s="553"/>
      <c r="F39" s="553"/>
      <c r="G39" s="553"/>
      <c r="H39" s="808"/>
    </row>
    <row r="40" spans="1:14" s="489" customFormat="1" ht="55.2" customHeight="1">
      <c r="A40" s="809" t="s">
        <v>170</v>
      </c>
      <c r="B40" s="1717" t="s">
        <v>709</v>
      </c>
      <c r="C40" s="1717"/>
      <c r="D40" s="1717"/>
      <c r="E40" s="1717"/>
      <c r="F40" s="1717"/>
      <c r="G40" s="1717"/>
      <c r="H40" s="1717"/>
    </row>
    <row r="41" spans="1:14" s="489" customFormat="1" ht="27" customHeight="1">
      <c r="A41" s="809" t="s">
        <v>316</v>
      </c>
      <c r="B41" s="1717" t="s">
        <v>802</v>
      </c>
      <c r="C41" s="1717"/>
      <c r="D41" s="1717"/>
      <c r="E41" s="1717"/>
      <c r="F41" s="1717"/>
      <c r="G41" s="1717"/>
      <c r="H41" s="1717"/>
    </row>
    <row r="42" spans="1:14" s="489" customFormat="1" ht="13.2" customHeight="1">
      <c r="A42" s="809" t="s">
        <v>317</v>
      </c>
      <c r="B42" s="1717" t="s">
        <v>710</v>
      </c>
      <c r="C42" s="1717"/>
      <c r="D42" s="1717"/>
      <c r="E42" s="1717"/>
      <c r="F42" s="1717"/>
      <c r="G42" s="1717"/>
      <c r="H42" s="1717"/>
    </row>
    <row r="43" spans="1:14" s="489" customFormat="1">
      <c r="A43" s="809" t="s">
        <v>318</v>
      </c>
      <c r="B43" s="1697" t="s">
        <v>728</v>
      </c>
      <c r="C43" s="1697"/>
      <c r="D43" s="1697"/>
      <c r="E43" s="1697"/>
      <c r="F43" s="1697"/>
      <c r="G43" s="1697"/>
      <c r="H43" s="1697"/>
    </row>
    <row r="44" spans="1:14">
      <c r="A44" s="809" t="s">
        <v>319</v>
      </c>
      <c r="B44" s="1717" t="s">
        <v>711</v>
      </c>
      <c r="C44" s="1717"/>
      <c r="D44" s="1717"/>
      <c r="E44" s="1717"/>
      <c r="F44" s="1717"/>
      <c r="G44" s="1717"/>
      <c r="H44" s="1717"/>
    </row>
    <row r="45" spans="1:14" ht="28.2" customHeight="1">
      <c r="A45" s="809" t="s">
        <v>712</v>
      </c>
      <c r="B45" s="1697" t="s">
        <v>713</v>
      </c>
      <c r="C45" s="1697"/>
      <c r="D45" s="1697"/>
      <c r="E45" s="1697"/>
      <c r="F45" s="1697"/>
      <c r="G45" s="1697"/>
      <c r="H45" s="1697"/>
    </row>
    <row r="46" spans="1:14" ht="28.2" customHeight="1">
      <c r="A46" s="809" t="s">
        <v>714</v>
      </c>
      <c r="B46" s="1697" t="s">
        <v>715</v>
      </c>
      <c r="C46" s="1697"/>
      <c r="D46" s="1697"/>
      <c r="E46" s="1697"/>
      <c r="F46" s="1697"/>
      <c r="G46" s="1697"/>
      <c r="H46" s="1697"/>
    </row>
    <row r="47" spans="1:14">
      <c r="A47" s="1385"/>
      <c r="B47" s="1385"/>
      <c r="C47" s="1385"/>
      <c r="D47" s="1386"/>
    </row>
    <row r="48" spans="1:14">
      <c r="A48" s="1385"/>
      <c r="B48" s="1385"/>
      <c r="C48" s="1385"/>
      <c r="D48" s="1386"/>
    </row>
    <row r="49" spans="1:1">
      <c r="A49" s="1385"/>
    </row>
    <row r="50" spans="1:1">
      <c r="A50" s="1385"/>
    </row>
  </sheetData>
  <mergeCells count="10">
    <mergeCell ref="B46:H46"/>
    <mergeCell ref="B40:H40"/>
    <mergeCell ref="B41:H41"/>
    <mergeCell ref="B42:H42"/>
    <mergeCell ref="B44:H44"/>
    <mergeCell ref="A1:H1"/>
    <mergeCell ref="A3:H3"/>
    <mergeCell ref="A2:H2"/>
    <mergeCell ref="B45:H45"/>
    <mergeCell ref="B43:H43"/>
  </mergeCells>
  <phoneticPr fontId="88" type="noConversion"/>
  <printOptions horizontalCentered="1"/>
  <pageMargins left="0.7" right="0.7" top="0.5" bottom="0.5" header="0.3" footer="0.5"/>
  <pageSetup scale="82" orientation="landscape" r:id="rId1"/>
  <headerFooter>
    <oddFooter>&amp;R&amp;A</oddFooter>
  </headerFooter>
  <ignoredErrors>
    <ignoredError sqref="A40:A46"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57"/>
  <sheetViews>
    <sheetView zoomScaleNormal="100" zoomScaleSheetLayoutView="100" workbookViewId="0">
      <selection activeCell="A9" sqref="A9"/>
    </sheetView>
  </sheetViews>
  <sheetFormatPr defaultColWidth="9.109375" defaultRowHeight="13.2"/>
  <cols>
    <col min="1" max="1" width="4.44140625" style="655" customWidth="1"/>
    <col min="2" max="2" width="49.109375" style="39" customWidth="1"/>
    <col min="3" max="3" width="28.5546875" style="39" customWidth="1"/>
    <col min="4" max="4" width="14" style="38" customWidth="1"/>
    <col min="5" max="15" width="14.33203125" style="38" customWidth="1"/>
    <col min="16" max="16" width="14" style="39" bestFit="1" customWidth="1"/>
    <col min="17" max="17" width="14.109375" style="236" bestFit="1" customWidth="1"/>
    <col min="18" max="16384" width="9.109375" style="39"/>
  </cols>
  <sheetData>
    <row r="1" spans="1:19">
      <c r="A1" s="1703" t="str">
        <f>+'MISO Cover'!C6</f>
        <v>Entergy Texas, Inc.</v>
      </c>
      <c r="B1" s="1703"/>
      <c r="C1" s="1703"/>
      <c r="D1" s="172"/>
      <c r="E1" s="172"/>
      <c r="F1" s="172"/>
      <c r="G1" s="172"/>
      <c r="H1" s="172"/>
      <c r="I1" s="172"/>
      <c r="J1" s="172"/>
      <c r="K1" s="172"/>
      <c r="L1" s="172"/>
      <c r="M1" s="172"/>
      <c r="N1" s="172"/>
      <c r="O1" s="172"/>
      <c r="P1" s="172"/>
      <c r="Q1" s="209"/>
    </row>
    <row r="2" spans="1:19" s="38" customFormat="1">
      <c r="A2" s="1695" t="s">
        <v>660</v>
      </c>
      <c r="B2" s="1695"/>
      <c r="C2" s="1695"/>
      <c r="D2" s="164"/>
      <c r="E2" s="164"/>
      <c r="F2" s="164"/>
      <c r="G2" s="164"/>
      <c r="H2" s="164"/>
      <c r="I2" s="164"/>
      <c r="J2" s="164"/>
      <c r="K2" s="164"/>
      <c r="L2" s="164"/>
      <c r="M2" s="164"/>
      <c r="N2" s="164"/>
      <c r="O2" s="164"/>
      <c r="P2" s="164"/>
      <c r="Q2" s="165"/>
    </row>
    <row r="3" spans="1:19">
      <c r="A3" s="1716" t="str">
        <f>+'MISO Cover'!K4</f>
        <v>For  the 12 Months Ended 12/31/2016</v>
      </c>
      <c r="B3" s="1716"/>
      <c r="C3" s="1716"/>
      <c r="D3" s="888"/>
      <c r="E3" s="888"/>
      <c r="F3" s="888"/>
      <c r="G3" s="888"/>
      <c r="H3" s="888"/>
      <c r="I3" s="888"/>
      <c r="J3" s="888"/>
      <c r="K3" s="888"/>
      <c r="L3" s="888"/>
      <c r="M3" s="888"/>
      <c r="N3" s="888"/>
      <c r="O3" s="888"/>
      <c r="P3" s="888"/>
      <c r="Q3" s="1192"/>
    </row>
    <row r="4" spans="1:19">
      <c r="B4" s="718"/>
      <c r="C4" s="718"/>
      <c r="D4" s="718"/>
      <c r="E4" s="718"/>
      <c r="F4" s="640"/>
      <c r="G4" s="718"/>
      <c r="H4" s="718"/>
      <c r="I4" s="718"/>
      <c r="J4" s="718"/>
      <c r="K4" s="718"/>
      <c r="L4" s="718"/>
      <c r="M4" s="718"/>
      <c r="N4" s="718"/>
      <c r="O4" s="718"/>
      <c r="R4" s="454"/>
    </row>
    <row r="5" spans="1:19" s="717" customFormat="1" ht="12.75" customHeight="1">
      <c r="A5" s="655" t="s">
        <v>277</v>
      </c>
      <c r="B5" s="717" t="s">
        <v>67</v>
      </c>
      <c r="C5" s="717" t="s">
        <v>114</v>
      </c>
      <c r="D5" s="714" t="s">
        <v>55</v>
      </c>
      <c r="E5" s="641" t="s">
        <v>68</v>
      </c>
      <c r="F5" s="641" t="s">
        <v>66</v>
      </c>
      <c r="G5" s="641" t="s">
        <v>156</v>
      </c>
      <c r="H5" s="641" t="s">
        <v>69</v>
      </c>
      <c r="I5" s="641" t="s">
        <v>169</v>
      </c>
      <c r="J5" s="641" t="s">
        <v>59</v>
      </c>
      <c r="K5" s="641" t="s">
        <v>558</v>
      </c>
      <c r="L5" s="641" t="s">
        <v>71</v>
      </c>
      <c r="M5" s="641" t="s">
        <v>98</v>
      </c>
      <c r="N5" s="641" t="s">
        <v>99</v>
      </c>
      <c r="O5" s="641" t="s">
        <v>445</v>
      </c>
      <c r="P5" s="641" t="s">
        <v>219</v>
      </c>
      <c r="Q5" s="1193" t="s">
        <v>220</v>
      </c>
    </row>
    <row r="6" spans="1:19">
      <c r="B6" s="522" t="s">
        <v>112</v>
      </c>
      <c r="C6" s="522" t="s">
        <v>140</v>
      </c>
      <c r="D6" s="667" t="s">
        <v>37</v>
      </c>
      <c r="E6" s="667" t="s">
        <v>27</v>
      </c>
      <c r="F6" s="667" t="s">
        <v>28</v>
      </c>
      <c r="G6" s="667" t="s">
        <v>29</v>
      </c>
      <c r="H6" s="667" t="s">
        <v>30</v>
      </c>
      <c r="I6" s="667" t="s">
        <v>26</v>
      </c>
      <c r="J6" s="667" t="s">
        <v>31</v>
      </c>
      <c r="K6" s="667" t="s">
        <v>32</v>
      </c>
      <c r="L6" s="667" t="s">
        <v>33</v>
      </c>
      <c r="M6" s="667" t="s">
        <v>34</v>
      </c>
      <c r="N6" s="667" t="s">
        <v>35</v>
      </c>
      <c r="O6" s="667" t="s">
        <v>36</v>
      </c>
      <c r="P6" s="667" t="s">
        <v>37</v>
      </c>
      <c r="Q6" s="1194" t="s">
        <v>614</v>
      </c>
    </row>
    <row r="7" spans="1:19">
      <c r="A7" s="655">
        <v>1</v>
      </c>
      <c r="B7" s="686" t="s">
        <v>61</v>
      </c>
    </row>
    <row r="8" spans="1:19">
      <c r="A8" s="655">
        <f>+A7+1</f>
        <v>2</v>
      </c>
      <c r="B8" s="39" t="s">
        <v>569</v>
      </c>
      <c r="C8" s="38" t="s">
        <v>656</v>
      </c>
      <c r="D8" s="192">
        <v>960000000</v>
      </c>
      <c r="E8" s="192">
        <v>960000000</v>
      </c>
      <c r="F8" s="192">
        <v>960000000</v>
      </c>
      <c r="G8" s="192">
        <v>1085000000</v>
      </c>
      <c r="H8" s="192">
        <v>1085000000</v>
      </c>
      <c r="I8" s="192">
        <v>1085000000</v>
      </c>
      <c r="J8" s="192">
        <v>1085000000</v>
      </c>
      <c r="K8" s="192">
        <v>1085000000</v>
      </c>
      <c r="L8" s="192">
        <v>1085000000</v>
      </c>
      <c r="M8" s="192">
        <v>1085000000</v>
      </c>
      <c r="N8" s="192">
        <v>1085000000</v>
      </c>
      <c r="O8" s="192">
        <v>1085000000</v>
      </c>
      <c r="P8" s="192">
        <v>1085000000</v>
      </c>
      <c r="Q8" s="73">
        <f>SUM(D8:P8)/13</f>
        <v>1056153846.1538461</v>
      </c>
    </row>
    <row r="9" spans="1:19">
      <c r="A9" s="655">
        <f t="shared" ref="A9:A48" si="0">+A8+1</f>
        <v>3</v>
      </c>
      <c r="B9" s="655" t="s">
        <v>632</v>
      </c>
      <c r="C9" s="38" t="s">
        <v>657</v>
      </c>
      <c r="D9" s="192">
        <v>0</v>
      </c>
      <c r="E9" s="192">
        <v>0</v>
      </c>
      <c r="F9" s="192">
        <v>0</v>
      </c>
      <c r="G9" s="192">
        <v>0</v>
      </c>
      <c r="H9" s="192">
        <v>0</v>
      </c>
      <c r="I9" s="192">
        <v>0</v>
      </c>
      <c r="J9" s="192">
        <v>0</v>
      </c>
      <c r="K9" s="192">
        <v>0</v>
      </c>
      <c r="L9" s="192">
        <v>0</v>
      </c>
      <c r="M9" s="192">
        <v>0</v>
      </c>
      <c r="N9" s="192">
        <v>0</v>
      </c>
      <c r="O9" s="192">
        <v>0</v>
      </c>
      <c r="P9" s="192">
        <v>0</v>
      </c>
      <c r="Q9" s="73">
        <f>SUM(D9:P9)/13</f>
        <v>0</v>
      </c>
    </row>
    <row r="10" spans="1:19" s="166" customFormat="1" ht="26.4">
      <c r="A10" s="691">
        <f t="shared" si="0"/>
        <v>4</v>
      </c>
      <c r="B10" s="694" t="s">
        <v>578</v>
      </c>
      <c r="C10" s="792" t="s">
        <v>658</v>
      </c>
      <c r="D10" s="179">
        <v>0</v>
      </c>
      <c r="E10" s="179">
        <v>0</v>
      </c>
      <c r="F10" s="179">
        <v>0</v>
      </c>
      <c r="G10" s="179">
        <v>0</v>
      </c>
      <c r="H10" s="179">
        <v>0</v>
      </c>
      <c r="I10" s="179">
        <v>0</v>
      </c>
      <c r="J10" s="179">
        <v>0</v>
      </c>
      <c r="K10" s="179">
        <v>0</v>
      </c>
      <c r="L10" s="179">
        <v>0</v>
      </c>
      <c r="M10" s="179">
        <v>0</v>
      </c>
      <c r="N10" s="179">
        <v>0</v>
      </c>
      <c r="O10" s="179">
        <v>0</v>
      </c>
      <c r="P10" s="179">
        <v>0</v>
      </c>
      <c r="Q10" s="73">
        <f>SUM(D10:P10)/13</f>
        <v>0</v>
      </c>
      <c r="S10" s="39"/>
    </row>
    <row r="11" spans="1:19">
      <c r="A11" s="655">
        <f t="shared" si="0"/>
        <v>5</v>
      </c>
      <c r="B11" s="39" t="s">
        <v>570</v>
      </c>
      <c r="C11" s="40" t="s">
        <v>659</v>
      </c>
      <c r="D11" s="179">
        <v>4842208.5900000501</v>
      </c>
      <c r="E11" s="179">
        <v>4842208.5900000501</v>
      </c>
      <c r="F11" s="179">
        <v>4842208.5900000501</v>
      </c>
      <c r="G11" s="179">
        <v>4842208.5900000501</v>
      </c>
      <c r="H11" s="179">
        <v>4842208.5900000501</v>
      </c>
      <c r="I11" s="179">
        <v>4842208.5900000501</v>
      </c>
      <c r="J11" s="179">
        <v>4842208.5900000501</v>
      </c>
      <c r="K11" s="179">
        <v>4842208.5900000501</v>
      </c>
      <c r="L11" s="179">
        <v>4842208.5900000501</v>
      </c>
      <c r="M11" s="179">
        <v>4842208.5900000501</v>
      </c>
      <c r="N11" s="179">
        <v>4842208.5900000501</v>
      </c>
      <c r="O11" s="179">
        <v>4842208.5900000501</v>
      </c>
      <c r="P11" s="179">
        <v>4312642.4700000454</v>
      </c>
      <c r="Q11" s="532">
        <f>SUM(D11:P11)/13</f>
        <v>4801472.734615433</v>
      </c>
    </row>
    <row r="12" spans="1:19">
      <c r="A12" s="655">
        <f t="shared" si="0"/>
        <v>6</v>
      </c>
      <c r="B12" s="687" t="s">
        <v>40</v>
      </c>
      <c r="C12" s="881" t="str">
        <f>+"L"&amp;A8&amp;" - L"&amp;A9&amp;" + L"&amp;A10&amp;" + L"&amp;A11</f>
        <v>L2 - L3 + L4 + L5</v>
      </c>
      <c r="D12" s="882">
        <f>+D8-D9+D10+D11</f>
        <v>964842208.59000003</v>
      </c>
      <c r="E12" s="882">
        <f t="shared" ref="E12:Q12" si="1">+E8-E9+E10+E11</f>
        <v>964842208.59000003</v>
      </c>
      <c r="F12" s="882">
        <f t="shared" si="1"/>
        <v>964842208.59000003</v>
      </c>
      <c r="G12" s="882">
        <f t="shared" si="1"/>
        <v>1089842208.5900002</v>
      </c>
      <c r="H12" s="882">
        <f t="shared" si="1"/>
        <v>1089842208.5900002</v>
      </c>
      <c r="I12" s="882">
        <f t="shared" si="1"/>
        <v>1089842208.5900002</v>
      </c>
      <c r="J12" s="882">
        <f t="shared" si="1"/>
        <v>1089842208.5900002</v>
      </c>
      <c r="K12" s="882">
        <f t="shared" si="1"/>
        <v>1089842208.5900002</v>
      </c>
      <c r="L12" s="882">
        <f t="shared" si="1"/>
        <v>1089842208.5900002</v>
      </c>
      <c r="M12" s="882">
        <f t="shared" si="1"/>
        <v>1089842208.5900002</v>
      </c>
      <c r="N12" s="882">
        <f t="shared" si="1"/>
        <v>1089842208.5900002</v>
      </c>
      <c r="O12" s="882">
        <f t="shared" si="1"/>
        <v>1089842208.5900002</v>
      </c>
      <c r="P12" s="882">
        <f t="shared" si="1"/>
        <v>1089312642.47</v>
      </c>
      <c r="Q12" s="882">
        <f t="shared" si="1"/>
        <v>1060955318.8884616</v>
      </c>
    </row>
    <row r="13" spans="1:19">
      <c r="A13" s="655">
        <f t="shared" si="0"/>
        <v>7</v>
      </c>
      <c r="D13" s="73"/>
      <c r="E13" s="73"/>
      <c r="F13" s="73"/>
      <c r="G13" s="73"/>
      <c r="H13" s="73"/>
      <c r="I13" s="73"/>
      <c r="J13" s="73"/>
      <c r="K13" s="73"/>
      <c r="L13" s="73"/>
      <c r="M13" s="73"/>
      <c r="N13" s="73"/>
      <c r="O13" s="73"/>
      <c r="P13" s="73"/>
      <c r="Q13" s="73"/>
    </row>
    <row r="14" spans="1:19">
      <c r="A14" s="655">
        <f t="shared" si="0"/>
        <v>8</v>
      </c>
      <c r="B14" s="883" t="s">
        <v>582</v>
      </c>
      <c r="D14" s="73"/>
      <c r="E14" s="73"/>
      <c r="F14" s="73"/>
      <c r="G14" s="73"/>
      <c r="H14" s="73"/>
      <c r="I14" s="73"/>
      <c r="J14" s="73"/>
      <c r="K14" s="73"/>
      <c r="L14" s="73"/>
      <c r="M14" s="73"/>
      <c r="N14" s="73"/>
      <c r="O14" s="73"/>
      <c r="P14" s="73"/>
      <c r="Q14" s="73"/>
    </row>
    <row r="15" spans="1:19">
      <c r="A15" s="655">
        <f>+A14+1</f>
        <v>9</v>
      </c>
      <c r="B15" s="190" t="s">
        <v>575</v>
      </c>
      <c r="C15" s="38" t="s">
        <v>693</v>
      </c>
      <c r="D15" s="192">
        <v>8830257.8399999999</v>
      </c>
      <c r="E15" s="192">
        <v>8759250.6599999983</v>
      </c>
      <c r="F15" s="192">
        <v>8753962.0800000019</v>
      </c>
      <c r="G15" s="192">
        <v>9580114.5800000001</v>
      </c>
      <c r="H15" s="192">
        <v>9573819.1100000013</v>
      </c>
      <c r="I15" s="192">
        <v>9496475.7699999996</v>
      </c>
      <c r="J15" s="192">
        <v>9497499.8100000005</v>
      </c>
      <c r="K15" s="192">
        <v>9409567.9000000004</v>
      </c>
      <c r="L15" s="192">
        <v>9420813.790000001</v>
      </c>
      <c r="M15" s="192">
        <v>9329973.290000001</v>
      </c>
      <c r="N15" s="192">
        <v>9239015.0800000019</v>
      </c>
      <c r="O15" s="192">
        <v>9148056.3600000031</v>
      </c>
      <c r="P15" s="192">
        <v>9057098.1500000022</v>
      </c>
      <c r="Q15" s="73">
        <f>SUM(D15:P15)/13</f>
        <v>9238146.4938461557</v>
      </c>
    </row>
    <row r="16" spans="1:19">
      <c r="A16" s="655">
        <f t="shared" si="0"/>
        <v>10</v>
      </c>
      <c r="B16" s="190" t="s">
        <v>633</v>
      </c>
      <c r="C16" s="38" t="s">
        <v>694</v>
      </c>
      <c r="D16" s="192">
        <v>9398963.6500000004</v>
      </c>
      <c r="E16" s="192">
        <v>9362590.9400000013</v>
      </c>
      <c r="F16" s="192">
        <v>9326218.25</v>
      </c>
      <c r="G16" s="192">
        <v>9289845.5999999996</v>
      </c>
      <c r="H16" s="192">
        <v>9255529.7799999993</v>
      </c>
      <c r="I16" s="192">
        <v>9221214.0199999996</v>
      </c>
      <c r="J16" s="192">
        <v>9186898.1999999993</v>
      </c>
      <c r="K16" s="192">
        <v>9152582.4400000013</v>
      </c>
      <c r="L16" s="192">
        <v>9118266.6300000008</v>
      </c>
      <c r="M16" s="192">
        <v>9083950.8100000005</v>
      </c>
      <c r="N16" s="192">
        <v>9049635.0500000007</v>
      </c>
      <c r="O16" s="192">
        <v>9015319.2300000004</v>
      </c>
      <c r="P16" s="192">
        <v>8981003.4700000007</v>
      </c>
      <c r="Q16" s="73">
        <f>SUM(D16:P16)/13</f>
        <v>9187847.5438461546</v>
      </c>
    </row>
    <row r="17" spans="1:26">
      <c r="A17" s="655">
        <f t="shared" si="0"/>
        <v>11</v>
      </c>
      <c r="B17" s="190" t="s">
        <v>576</v>
      </c>
      <c r="C17" s="38" t="s">
        <v>695</v>
      </c>
      <c r="D17" s="192">
        <v>0</v>
      </c>
      <c r="E17" s="192">
        <v>0</v>
      </c>
      <c r="F17" s="192">
        <v>0</v>
      </c>
      <c r="G17" s="192">
        <v>0</v>
      </c>
      <c r="H17" s="192">
        <v>0</v>
      </c>
      <c r="I17" s="192">
        <v>0</v>
      </c>
      <c r="J17" s="192">
        <v>0</v>
      </c>
      <c r="K17" s="192">
        <v>0</v>
      </c>
      <c r="L17" s="192">
        <v>0</v>
      </c>
      <c r="M17" s="192">
        <v>0</v>
      </c>
      <c r="N17" s="192">
        <v>0</v>
      </c>
      <c r="O17" s="192">
        <v>0</v>
      </c>
      <c r="P17" s="192">
        <v>0</v>
      </c>
      <c r="Q17" s="73">
        <f>SUM(D17:P17)/13</f>
        <v>0</v>
      </c>
    </row>
    <row r="18" spans="1:26">
      <c r="A18" s="655">
        <f t="shared" si="0"/>
        <v>12</v>
      </c>
      <c r="B18" s="190" t="s">
        <v>574</v>
      </c>
      <c r="C18" s="38" t="s">
        <v>692</v>
      </c>
      <c r="D18" s="192">
        <v>1669056.0899999999</v>
      </c>
      <c r="E18" s="192">
        <v>1635695.1900000002</v>
      </c>
      <c r="F18" s="192">
        <v>1602334.27</v>
      </c>
      <c r="G18" s="192">
        <v>1806420.1700000006</v>
      </c>
      <c r="H18" s="192">
        <v>1769229.4500000004</v>
      </c>
      <c r="I18" s="192">
        <v>1732038.76</v>
      </c>
      <c r="J18" s="192">
        <v>1694848.05</v>
      </c>
      <c r="K18" s="192">
        <v>1657657.37</v>
      </c>
      <c r="L18" s="192">
        <v>1620466.66</v>
      </c>
      <c r="M18" s="192">
        <v>1583275.95</v>
      </c>
      <c r="N18" s="192">
        <v>1546085.2700000003</v>
      </c>
      <c r="O18" s="192">
        <v>1508894.5700000003</v>
      </c>
      <c r="P18" s="192">
        <v>1471703.8699999996</v>
      </c>
      <c r="Q18" s="73">
        <f>SUM(D18:P18)/13</f>
        <v>1638285.0515384616</v>
      </c>
    </row>
    <row r="19" spans="1:26">
      <c r="A19" s="655">
        <f t="shared" si="0"/>
        <v>13</v>
      </c>
      <c r="B19" s="190" t="s">
        <v>634</v>
      </c>
      <c r="C19" s="38" t="s">
        <v>696</v>
      </c>
      <c r="D19" s="192">
        <v>0</v>
      </c>
      <c r="E19" s="192">
        <v>0</v>
      </c>
      <c r="F19" s="192">
        <v>0</v>
      </c>
      <c r="G19" s="192">
        <v>0</v>
      </c>
      <c r="H19" s="192">
        <v>0</v>
      </c>
      <c r="I19" s="192">
        <v>0</v>
      </c>
      <c r="J19" s="192">
        <v>0</v>
      </c>
      <c r="K19" s="192">
        <v>0</v>
      </c>
      <c r="L19" s="192">
        <v>0</v>
      </c>
      <c r="M19" s="192">
        <v>0</v>
      </c>
      <c r="N19" s="192">
        <v>0</v>
      </c>
      <c r="O19" s="192">
        <v>0</v>
      </c>
      <c r="P19" s="192">
        <v>0</v>
      </c>
      <c r="Q19" s="73">
        <f>SUM(D19:P19)/13</f>
        <v>0</v>
      </c>
    </row>
    <row r="20" spans="1:26">
      <c r="A20" s="655">
        <f t="shared" si="0"/>
        <v>14</v>
      </c>
      <c r="B20" s="970" t="s">
        <v>41</v>
      </c>
      <c r="C20" s="881" t="str">
        <f>+"L"&amp;A12&amp;" - L"&amp;A15&amp;" - L"&amp;A16&amp;" + L"&amp;A17&amp;" - L"&amp;A18&amp;" + L"&amp;A19</f>
        <v>L6 - L9 - L10 + L11 - L12 + L13</v>
      </c>
      <c r="D20" s="882">
        <f>+D12-D15-D16+D17-D18+D19</f>
        <v>944943931.00999999</v>
      </c>
      <c r="E20" s="882">
        <f t="shared" ref="E20:Q20" si="2">+E12-E15-E16+E17-E18+E19</f>
        <v>945084671.79999995</v>
      </c>
      <c r="F20" s="882">
        <f t="shared" si="2"/>
        <v>945159693.99000001</v>
      </c>
      <c r="G20" s="882">
        <f t="shared" si="2"/>
        <v>1069165828.2400002</v>
      </c>
      <c r="H20" s="882">
        <f t="shared" si="2"/>
        <v>1069243630.2500002</v>
      </c>
      <c r="I20" s="882">
        <f t="shared" si="2"/>
        <v>1069392480.0400002</v>
      </c>
      <c r="J20" s="882">
        <f t="shared" si="2"/>
        <v>1069462962.5300002</v>
      </c>
      <c r="K20" s="882">
        <f t="shared" si="2"/>
        <v>1069622400.88</v>
      </c>
      <c r="L20" s="882">
        <f t="shared" si="2"/>
        <v>1069682661.5100002</v>
      </c>
      <c r="M20" s="882">
        <f t="shared" si="2"/>
        <v>1069845008.5400002</v>
      </c>
      <c r="N20" s="882">
        <f t="shared" si="2"/>
        <v>1070007473.1900003</v>
      </c>
      <c r="O20" s="882">
        <f t="shared" si="2"/>
        <v>1070169938.4300002</v>
      </c>
      <c r="P20" s="882">
        <f t="shared" si="2"/>
        <v>1069802836.9799999</v>
      </c>
      <c r="Q20" s="882">
        <f t="shared" si="2"/>
        <v>1040891039.7992308</v>
      </c>
    </row>
    <row r="21" spans="1:26">
      <c r="A21" s="655">
        <f t="shared" si="0"/>
        <v>15</v>
      </c>
      <c r="D21" s="73"/>
      <c r="E21" s="73"/>
      <c r="F21" s="73"/>
      <c r="G21" s="73"/>
      <c r="H21" s="73"/>
      <c r="I21" s="73"/>
      <c r="J21" s="73"/>
      <c r="K21" s="73"/>
      <c r="L21" s="73"/>
      <c r="M21" s="73"/>
      <c r="N21" s="73"/>
      <c r="O21" s="73"/>
      <c r="P21" s="73"/>
      <c r="Q21" s="73"/>
    </row>
    <row r="22" spans="1:26">
      <c r="A22" s="655">
        <f t="shared" si="0"/>
        <v>16</v>
      </c>
      <c r="B22" s="686" t="s">
        <v>45</v>
      </c>
      <c r="D22" s="73"/>
      <c r="E22" s="73"/>
      <c r="F22" s="73"/>
      <c r="G22" s="73"/>
      <c r="H22" s="73"/>
      <c r="I22" s="73"/>
      <c r="J22" s="73"/>
      <c r="K22" s="73"/>
      <c r="L22" s="73"/>
      <c r="M22" s="73"/>
      <c r="N22" s="73"/>
      <c r="O22" s="73"/>
      <c r="P22" s="73"/>
    </row>
    <row r="23" spans="1:26">
      <c r="A23" s="655">
        <f t="shared" si="0"/>
        <v>17</v>
      </c>
      <c r="B23" s="38" t="s">
        <v>568</v>
      </c>
      <c r="C23" s="38" t="s">
        <v>868</v>
      </c>
      <c r="D23" s="73"/>
      <c r="E23" s="73"/>
      <c r="F23" s="73"/>
      <c r="G23" s="73"/>
      <c r="H23" s="73"/>
      <c r="I23" s="73"/>
      <c r="J23" s="73"/>
      <c r="K23" s="73"/>
      <c r="L23" s="73"/>
      <c r="M23" s="73"/>
      <c r="N23" s="73"/>
      <c r="O23" s="73"/>
      <c r="P23" s="192">
        <v>61977577.129999995</v>
      </c>
    </row>
    <row r="24" spans="1:26">
      <c r="A24" s="655">
        <f t="shared" si="0"/>
        <v>18</v>
      </c>
      <c r="B24" s="190" t="s">
        <v>567</v>
      </c>
      <c r="C24" s="38"/>
      <c r="D24" s="73"/>
      <c r="E24" s="73"/>
      <c r="F24" s="73"/>
      <c r="G24" s="73"/>
      <c r="H24" s="73"/>
      <c r="I24" s="73"/>
      <c r="J24" s="73"/>
      <c r="K24" s="73"/>
      <c r="L24" s="73"/>
      <c r="M24" s="73"/>
      <c r="N24" s="73"/>
      <c r="O24" s="73"/>
      <c r="P24" s="192">
        <v>0</v>
      </c>
      <c r="Q24" s="494"/>
    </row>
    <row r="25" spans="1:26">
      <c r="A25" s="655">
        <f t="shared" si="0"/>
        <v>19</v>
      </c>
      <c r="B25" s="38" t="s">
        <v>572</v>
      </c>
      <c r="C25" s="38" t="s">
        <v>869</v>
      </c>
      <c r="D25" s="73"/>
      <c r="E25" s="73"/>
      <c r="F25" s="73"/>
      <c r="G25" s="73"/>
      <c r="H25" s="73"/>
      <c r="I25" s="73"/>
      <c r="J25" s="73"/>
      <c r="K25" s="73"/>
      <c r="L25" s="73"/>
      <c r="M25" s="73"/>
      <c r="N25" s="73"/>
      <c r="O25" s="73"/>
      <c r="P25" s="192">
        <v>1468674.09</v>
      </c>
      <c r="Q25" s="494"/>
    </row>
    <row r="26" spans="1:26">
      <c r="A26" s="655">
        <f t="shared" si="0"/>
        <v>20</v>
      </c>
      <c r="B26" s="38" t="s">
        <v>635</v>
      </c>
      <c r="C26" s="38" t="s">
        <v>870</v>
      </c>
      <c r="D26" s="73"/>
      <c r="E26" s="73"/>
      <c r="F26" s="73"/>
      <c r="G26" s="73"/>
      <c r="H26" s="73"/>
      <c r="I26" s="73"/>
      <c r="J26" s="73"/>
      <c r="K26" s="73"/>
      <c r="L26" s="73"/>
      <c r="M26" s="73"/>
      <c r="N26" s="73"/>
      <c r="O26" s="73"/>
      <c r="P26" s="192">
        <v>417960.17999999993</v>
      </c>
      <c r="Q26" s="494"/>
    </row>
    <row r="27" spans="1:26">
      <c r="A27" s="655">
        <f t="shared" si="0"/>
        <v>21</v>
      </c>
      <c r="B27" s="190" t="s">
        <v>573</v>
      </c>
      <c r="C27" s="38" t="s">
        <v>871</v>
      </c>
      <c r="D27" s="73"/>
      <c r="E27" s="73"/>
      <c r="F27" s="73"/>
      <c r="G27" s="73"/>
      <c r="H27" s="73"/>
      <c r="I27" s="73"/>
      <c r="J27" s="73"/>
      <c r="K27" s="73"/>
      <c r="L27" s="73"/>
      <c r="M27" s="73"/>
      <c r="N27" s="73"/>
      <c r="O27" s="73"/>
      <c r="P27" s="192">
        <v>0</v>
      </c>
      <c r="Q27" s="494"/>
    </row>
    <row r="28" spans="1:26">
      <c r="A28" s="655">
        <f t="shared" si="0"/>
        <v>22</v>
      </c>
      <c r="B28" s="190" t="s">
        <v>636</v>
      </c>
      <c r="C28" s="38" t="s">
        <v>872</v>
      </c>
      <c r="D28" s="73"/>
      <c r="E28" s="73"/>
      <c r="F28" s="73"/>
      <c r="G28" s="73"/>
      <c r="H28" s="73"/>
      <c r="I28" s="73"/>
      <c r="J28" s="73"/>
      <c r="K28" s="73"/>
      <c r="L28" s="73"/>
      <c r="M28" s="73"/>
      <c r="N28" s="73"/>
      <c r="O28" s="73"/>
      <c r="P28" s="179">
        <v>0</v>
      </c>
      <c r="Q28" s="494"/>
    </row>
    <row r="29" spans="1:26" s="166" customFormat="1" ht="25.5" customHeight="1">
      <c r="A29" s="691">
        <f t="shared" si="0"/>
        <v>23</v>
      </c>
      <c r="B29" s="909" t="s">
        <v>836</v>
      </c>
      <c r="C29" s="531" t="s">
        <v>873</v>
      </c>
      <c r="D29" s="73"/>
      <c r="E29" s="73"/>
      <c r="F29" s="73"/>
      <c r="G29" s="73"/>
      <c r="H29" s="73"/>
      <c r="I29" s="73"/>
      <c r="J29" s="73"/>
      <c r="K29" s="73"/>
      <c r="L29" s="73"/>
      <c r="M29" s="73"/>
      <c r="N29" s="73"/>
      <c r="O29" s="73"/>
      <c r="P29" s="693">
        <v>0</v>
      </c>
      <c r="Q29" s="884"/>
      <c r="R29" s="39"/>
      <c r="S29" s="39"/>
      <c r="T29" s="39"/>
      <c r="U29" s="39"/>
      <c r="V29" s="39"/>
      <c r="W29" s="39"/>
      <c r="X29" s="39"/>
      <c r="Y29" s="39"/>
      <c r="Z29" s="39"/>
    </row>
    <row r="30" spans="1:26" ht="13.2" customHeight="1">
      <c r="A30" s="655">
        <f t="shared" si="0"/>
        <v>24</v>
      </c>
      <c r="B30" s="970" t="s">
        <v>42</v>
      </c>
      <c r="C30" s="1080" t="str">
        <f>+"L"&amp;A23&amp;" - L"&amp;A24&amp;" + L"&amp;A25&amp;" + L"&amp;A26&amp;" - L"&amp;A27&amp;" - L"&amp;A28&amp;" + L"&amp;A29</f>
        <v>L17 - L18 + L19 + L20 - L21 - L22 + L23</v>
      </c>
      <c r="D30" s="73"/>
      <c r="E30" s="73"/>
      <c r="F30" s="73"/>
      <c r="G30" s="73"/>
      <c r="H30" s="73"/>
      <c r="I30" s="73"/>
      <c r="J30" s="73"/>
      <c r="K30" s="73"/>
      <c r="L30" s="73"/>
      <c r="M30" s="73"/>
      <c r="N30" s="73"/>
      <c r="O30" s="73"/>
      <c r="P30" s="249">
        <f>+P23-P24+P25+P26-P27-P28+P29</f>
        <v>63864211.399999999</v>
      </c>
      <c r="Q30" s="249"/>
    </row>
    <row r="31" spans="1:26">
      <c r="A31" s="655">
        <f t="shared" si="0"/>
        <v>25</v>
      </c>
      <c r="B31" s="38"/>
      <c r="C31" s="174"/>
      <c r="D31" s="73"/>
      <c r="E31" s="73"/>
      <c r="F31" s="73"/>
      <c r="G31" s="73"/>
      <c r="H31" s="73"/>
      <c r="I31" s="73"/>
      <c r="J31" s="73"/>
      <c r="K31" s="73"/>
      <c r="L31" s="73"/>
      <c r="M31" s="73"/>
      <c r="N31" s="73"/>
      <c r="O31" s="73"/>
      <c r="P31" s="73"/>
    </row>
    <row r="32" spans="1:26">
      <c r="A32" s="655">
        <f t="shared" si="0"/>
        <v>26</v>
      </c>
      <c r="B32" s="969" t="s">
        <v>46</v>
      </c>
      <c r="C32" s="38"/>
      <c r="D32" s="73"/>
      <c r="E32" s="73"/>
      <c r="F32" s="73"/>
      <c r="G32" s="73"/>
      <c r="H32" s="73"/>
      <c r="I32" s="73"/>
      <c r="J32" s="73"/>
      <c r="K32" s="73"/>
      <c r="L32" s="73"/>
      <c r="M32" s="73"/>
      <c r="N32" s="73"/>
      <c r="O32" s="73"/>
      <c r="P32" s="73"/>
    </row>
    <row r="33" spans="1:26">
      <c r="A33" s="655">
        <f t="shared" si="0"/>
        <v>27</v>
      </c>
      <c r="B33" s="38" t="s">
        <v>571</v>
      </c>
      <c r="C33" s="38" t="s">
        <v>697</v>
      </c>
      <c r="D33" s="192">
        <v>0</v>
      </c>
      <c r="E33" s="192">
        <v>0</v>
      </c>
      <c r="F33" s="192">
        <v>0</v>
      </c>
      <c r="G33" s="192">
        <v>0</v>
      </c>
      <c r="H33" s="192">
        <v>0</v>
      </c>
      <c r="I33" s="192">
        <v>0</v>
      </c>
      <c r="J33" s="192">
        <v>0</v>
      </c>
      <c r="K33" s="192">
        <v>0</v>
      </c>
      <c r="L33" s="192">
        <v>0</v>
      </c>
      <c r="M33" s="192">
        <v>0</v>
      </c>
      <c r="N33" s="192">
        <v>0</v>
      </c>
      <c r="O33" s="192">
        <v>0</v>
      </c>
      <c r="P33" s="192">
        <v>0</v>
      </c>
      <c r="Q33" s="73">
        <f t="shared" ref="Q33:Q38" si="3">SUM(D33:P33)/13</f>
        <v>0</v>
      </c>
    </row>
    <row r="34" spans="1:26">
      <c r="A34" s="655">
        <f t="shared" si="0"/>
        <v>28</v>
      </c>
      <c r="B34" s="38" t="s">
        <v>866</v>
      </c>
      <c r="C34" s="38" t="s">
        <v>704</v>
      </c>
      <c r="D34" s="192">
        <v>0</v>
      </c>
      <c r="E34" s="192">
        <v>0</v>
      </c>
      <c r="F34" s="192">
        <v>0</v>
      </c>
      <c r="G34" s="192">
        <v>0</v>
      </c>
      <c r="H34" s="192">
        <v>0</v>
      </c>
      <c r="I34" s="192">
        <v>0</v>
      </c>
      <c r="J34" s="192">
        <v>0</v>
      </c>
      <c r="K34" s="192">
        <v>0</v>
      </c>
      <c r="L34" s="192">
        <v>0</v>
      </c>
      <c r="M34" s="192">
        <v>0</v>
      </c>
      <c r="N34" s="192">
        <v>0</v>
      </c>
      <c r="O34" s="192">
        <v>0</v>
      </c>
      <c r="P34" s="192">
        <v>0</v>
      </c>
      <c r="Q34" s="73">
        <f t="shared" si="3"/>
        <v>0</v>
      </c>
    </row>
    <row r="35" spans="1:26">
      <c r="A35" s="655">
        <f t="shared" si="0"/>
        <v>29</v>
      </c>
      <c r="B35" s="38" t="s">
        <v>924</v>
      </c>
      <c r="C35" s="38" t="s">
        <v>705</v>
      </c>
      <c r="D35" s="192">
        <v>0</v>
      </c>
      <c r="E35" s="192">
        <v>0</v>
      </c>
      <c r="F35" s="192">
        <v>0</v>
      </c>
      <c r="G35" s="192">
        <v>0</v>
      </c>
      <c r="H35" s="192">
        <v>0</v>
      </c>
      <c r="I35" s="192">
        <v>0</v>
      </c>
      <c r="J35" s="192">
        <v>0</v>
      </c>
      <c r="K35" s="192">
        <v>0</v>
      </c>
      <c r="L35" s="192">
        <v>0</v>
      </c>
      <c r="M35" s="192">
        <v>0</v>
      </c>
      <c r="N35" s="192">
        <v>0</v>
      </c>
      <c r="O35" s="192">
        <v>0</v>
      </c>
      <c r="P35" s="192">
        <v>0</v>
      </c>
      <c r="Q35" s="73">
        <f t="shared" si="3"/>
        <v>0</v>
      </c>
    </row>
    <row r="36" spans="1:26">
      <c r="A36" s="655">
        <f t="shared" si="0"/>
        <v>30</v>
      </c>
      <c r="B36" s="1259" t="s">
        <v>925</v>
      </c>
      <c r="C36" s="38" t="s">
        <v>706</v>
      </c>
      <c r="D36" s="179">
        <v>0</v>
      </c>
      <c r="E36" s="179">
        <v>0</v>
      </c>
      <c r="F36" s="179">
        <v>0</v>
      </c>
      <c r="G36" s="179">
        <v>0</v>
      </c>
      <c r="H36" s="179">
        <v>0</v>
      </c>
      <c r="I36" s="179">
        <v>0</v>
      </c>
      <c r="J36" s="179">
        <v>0</v>
      </c>
      <c r="K36" s="179">
        <v>0</v>
      </c>
      <c r="L36" s="179">
        <v>0</v>
      </c>
      <c r="M36" s="179">
        <v>0</v>
      </c>
      <c r="N36" s="179">
        <v>0</v>
      </c>
      <c r="O36" s="179">
        <v>0</v>
      </c>
      <c r="P36" s="179">
        <v>0</v>
      </c>
      <c r="Q36" s="73">
        <f t="shared" si="3"/>
        <v>0</v>
      </c>
    </row>
    <row r="37" spans="1:26">
      <c r="A37" s="655">
        <f t="shared" si="0"/>
        <v>31</v>
      </c>
      <c r="B37" s="1259" t="s">
        <v>865</v>
      </c>
      <c r="C37" s="38" t="s">
        <v>707</v>
      </c>
      <c r="D37" s="179">
        <v>0</v>
      </c>
      <c r="E37" s="179">
        <v>0</v>
      </c>
      <c r="F37" s="179">
        <v>0</v>
      </c>
      <c r="G37" s="179">
        <v>0</v>
      </c>
      <c r="H37" s="179">
        <v>0</v>
      </c>
      <c r="I37" s="179">
        <v>0</v>
      </c>
      <c r="J37" s="179">
        <v>0</v>
      </c>
      <c r="K37" s="179">
        <v>0</v>
      </c>
      <c r="L37" s="179">
        <v>0</v>
      </c>
      <c r="M37" s="179">
        <v>0</v>
      </c>
      <c r="N37" s="179">
        <v>0</v>
      </c>
      <c r="O37" s="179">
        <v>0</v>
      </c>
      <c r="P37" s="179">
        <v>0</v>
      </c>
      <c r="Q37" s="73">
        <f t="shared" si="3"/>
        <v>0</v>
      </c>
    </row>
    <row r="38" spans="1:26">
      <c r="A38" s="655">
        <f t="shared" si="0"/>
        <v>32</v>
      </c>
      <c r="B38" s="1259" t="s">
        <v>926</v>
      </c>
      <c r="C38" s="38" t="s">
        <v>708</v>
      </c>
      <c r="D38" s="244">
        <v>0</v>
      </c>
      <c r="E38" s="244">
        <v>0</v>
      </c>
      <c r="F38" s="244">
        <v>0</v>
      </c>
      <c r="G38" s="244">
        <v>0</v>
      </c>
      <c r="H38" s="244">
        <v>0</v>
      </c>
      <c r="I38" s="244">
        <v>0</v>
      </c>
      <c r="J38" s="244">
        <v>0</v>
      </c>
      <c r="K38" s="244">
        <v>0</v>
      </c>
      <c r="L38" s="244">
        <v>0</v>
      </c>
      <c r="M38" s="244">
        <v>0</v>
      </c>
      <c r="N38" s="244">
        <v>0</v>
      </c>
      <c r="O38" s="244">
        <v>0</v>
      </c>
      <c r="P38" s="244">
        <v>0</v>
      </c>
      <c r="Q38" s="532">
        <f t="shared" si="3"/>
        <v>0</v>
      </c>
    </row>
    <row r="39" spans="1:26">
      <c r="A39" s="655">
        <f t="shared" si="0"/>
        <v>33</v>
      </c>
      <c r="B39" s="970" t="s">
        <v>47</v>
      </c>
      <c r="C39" s="881" t="str">
        <f>+"L"&amp;A33&amp;"+L"&amp;A34&amp;"+L"&amp;A35&amp;"-L"&amp;A36&amp;"-L"&amp;A37&amp;"-L"&amp;A38</f>
        <v>L27+L28+L29-L30-L31-L32</v>
      </c>
      <c r="D39" s="73">
        <f t="shared" ref="D39:Q39" si="4">+D33-D38+D34+D35-D36-D37</f>
        <v>0</v>
      </c>
      <c r="E39" s="73">
        <f t="shared" si="4"/>
        <v>0</v>
      </c>
      <c r="F39" s="73">
        <f t="shared" si="4"/>
        <v>0</v>
      </c>
      <c r="G39" s="73">
        <f t="shared" si="4"/>
        <v>0</v>
      </c>
      <c r="H39" s="73">
        <f t="shared" si="4"/>
        <v>0</v>
      </c>
      <c r="I39" s="73">
        <f t="shared" si="4"/>
        <v>0</v>
      </c>
      <c r="J39" s="73">
        <f t="shared" si="4"/>
        <v>0</v>
      </c>
      <c r="K39" s="73">
        <f t="shared" si="4"/>
        <v>0</v>
      </c>
      <c r="L39" s="73">
        <f t="shared" si="4"/>
        <v>0</v>
      </c>
      <c r="M39" s="73">
        <f t="shared" si="4"/>
        <v>0</v>
      </c>
      <c r="N39" s="73">
        <f t="shared" si="4"/>
        <v>0</v>
      </c>
      <c r="O39" s="73">
        <f t="shared" si="4"/>
        <v>0</v>
      </c>
      <c r="P39" s="73">
        <f t="shared" si="4"/>
        <v>0</v>
      </c>
      <c r="Q39" s="73">
        <f t="shared" si="4"/>
        <v>0</v>
      </c>
    </row>
    <row r="40" spans="1:26">
      <c r="A40" s="655">
        <f t="shared" si="0"/>
        <v>34</v>
      </c>
      <c r="B40" s="69"/>
      <c r="C40" s="69"/>
      <c r="D40" s="73"/>
      <c r="E40" s="73"/>
      <c r="F40" s="73"/>
      <c r="G40" s="73"/>
      <c r="H40" s="73"/>
      <c r="I40" s="73"/>
      <c r="J40" s="73"/>
      <c r="K40" s="73"/>
      <c r="L40" s="73"/>
      <c r="M40" s="73"/>
      <c r="N40" s="73"/>
      <c r="O40" s="73"/>
      <c r="P40" s="73"/>
      <c r="Q40" s="73"/>
    </row>
    <row r="41" spans="1:26">
      <c r="A41" s="655">
        <f t="shared" si="0"/>
        <v>35</v>
      </c>
      <c r="B41" s="40" t="s">
        <v>698</v>
      </c>
      <c r="C41" s="38" t="s">
        <v>874</v>
      </c>
      <c r="D41" s="73"/>
      <c r="E41" s="73"/>
      <c r="F41" s="73"/>
      <c r="G41" s="73"/>
      <c r="H41" s="73"/>
      <c r="I41" s="73"/>
      <c r="J41" s="73"/>
      <c r="K41" s="73"/>
      <c r="L41" s="73"/>
      <c r="M41" s="73"/>
      <c r="N41" s="73"/>
      <c r="O41" s="73"/>
      <c r="P41" s="192">
        <v>0</v>
      </c>
      <c r="Q41" s="73"/>
    </row>
    <row r="42" spans="1:26">
      <c r="A42" s="655">
        <f t="shared" si="0"/>
        <v>36</v>
      </c>
      <c r="B42" s="38"/>
      <c r="C42" s="38"/>
      <c r="D42" s="73"/>
      <c r="E42" s="73"/>
      <c r="F42" s="73"/>
      <c r="G42" s="73"/>
      <c r="H42" s="73"/>
      <c r="I42" s="73"/>
      <c r="J42" s="73"/>
      <c r="K42" s="73"/>
      <c r="L42" s="73"/>
      <c r="M42" s="73"/>
      <c r="N42" s="73"/>
      <c r="O42" s="73"/>
      <c r="P42" s="73"/>
      <c r="Q42" s="73"/>
    </row>
    <row r="43" spans="1:26">
      <c r="A43" s="655">
        <f t="shared" si="0"/>
        <v>37</v>
      </c>
      <c r="B43" s="883" t="s">
        <v>53</v>
      </c>
      <c r="C43" s="38"/>
      <c r="D43" s="73"/>
      <c r="E43" s="73"/>
      <c r="F43" s="73"/>
      <c r="G43" s="73"/>
      <c r="H43" s="73"/>
      <c r="I43" s="73"/>
      <c r="J43" s="73"/>
      <c r="K43" s="73"/>
      <c r="L43" s="73"/>
      <c r="M43" s="73"/>
      <c r="N43" s="73"/>
      <c r="O43" s="73"/>
      <c r="P43" s="73"/>
      <c r="Q43" s="73"/>
    </row>
    <row r="44" spans="1:26">
      <c r="A44" s="655">
        <f t="shared" si="0"/>
        <v>38</v>
      </c>
      <c r="B44" s="38" t="s">
        <v>115</v>
      </c>
      <c r="C44" s="38" t="s">
        <v>699</v>
      </c>
      <c r="D44" s="192">
        <v>961457113</v>
      </c>
      <c r="E44" s="192">
        <v>966310967.3866663</v>
      </c>
      <c r="F44" s="192">
        <v>970998425.50333393</v>
      </c>
      <c r="G44" s="192">
        <v>976018676.16000009</v>
      </c>
      <c r="H44" s="192">
        <v>984037894.49333334</v>
      </c>
      <c r="I44" s="192">
        <v>992057112.82666683</v>
      </c>
      <c r="J44" s="192">
        <v>1000076331.1600001</v>
      </c>
      <c r="K44" s="192">
        <v>1018787526.1600003</v>
      </c>
      <c r="L44" s="192">
        <v>1037498721.1599998</v>
      </c>
      <c r="M44" s="192">
        <v>1056209916.1600001</v>
      </c>
      <c r="N44" s="192">
        <v>1060471635.4933333</v>
      </c>
      <c r="O44" s="192">
        <v>1064733354.8266668</v>
      </c>
      <c r="P44" s="192">
        <v>1068995074.1600001</v>
      </c>
      <c r="Q44" s="73">
        <f>SUM(D44:P44)/13</f>
        <v>1012127134.4992309</v>
      </c>
    </row>
    <row r="45" spans="1:26">
      <c r="A45" s="655">
        <f t="shared" si="0"/>
        <v>39</v>
      </c>
      <c r="B45" s="190" t="s">
        <v>491</v>
      </c>
      <c r="C45" s="38" t="str">
        <f>+"L"&amp;A39&amp;" Above"</f>
        <v>L33 Above</v>
      </c>
      <c r="D45" s="73">
        <f>+D39</f>
        <v>0</v>
      </c>
      <c r="E45" s="73">
        <f t="shared" ref="E45:P45" si="5">+E39</f>
        <v>0</v>
      </c>
      <c r="F45" s="73">
        <f t="shared" si="5"/>
        <v>0</v>
      </c>
      <c r="G45" s="73">
        <f t="shared" si="5"/>
        <v>0</v>
      </c>
      <c r="H45" s="73">
        <f t="shared" si="5"/>
        <v>0</v>
      </c>
      <c r="I45" s="73">
        <f t="shared" si="5"/>
        <v>0</v>
      </c>
      <c r="J45" s="73">
        <f t="shared" si="5"/>
        <v>0</v>
      </c>
      <c r="K45" s="73">
        <f t="shared" si="5"/>
        <v>0</v>
      </c>
      <c r="L45" s="73">
        <f t="shared" si="5"/>
        <v>0</v>
      </c>
      <c r="M45" s="73">
        <f t="shared" si="5"/>
        <v>0</v>
      </c>
      <c r="N45" s="73">
        <f t="shared" si="5"/>
        <v>0</v>
      </c>
      <c r="O45" s="73">
        <f t="shared" si="5"/>
        <v>0</v>
      </c>
      <c r="P45" s="73">
        <f t="shared" si="5"/>
        <v>0</v>
      </c>
      <c r="Q45" s="73">
        <f>SUM(D45:P45)/13</f>
        <v>0</v>
      </c>
    </row>
    <row r="46" spans="1:26" s="166" customFormat="1" ht="26.25" customHeight="1">
      <c r="A46" s="691">
        <f t="shared" si="0"/>
        <v>40</v>
      </c>
      <c r="B46" s="909" t="s">
        <v>637</v>
      </c>
      <c r="C46" s="531" t="s">
        <v>700</v>
      </c>
      <c r="D46" s="692">
        <v>-25671050</v>
      </c>
      <c r="E46" s="692">
        <v>-25775366.666666701</v>
      </c>
      <c r="F46" s="692">
        <v>-25879683.333333299</v>
      </c>
      <c r="G46" s="692">
        <v>-25984000</v>
      </c>
      <c r="H46" s="692">
        <v>-26088225.666666701</v>
      </c>
      <c r="I46" s="692">
        <v>-26192451.333333299</v>
      </c>
      <c r="J46" s="692">
        <v>-26296677</v>
      </c>
      <c r="K46" s="692">
        <v>-26356136.666666701</v>
      </c>
      <c r="L46" s="692">
        <v>-26415596.333333299</v>
      </c>
      <c r="M46" s="692">
        <v>-26475056</v>
      </c>
      <c r="N46" s="692">
        <v>-26475192.666666701</v>
      </c>
      <c r="O46" s="692">
        <v>-26475329.333333299</v>
      </c>
      <c r="P46" s="692">
        <v>-26475466</v>
      </c>
      <c r="Q46" s="886">
        <f>SUM(D46:P46)/13</f>
        <v>-26196940.846153848</v>
      </c>
      <c r="R46" s="39"/>
      <c r="S46" s="39"/>
      <c r="T46" s="39"/>
      <c r="U46" s="39"/>
      <c r="V46" s="39"/>
      <c r="W46" s="39"/>
      <c r="X46" s="39"/>
      <c r="Y46" s="39"/>
      <c r="Z46" s="39"/>
    </row>
    <row r="47" spans="1:26">
      <c r="A47" s="655">
        <f t="shared" si="0"/>
        <v>41</v>
      </c>
      <c r="B47" s="190" t="s">
        <v>577</v>
      </c>
      <c r="C47" s="38" t="s">
        <v>701</v>
      </c>
      <c r="D47" s="192">
        <v>0</v>
      </c>
      <c r="E47" s="192">
        <v>0</v>
      </c>
      <c r="F47" s="192">
        <v>0</v>
      </c>
      <c r="G47" s="192">
        <v>0</v>
      </c>
      <c r="H47" s="192">
        <v>0</v>
      </c>
      <c r="I47" s="192">
        <v>0</v>
      </c>
      <c r="J47" s="192">
        <v>0</v>
      </c>
      <c r="K47" s="192">
        <v>0</v>
      </c>
      <c r="L47" s="192">
        <v>0</v>
      </c>
      <c r="M47" s="192">
        <v>0</v>
      </c>
      <c r="N47" s="192">
        <v>0</v>
      </c>
      <c r="O47" s="192">
        <v>0</v>
      </c>
      <c r="P47" s="192">
        <v>0</v>
      </c>
      <c r="Q47" s="73">
        <f>SUM(D47:P47)/13</f>
        <v>0</v>
      </c>
    </row>
    <row r="48" spans="1:26">
      <c r="A48" s="655">
        <f t="shared" si="0"/>
        <v>42</v>
      </c>
      <c r="B48" s="970" t="s">
        <v>44</v>
      </c>
      <c r="C48" s="881" t="str">
        <f>+"L"&amp;A44&amp;" - (L"&amp;A45&amp;" to L"&amp;A47&amp;")"</f>
        <v>L38 - (L39 to L41)</v>
      </c>
      <c r="D48" s="882">
        <f>+D44-D45-D46-D47</f>
        <v>987128163</v>
      </c>
      <c r="E48" s="882">
        <f t="shared" ref="E48:Q48" si="6">+E44-E45-E46-E47</f>
        <v>992086334.05333304</v>
      </c>
      <c r="F48" s="882">
        <f t="shared" si="6"/>
        <v>996878108.83666718</v>
      </c>
      <c r="G48" s="882">
        <f t="shared" si="6"/>
        <v>1002002676.1600001</v>
      </c>
      <c r="H48" s="882">
        <f t="shared" si="6"/>
        <v>1010126120.1600001</v>
      </c>
      <c r="I48" s="882">
        <f t="shared" si="6"/>
        <v>1018249564.1600001</v>
      </c>
      <c r="J48" s="882">
        <f t="shared" si="6"/>
        <v>1026373008.1600001</v>
      </c>
      <c r="K48" s="882">
        <f t="shared" si="6"/>
        <v>1045143662.8266671</v>
      </c>
      <c r="L48" s="882">
        <f t="shared" si="6"/>
        <v>1063914317.4933331</v>
      </c>
      <c r="M48" s="882">
        <f t="shared" si="6"/>
        <v>1082684972.1600001</v>
      </c>
      <c r="N48" s="882">
        <f t="shared" si="6"/>
        <v>1086946828.1600001</v>
      </c>
      <c r="O48" s="882">
        <f t="shared" si="6"/>
        <v>1091208684.1600001</v>
      </c>
      <c r="P48" s="882">
        <f t="shared" si="6"/>
        <v>1095470540.1600001</v>
      </c>
      <c r="Q48" s="882">
        <f t="shared" si="6"/>
        <v>1038324075.3453847</v>
      </c>
    </row>
    <row r="49" spans="1:26" s="689" customFormat="1">
      <c r="A49" s="688"/>
      <c r="B49" s="918"/>
      <c r="C49" s="918"/>
      <c r="D49" s="690"/>
      <c r="E49" s="690"/>
      <c r="F49" s="690"/>
      <c r="G49" s="690"/>
      <c r="H49" s="690"/>
      <c r="I49" s="690"/>
      <c r="J49" s="690"/>
      <c r="K49" s="690"/>
      <c r="L49" s="690"/>
      <c r="M49" s="690"/>
      <c r="N49" s="690"/>
      <c r="O49" s="690"/>
      <c r="P49" s="690"/>
      <c r="Q49" s="690"/>
      <c r="R49" s="39"/>
      <c r="S49" s="39"/>
      <c r="T49" s="39"/>
      <c r="U49" s="39"/>
      <c r="V49" s="39"/>
      <c r="W49" s="39"/>
      <c r="X49" s="39"/>
      <c r="Y49" s="39"/>
      <c r="Z49" s="39"/>
    </row>
    <row r="50" spans="1:26">
      <c r="A50" s="655" t="s">
        <v>124</v>
      </c>
      <c r="B50" s="38"/>
      <c r="C50" s="38"/>
      <c r="D50" s="73"/>
      <c r="E50" s="73"/>
      <c r="F50" s="73"/>
      <c r="G50" s="73"/>
      <c r="H50" s="73"/>
      <c r="I50" s="73"/>
      <c r="J50" s="73"/>
      <c r="K50" s="73"/>
      <c r="L50" s="73"/>
      <c r="M50" s="73"/>
      <c r="N50" s="73"/>
      <c r="O50" s="73"/>
      <c r="P50" s="236"/>
      <c r="Q50" s="73"/>
    </row>
    <row r="51" spans="1:26">
      <c r="A51" s="887" t="s">
        <v>170</v>
      </c>
      <c r="B51" s="531" t="s">
        <v>559</v>
      </c>
      <c r="C51" s="531"/>
      <c r="D51" s="531"/>
      <c r="E51" s="531"/>
      <c r="F51" s="531"/>
      <c r="G51" s="531"/>
      <c r="H51" s="531"/>
      <c r="I51" s="531"/>
      <c r="J51" s="531"/>
      <c r="K51" s="531"/>
      <c r="L51" s="531"/>
      <c r="M51" s="531"/>
      <c r="N51" s="531"/>
      <c r="O51" s="531"/>
      <c r="P51" s="531"/>
      <c r="Q51" s="886"/>
    </row>
    <row r="52" spans="1:26" s="38" customFormat="1">
      <c r="A52" s="887" t="s">
        <v>316</v>
      </c>
      <c r="B52" s="531" t="s">
        <v>854</v>
      </c>
      <c r="C52" s="531"/>
      <c r="D52" s="531"/>
      <c r="E52" s="531"/>
      <c r="F52" s="531"/>
      <c r="G52" s="531"/>
      <c r="H52" s="531"/>
      <c r="I52" s="531"/>
      <c r="J52" s="531"/>
      <c r="K52" s="531"/>
      <c r="L52" s="531"/>
      <c r="M52" s="531"/>
      <c r="N52" s="531"/>
      <c r="O52" s="531"/>
      <c r="P52" s="531"/>
      <c r="Q52" s="886"/>
      <c r="R52" s="886"/>
      <c r="S52" s="886"/>
      <c r="T52" s="886"/>
    </row>
    <row r="53" spans="1:26" s="38" customFormat="1">
      <c r="A53" s="887" t="s">
        <v>317</v>
      </c>
      <c r="B53" s="531" t="s">
        <v>837</v>
      </c>
      <c r="C53" s="531"/>
      <c r="D53" s="531"/>
      <c r="E53" s="531"/>
      <c r="F53" s="531"/>
      <c r="G53" s="531"/>
      <c r="H53" s="531"/>
      <c r="I53" s="531"/>
      <c r="J53" s="531"/>
      <c r="K53" s="531"/>
      <c r="L53" s="531"/>
      <c r="M53" s="531"/>
      <c r="N53" s="531"/>
      <c r="O53" s="531"/>
      <c r="P53" s="531"/>
      <c r="Q53" s="886"/>
    </row>
    <row r="54" spans="1:26" s="38" customFormat="1">
      <c r="A54" s="1120" t="s">
        <v>318</v>
      </c>
      <c r="B54" s="38" t="s">
        <v>919</v>
      </c>
      <c r="D54" s="207"/>
      <c r="E54" s="207"/>
      <c r="F54" s="207"/>
      <c r="G54" s="207"/>
      <c r="H54" s="207"/>
      <c r="I54" s="207"/>
      <c r="J54" s="207"/>
      <c r="K54" s="207"/>
      <c r="L54" s="207"/>
      <c r="M54" s="207"/>
      <c r="N54" s="207"/>
      <c r="O54" s="207"/>
      <c r="Q54" s="73"/>
    </row>
    <row r="55" spans="1:26" s="38" customFormat="1" ht="15">
      <c r="A55" s="1259"/>
      <c r="B55" s="1278"/>
      <c r="C55" s="1278"/>
      <c r="D55" s="1279"/>
      <c r="E55" s="865"/>
      <c r="F55" s="207"/>
      <c r="G55" s="207"/>
      <c r="H55" s="207"/>
      <c r="I55" s="207"/>
      <c r="J55" s="207"/>
      <c r="K55" s="207"/>
      <c r="L55" s="207"/>
      <c r="M55" s="207"/>
      <c r="N55" s="207"/>
      <c r="O55" s="207"/>
      <c r="Q55" s="73"/>
    </row>
    <row r="56" spans="1:26" s="38" customFormat="1">
      <c r="A56" s="1259"/>
      <c r="B56" s="866"/>
      <c r="C56" s="810"/>
      <c r="D56" s="73"/>
      <c r="E56" s="73"/>
      <c r="Q56" s="73"/>
    </row>
    <row r="57" spans="1:26" s="38" customFormat="1">
      <c r="A57" s="1259"/>
      <c r="B57" s="866"/>
      <c r="C57" s="810"/>
      <c r="D57" s="73"/>
      <c r="E57" s="73"/>
      <c r="Q57" s="73"/>
    </row>
  </sheetData>
  <mergeCells count="3">
    <mergeCell ref="A1:C1"/>
    <mergeCell ref="A2:C2"/>
    <mergeCell ref="A3:C3"/>
  </mergeCells>
  <phoneticPr fontId="56" type="noConversion"/>
  <pageMargins left="0.7" right="0.7" top="0.7" bottom="0.7" header="0.3" footer="0.5"/>
  <pageSetup scale="66" orientation="landscape" r:id="rId1"/>
  <headerFooter>
    <oddFooter>&amp;CPage &amp;P of &amp;N&amp;R&amp;A</oddFooter>
  </headerFooter>
  <ignoredErrors>
    <ignoredError sqref="A51:A54"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M107"/>
  <sheetViews>
    <sheetView workbookViewId="0">
      <selection activeCell="A9" sqref="A9"/>
    </sheetView>
  </sheetViews>
  <sheetFormatPr defaultColWidth="9.109375" defaultRowHeight="13.2"/>
  <cols>
    <col min="1" max="1" width="5.33203125" style="643" customWidth="1"/>
    <col min="2" max="2" width="48.6640625" style="173" bestFit="1" customWidth="1"/>
    <col min="3" max="3" width="12.88671875" style="173" customWidth="1"/>
    <col min="4" max="4" width="17.33203125" style="173" bestFit="1" customWidth="1"/>
    <col min="5" max="5" width="14.109375" style="173" bestFit="1" customWidth="1"/>
    <col min="6" max="7" width="14.33203125" style="173" bestFit="1" customWidth="1"/>
    <col min="8" max="249" width="9.109375" style="173"/>
    <col min="250" max="250" width="24.88671875" style="173" customWidth="1"/>
    <col min="251" max="256" width="17.88671875" style="173" customWidth="1"/>
    <col min="257" max="257" width="15.5546875" style="173" bestFit="1" customWidth="1"/>
    <col min="258" max="258" width="8.6640625" style="173" customWidth="1"/>
    <col min="259" max="259" width="14.5546875" style="173" bestFit="1" customWidth="1"/>
    <col min="260" max="505" width="9.109375" style="173"/>
    <col min="506" max="506" width="24.88671875" style="173" customWidth="1"/>
    <col min="507" max="512" width="17.88671875" style="173" customWidth="1"/>
    <col min="513" max="513" width="15.5546875" style="173" bestFit="1" customWidth="1"/>
    <col min="514" max="514" width="8.6640625" style="173" customWidth="1"/>
    <col min="515" max="515" width="14.5546875" style="173" bestFit="1" customWidth="1"/>
    <col min="516" max="761" width="9.109375" style="173"/>
    <col min="762" max="762" width="24.88671875" style="173" customWidth="1"/>
    <col min="763" max="768" width="17.88671875" style="173" customWidth="1"/>
    <col min="769" max="769" width="15.5546875" style="173" bestFit="1" customWidth="1"/>
    <col min="770" max="770" width="8.6640625" style="173" customWidth="1"/>
    <col min="771" max="771" width="14.5546875" style="173" bestFit="1" customWidth="1"/>
    <col min="772" max="1017" width="9.109375" style="173"/>
    <col min="1018" max="1018" width="24.88671875" style="173" customWidth="1"/>
    <col min="1019" max="1024" width="17.88671875" style="173" customWidth="1"/>
    <col min="1025" max="1025" width="15.5546875" style="173" bestFit="1" customWidth="1"/>
    <col min="1026" max="1026" width="8.6640625" style="173" customWidth="1"/>
    <col min="1027" max="1027" width="14.5546875" style="173" bestFit="1" customWidth="1"/>
    <col min="1028" max="1273" width="9.109375" style="173"/>
    <col min="1274" max="1274" width="24.88671875" style="173" customWidth="1"/>
    <col min="1275" max="1280" width="17.88671875" style="173" customWidth="1"/>
    <col min="1281" max="1281" width="15.5546875" style="173" bestFit="1" customWidth="1"/>
    <col min="1282" max="1282" width="8.6640625" style="173" customWidth="1"/>
    <col min="1283" max="1283" width="14.5546875" style="173" bestFit="1" customWidth="1"/>
    <col min="1284" max="1529" width="9.109375" style="173"/>
    <col min="1530" max="1530" width="24.88671875" style="173" customWidth="1"/>
    <col min="1531" max="1536" width="17.88671875" style="173" customWidth="1"/>
    <col min="1537" max="1537" width="15.5546875" style="173" bestFit="1" customWidth="1"/>
    <col min="1538" max="1538" width="8.6640625" style="173" customWidth="1"/>
    <col min="1539" max="1539" width="14.5546875" style="173" bestFit="1" customWidth="1"/>
    <col min="1540" max="1785" width="9.109375" style="173"/>
    <col min="1786" max="1786" width="24.88671875" style="173" customWidth="1"/>
    <col min="1787" max="1792" width="17.88671875" style="173" customWidth="1"/>
    <col min="1793" max="1793" width="15.5546875" style="173" bestFit="1" customWidth="1"/>
    <col min="1794" max="1794" width="8.6640625" style="173" customWidth="1"/>
    <col min="1795" max="1795" width="14.5546875" style="173" bestFit="1" customWidth="1"/>
    <col min="1796" max="2041" width="9.109375" style="173"/>
    <col min="2042" max="2042" width="24.88671875" style="173" customWidth="1"/>
    <col min="2043" max="2048" width="17.88671875" style="173" customWidth="1"/>
    <col min="2049" max="2049" width="15.5546875" style="173" bestFit="1" customWidth="1"/>
    <col min="2050" max="2050" width="8.6640625" style="173" customWidth="1"/>
    <col min="2051" max="2051" width="14.5546875" style="173" bestFit="1" customWidth="1"/>
    <col min="2052" max="2297" width="9.109375" style="173"/>
    <col min="2298" max="2298" width="24.88671875" style="173" customWidth="1"/>
    <col min="2299" max="2304" width="17.88671875" style="173" customWidth="1"/>
    <col min="2305" max="2305" width="15.5546875" style="173" bestFit="1" customWidth="1"/>
    <col min="2306" max="2306" width="8.6640625" style="173" customWidth="1"/>
    <col min="2307" max="2307" width="14.5546875" style="173" bestFit="1" customWidth="1"/>
    <col min="2308" max="2553" width="9.109375" style="173"/>
    <col min="2554" max="2554" width="24.88671875" style="173" customWidth="1"/>
    <col min="2555" max="2560" width="17.88671875" style="173" customWidth="1"/>
    <col min="2561" max="2561" width="15.5546875" style="173" bestFit="1" customWidth="1"/>
    <col min="2562" max="2562" width="8.6640625" style="173" customWidth="1"/>
    <col min="2563" max="2563" width="14.5546875" style="173" bestFit="1" customWidth="1"/>
    <col min="2564" max="2809" width="9.109375" style="173"/>
    <col min="2810" max="2810" width="24.88671875" style="173" customWidth="1"/>
    <col min="2811" max="2816" width="17.88671875" style="173" customWidth="1"/>
    <col min="2817" max="2817" width="15.5546875" style="173" bestFit="1" customWidth="1"/>
    <col min="2818" max="2818" width="8.6640625" style="173" customWidth="1"/>
    <col min="2819" max="2819" width="14.5546875" style="173" bestFit="1" customWidth="1"/>
    <col min="2820" max="3065" width="9.109375" style="173"/>
    <col min="3066" max="3066" width="24.88671875" style="173" customWidth="1"/>
    <col min="3067" max="3072" width="17.88671875" style="173" customWidth="1"/>
    <col min="3073" max="3073" width="15.5546875" style="173" bestFit="1" customWidth="1"/>
    <col min="3074" max="3074" width="8.6640625" style="173" customWidth="1"/>
    <col min="3075" max="3075" width="14.5546875" style="173" bestFit="1" customWidth="1"/>
    <col min="3076" max="3321" width="9.109375" style="173"/>
    <col min="3322" max="3322" width="24.88671875" style="173" customWidth="1"/>
    <col min="3323" max="3328" width="17.88671875" style="173" customWidth="1"/>
    <col min="3329" max="3329" width="15.5546875" style="173" bestFit="1" customWidth="1"/>
    <col min="3330" max="3330" width="8.6640625" style="173" customWidth="1"/>
    <col min="3331" max="3331" width="14.5546875" style="173" bestFit="1" customWidth="1"/>
    <col min="3332" max="3577" width="9.109375" style="173"/>
    <col min="3578" max="3578" width="24.88671875" style="173" customWidth="1"/>
    <col min="3579" max="3584" width="17.88671875" style="173" customWidth="1"/>
    <col min="3585" max="3585" width="15.5546875" style="173" bestFit="1" customWidth="1"/>
    <col min="3586" max="3586" width="8.6640625" style="173" customWidth="1"/>
    <col min="3587" max="3587" width="14.5546875" style="173" bestFit="1" customWidth="1"/>
    <col min="3588" max="3833" width="9.109375" style="173"/>
    <col min="3834" max="3834" width="24.88671875" style="173" customWidth="1"/>
    <col min="3835" max="3840" width="17.88671875" style="173" customWidth="1"/>
    <col min="3841" max="3841" width="15.5546875" style="173" bestFit="1" customWidth="1"/>
    <col min="3842" max="3842" width="8.6640625" style="173" customWidth="1"/>
    <col min="3843" max="3843" width="14.5546875" style="173" bestFit="1" customWidth="1"/>
    <col min="3844" max="4089" width="9.109375" style="173"/>
    <col min="4090" max="4090" width="24.88671875" style="173" customWidth="1"/>
    <col min="4091" max="4096" width="17.88671875" style="173" customWidth="1"/>
    <col min="4097" max="4097" width="15.5546875" style="173" bestFit="1" customWidth="1"/>
    <col min="4098" max="4098" width="8.6640625" style="173" customWidth="1"/>
    <col min="4099" max="4099" width="14.5546875" style="173" bestFit="1" customWidth="1"/>
    <col min="4100" max="4345" width="9.109375" style="173"/>
    <col min="4346" max="4346" width="24.88671875" style="173" customWidth="1"/>
    <col min="4347" max="4352" width="17.88671875" style="173" customWidth="1"/>
    <col min="4353" max="4353" width="15.5546875" style="173" bestFit="1" customWidth="1"/>
    <col min="4354" max="4354" width="8.6640625" style="173" customWidth="1"/>
    <col min="4355" max="4355" width="14.5546875" style="173" bestFit="1" customWidth="1"/>
    <col min="4356" max="4601" width="9.109375" style="173"/>
    <col min="4602" max="4602" width="24.88671875" style="173" customWidth="1"/>
    <col min="4603" max="4608" width="17.88671875" style="173" customWidth="1"/>
    <col min="4609" max="4609" width="15.5546875" style="173" bestFit="1" customWidth="1"/>
    <col min="4610" max="4610" width="8.6640625" style="173" customWidth="1"/>
    <col min="4611" max="4611" width="14.5546875" style="173" bestFit="1" customWidth="1"/>
    <col min="4612" max="4857" width="9.109375" style="173"/>
    <col min="4858" max="4858" width="24.88671875" style="173" customWidth="1"/>
    <col min="4859" max="4864" width="17.88671875" style="173" customWidth="1"/>
    <col min="4865" max="4865" width="15.5546875" style="173" bestFit="1" customWidth="1"/>
    <col min="4866" max="4866" width="8.6640625" style="173" customWidth="1"/>
    <col min="4867" max="4867" width="14.5546875" style="173" bestFit="1" customWidth="1"/>
    <col min="4868" max="5113" width="9.109375" style="173"/>
    <col min="5114" max="5114" width="24.88671875" style="173" customWidth="1"/>
    <col min="5115" max="5120" width="17.88671875" style="173" customWidth="1"/>
    <col min="5121" max="5121" width="15.5546875" style="173" bestFit="1" customWidth="1"/>
    <col min="5122" max="5122" width="8.6640625" style="173" customWidth="1"/>
    <col min="5123" max="5123" width="14.5546875" style="173" bestFit="1" customWidth="1"/>
    <col min="5124" max="5369" width="9.109375" style="173"/>
    <col min="5370" max="5370" width="24.88671875" style="173" customWidth="1"/>
    <col min="5371" max="5376" width="17.88671875" style="173" customWidth="1"/>
    <col min="5377" max="5377" width="15.5546875" style="173" bestFit="1" customWidth="1"/>
    <col min="5378" max="5378" width="8.6640625" style="173" customWidth="1"/>
    <col min="5379" max="5379" width="14.5546875" style="173" bestFit="1" customWidth="1"/>
    <col min="5380" max="5625" width="9.109375" style="173"/>
    <col min="5626" max="5626" width="24.88671875" style="173" customWidth="1"/>
    <col min="5627" max="5632" width="17.88671875" style="173" customWidth="1"/>
    <col min="5633" max="5633" width="15.5546875" style="173" bestFit="1" customWidth="1"/>
    <col min="5634" max="5634" width="8.6640625" style="173" customWidth="1"/>
    <col min="5635" max="5635" width="14.5546875" style="173" bestFit="1" customWidth="1"/>
    <col min="5636" max="5881" width="9.109375" style="173"/>
    <col min="5882" max="5882" width="24.88671875" style="173" customWidth="1"/>
    <col min="5883" max="5888" width="17.88671875" style="173" customWidth="1"/>
    <col min="5889" max="5889" width="15.5546875" style="173" bestFit="1" customWidth="1"/>
    <col min="5890" max="5890" width="8.6640625" style="173" customWidth="1"/>
    <col min="5891" max="5891" width="14.5546875" style="173" bestFit="1" customWidth="1"/>
    <col min="5892" max="6137" width="9.109375" style="173"/>
    <col min="6138" max="6138" width="24.88671875" style="173" customWidth="1"/>
    <col min="6139" max="6144" width="17.88671875" style="173" customWidth="1"/>
    <col min="6145" max="6145" width="15.5546875" style="173" bestFit="1" customWidth="1"/>
    <col min="6146" max="6146" width="8.6640625" style="173" customWidth="1"/>
    <col min="6147" max="6147" width="14.5546875" style="173" bestFit="1" customWidth="1"/>
    <col min="6148" max="6393" width="9.109375" style="173"/>
    <col min="6394" max="6394" width="24.88671875" style="173" customWidth="1"/>
    <col min="6395" max="6400" width="17.88671875" style="173" customWidth="1"/>
    <col min="6401" max="6401" width="15.5546875" style="173" bestFit="1" customWidth="1"/>
    <col min="6402" max="6402" width="8.6640625" style="173" customWidth="1"/>
    <col min="6403" max="6403" width="14.5546875" style="173" bestFit="1" customWidth="1"/>
    <col min="6404" max="6649" width="9.109375" style="173"/>
    <col min="6650" max="6650" width="24.88671875" style="173" customWidth="1"/>
    <col min="6651" max="6656" width="17.88671875" style="173" customWidth="1"/>
    <col min="6657" max="6657" width="15.5546875" style="173" bestFit="1" customWidth="1"/>
    <col min="6658" max="6658" width="8.6640625" style="173" customWidth="1"/>
    <col min="6659" max="6659" width="14.5546875" style="173" bestFit="1" customWidth="1"/>
    <col min="6660" max="6905" width="9.109375" style="173"/>
    <col min="6906" max="6906" width="24.88671875" style="173" customWidth="1"/>
    <col min="6907" max="6912" width="17.88671875" style="173" customWidth="1"/>
    <col min="6913" max="6913" width="15.5546875" style="173" bestFit="1" customWidth="1"/>
    <col min="6914" max="6914" width="8.6640625" style="173" customWidth="1"/>
    <col min="6915" max="6915" width="14.5546875" style="173" bestFit="1" customWidth="1"/>
    <col min="6916" max="7161" width="9.109375" style="173"/>
    <col min="7162" max="7162" width="24.88671875" style="173" customWidth="1"/>
    <col min="7163" max="7168" width="17.88671875" style="173" customWidth="1"/>
    <col min="7169" max="7169" width="15.5546875" style="173" bestFit="1" customWidth="1"/>
    <col min="7170" max="7170" width="8.6640625" style="173" customWidth="1"/>
    <col min="7171" max="7171" width="14.5546875" style="173" bestFit="1" customWidth="1"/>
    <col min="7172" max="7417" width="9.109375" style="173"/>
    <col min="7418" max="7418" width="24.88671875" style="173" customWidth="1"/>
    <col min="7419" max="7424" width="17.88671875" style="173" customWidth="1"/>
    <col min="7425" max="7425" width="15.5546875" style="173" bestFit="1" customWidth="1"/>
    <col min="7426" max="7426" width="8.6640625" style="173" customWidth="1"/>
    <col min="7427" max="7427" width="14.5546875" style="173" bestFit="1" customWidth="1"/>
    <col min="7428" max="7673" width="9.109375" style="173"/>
    <col min="7674" max="7674" width="24.88671875" style="173" customWidth="1"/>
    <col min="7675" max="7680" width="17.88671875" style="173" customWidth="1"/>
    <col min="7681" max="7681" width="15.5546875" style="173" bestFit="1" customWidth="1"/>
    <col min="7682" max="7682" width="8.6640625" style="173" customWidth="1"/>
    <col min="7683" max="7683" width="14.5546875" style="173" bestFit="1" customWidth="1"/>
    <col min="7684" max="7929" width="9.109375" style="173"/>
    <col min="7930" max="7930" width="24.88671875" style="173" customWidth="1"/>
    <col min="7931" max="7936" width="17.88671875" style="173" customWidth="1"/>
    <col min="7937" max="7937" width="15.5546875" style="173" bestFit="1" customWidth="1"/>
    <col min="7938" max="7938" width="8.6640625" style="173" customWidth="1"/>
    <col min="7939" max="7939" width="14.5546875" style="173" bestFit="1" customWidth="1"/>
    <col min="7940" max="8185" width="9.109375" style="173"/>
    <col min="8186" max="8186" width="24.88671875" style="173" customWidth="1"/>
    <col min="8187" max="8192" width="17.88671875" style="173" customWidth="1"/>
    <col min="8193" max="8193" width="15.5546875" style="173" bestFit="1" customWidth="1"/>
    <col min="8194" max="8194" width="8.6640625" style="173" customWidth="1"/>
    <col min="8195" max="8195" width="14.5546875" style="173" bestFit="1" customWidth="1"/>
    <col min="8196" max="8441" width="9.109375" style="173"/>
    <col min="8442" max="8442" width="24.88671875" style="173" customWidth="1"/>
    <col min="8443" max="8448" width="17.88671875" style="173" customWidth="1"/>
    <col min="8449" max="8449" width="15.5546875" style="173" bestFit="1" customWidth="1"/>
    <col min="8450" max="8450" width="8.6640625" style="173" customWidth="1"/>
    <col min="8451" max="8451" width="14.5546875" style="173" bestFit="1" customWidth="1"/>
    <col min="8452" max="8697" width="9.109375" style="173"/>
    <col min="8698" max="8698" width="24.88671875" style="173" customWidth="1"/>
    <col min="8699" max="8704" width="17.88671875" style="173" customWidth="1"/>
    <col min="8705" max="8705" width="15.5546875" style="173" bestFit="1" customWidth="1"/>
    <col min="8706" max="8706" width="8.6640625" style="173" customWidth="1"/>
    <col min="8707" max="8707" width="14.5546875" style="173" bestFit="1" customWidth="1"/>
    <col min="8708" max="8953" width="9.109375" style="173"/>
    <col min="8954" max="8954" width="24.88671875" style="173" customWidth="1"/>
    <col min="8955" max="8960" width="17.88671875" style="173" customWidth="1"/>
    <col min="8961" max="8961" width="15.5546875" style="173" bestFit="1" customWidth="1"/>
    <col min="8962" max="8962" width="8.6640625" style="173" customWidth="1"/>
    <col min="8963" max="8963" width="14.5546875" style="173" bestFit="1" customWidth="1"/>
    <col min="8964" max="9209" width="9.109375" style="173"/>
    <col min="9210" max="9210" width="24.88671875" style="173" customWidth="1"/>
    <col min="9211" max="9216" width="17.88671875" style="173" customWidth="1"/>
    <col min="9217" max="9217" width="15.5546875" style="173" bestFit="1" customWidth="1"/>
    <col min="9218" max="9218" width="8.6640625" style="173" customWidth="1"/>
    <col min="9219" max="9219" width="14.5546875" style="173" bestFit="1" customWidth="1"/>
    <col min="9220" max="9465" width="9.109375" style="173"/>
    <col min="9466" max="9466" width="24.88671875" style="173" customWidth="1"/>
    <col min="9467" max="9472" width="17.88671875" style="173" customWidth="1"/>
    <col min="9473" max="9473" width="15.5546875" style="173" bestFit="1" customWidth="1"/>
    <col min="9474" max="9474" width="8.6640625" style="173" customWidth="1"/>
    <col min="9475" max="9475" width="14.5546875" style="173" bestFit="1" customWidth="1"/>
    <col min="9476" max="9721" width="9.109375" style="173"/>
    <col min="9722" max="9722" width="24.88671875" style="173" customWidth="1"/>
    <col min="9723" max="9728" width="17.88671875" style="173" customWidth="1"/>
    <col min="9729" max="9729" width="15.5546875" style="173" bestFit="1" customWidth="1"/>
    <col min="9730" max="9730" width="8.6640625" style="173" customWidth="1"/>
    <col min="9731" max="9731" width="14.5546875" style="173" bestFit="1" customWidth="1"/>
    <col min="9732" max="9977" width="9.109375" style="173"/>
    <col min="9978" max="9978" width="24.88671875" style="173" customWidth="1"/>
    <col min="9979" max="9984" width="17.88671875" style="173" customWidth="1"/>
    <col min="9985" max="9985" width="15.5546875" style="173" bestFit="1" customWidth="1"/>
    <col min="9986" max="9986" width="8.6640625" style="173" customWidth="1"/>
    <col min="9987" max="9987" width="14.5546875" style="173" bestFit="1" customWidth="1"/>
    <col min="9988" max="10233" width="9.109375" style="173"/>
    <col min="10234" max="10234" width="24.88671875" style="173" customWidth="1"/>
    <col min="10235" max="10240" width="17.88671875" style="173" customWidth="1"/>
    <col min="10241" max="10241" width="15.5546875" style="173" bestFit="1" customWidth="1"/>
    <col min="10242" max="10242" width="8.6640625" style="173" customWidth="1"/>
    <col min="10243" max="10243" width="14.5546875" style="173" bestFit="1" customWidth="1"/>
    <col min="10244" max="10489" width="9.109375" style="173"/>
    <col min="10490" max="10490" width="24.88671875" style="173" customWidth="1"/>
    <col min="10491" max="10496" width="17.88671875" style="173" customWidth="1"/>
    <col min="10497" max="10497" width="15.5546875" style="173" bestFit="1" customWidth="1"/>
    <col min="10498" max="10498" width="8.6640625" style="173" customWidth="1"/>
    <col min="10499" max="10499" width="14.5546875" style="173" bestFit="1" customWidth="1"/>
    <col min="10500" max="10745" width="9.109375" style="173"/>
    <col min="10746" max="10746" width="24.88671875" style="173" customWidth="1"/>
    <col min="10747" max="10752" width="17.88671875" style="173" customWidth="1"/>
    <col min="10753" max="10753" width="15.5546875" style="173" bestFit="1" customWidth="1"/>
    <col min="10754" max="10754" width="8.6640625" style="173" customWidth="1"/>
    <col min="10755" max="10755" width="14.5546875" style="173" bestFit="1" customWidth="1"/>
    <col min="10756" max="11001" width="9.109375" style="173"/>
    <col min="11002" max="11002" width="24.88671875" style="173" customWidth="1"/>
    <col min="11003" max="11008" width="17.88671875" style="173" customWidth="1"/>
    <col min="11009" max="11009" width="15.5546875" style="173" bestFit="1" customWidth="1"/>
    <col min="11010" max="11010" width="8.6640625" style="173" customWidth="1"/>
    <col min="11011" max="11011" width="14.5546875" style="173" bestFit="1" customWidth="1"/>
    <col min="11012" max="11257" width="9.109375" style="173"/>
    <col min="11258" max="11258" width="24.88671875" style="173" customWidth="1"/>
    <col min="11259" max="11264" width="17.88671875" style="173" customWidth="1"/>
    <col min="11265" max="11265" width="15.5546875" style="173" bestFit="1" customWidth="1"/>
    <col min="11266" max="11266" width="8.6640625" style="173" customWidth="1"/>
    <col min="11267" max="11267" width="14.5546875" style="173" bestFit="1" customWidth="1"/>
    <col min="11268" max="11513" width="9.109375" style="173"/>
    <col min="11514" max="11514" width="24.88671875" style="173" customWidth="1"/>
    <col min="11515" max="11520" width="17.88671875" style="173" customWidth="1"/>
    <col min="11521" max="11521" width="15.5546875" style="173" bestFit="1" customWidth="1"/>
    <col min="11522" max="11522" width="8.6640625" style="173" customWidth="1"/>
    <col min="11523" max="11523" width="14.5546875" style="173" bestFit="1" customWidth="1"/>
    <col min="11524" max="11769" width="9.109375" style="173"/>
    <col min="11770" max="11770" width="24.88671875" style="173" customWidth="1"/>
    <col min="11771" max="11776" width="17.88671875" style="173" customWidth="1"/>
    <col min="11777" max="11777" width="15.5546875" style="173" bestFit="1" customWidth="1"/>
    <col min="11778" max="11778" width="8.6640625" style="173" customWidth="1"/>
    <col min="11779" max="11779" width="14.5546875" style="173" bestFit="1" customWidth="1"/>
    <col min="11780" max="12025" width="9.109375" style="173"/>
    <col min="12026" max="12026" width="24.88671875" style="173" customWidth="1"/>
    <col min="12027" max="12032" width="17.88671875" style="173" customWidth="1"/>
    <col min="12033" max="12033" width="15.5546875" style="173" bestFit="1" customWidth="1"/>
    <col min="12034" max="12034" width="8.6640625" style="173" customWidth="1"/>
    <col min="12035" max="12035" width="14.5546875" style="173" bestFit="1" customWidth="1"/>
    <col min="12036" max="12281" width="9.109375" style="173"/>
    <col min="12282" max="12282" width="24.88671875" style="173" customWidth="1"/>
    <col min="12283" max="12288" width="17.88671875" style="173" customWidth="1"/>
    <col min="12289" max="12289" width="15.5546875" style="173" bestFit="1" customWidth="1"/>
    <col min="12290" max="12290" width="8.6640625" style="173" customWidth="1"/>
    <col min="12291" max="12291" width="14.5546875" style="173" bestFit="1" customWidth="1"/>
    <col min="12292" max="12537" width="9.109375" style="173"/>
    <col min="12538" max="12538" width="24.88671875" style="173" customWidth="1"/>
    <col min="12539" max="12544" width="17.88671875" style="173" customWidth="1"/>
    <col min="12545" max="12545" width="15.5546875" style="173" bestFit="1" customWidth="1"/>
    <col min="12546" max="12546" width="8.6640625" style="173" customWidth="1"/>
    <col min="12547" max="12547" width="14.5546875" style="173" bestFit="1" customWidth="1"/>
    <col min="12548" max="12793" width="9.109375" style="173"/>
    <col min="12794" max="12794" width="24.88671875" style="173" customWidth="1"/>
    <col min="12795" max="12800" width="17.88671875" style="173" customWidth="1"/>
    <col min="12801" max="12801" width="15.5546875" style="173" bestFit="1" customWidth="1"/>
    <col min="12802" max="12802" width="8.6640625" style="173" customWidth="1"/>
    <col min="12803" max="12803" width="14.5546875" style="173" bestFit="1" customWidth="1"/>
    <col min="12804" max="13049" width="9.109375" style="173"/>
    <col min="13050" max="13050" width="24.88671875" style="173" customWidth="1"/>
    <col min="13051" max="13056" width="17.88671875" style="173" customWidth="1"/>
    <col min="13057" max="13057" width="15.5546875" style="173" bestFit="1" customWidth="1"/>
    <col min="13058" max="13058" width="8.6640625" style="173" customWidth="1"/>
    <col min="13059" max="13059" width="14.5546875" style="173" bestFit="1" customWidth="1"/>
    <col min="13060" max="13305" width="9.109375" style="173"/>
    <col min="13306" max="13306" width="24.88671875" style="173" customWidth="1"/>
    <col min="13307" max="13312" width="17.88671875" style="173" customWidth="1"/>
    <col min="13313" max="13313" width="15.5546875" style="173" bestFit="1" customWidth="1"/>
    <col min="13314" max="13314" width="8.6640625" style="173" customWidth="1"/>
    <col min="13315" max="13315" width="14.5546875" style="173" bestFit="1" customWidth="1"/>
    <col min="13316" max="13561" width="9.109375" style="173"/>
    <col min="13562" max="13562" width="24.88671875" style="173" customWidth="1"/>
    <col min="13563" max="13568" width="17.88671875" style="173" customWidth="1"/>
    <col min="13569" max="13569" width="15.5546875" style="173" bestFit="1" customWidth="1"/>
    <col min="13570" max="13570" width="8.6640625" style="173" customWidth="1"/>
    <col min="13571" max="13571" width="14.5546875" style="173" bestFit="1" customWidth="1"/>
    <col min="13572" max="13817" width="9.109375" style="173"/>
    <col min="13818" max="13818" width="24.88671875" style="173" customWidth="1"/>
    <col min="13819" max="13824" width="17.88671875" style="173" customWidth="1"/>
    <col min="13825" max="13825" width="15.5546875" style="173" bestFit="1" customWidth="1"/>
    <col min="13826" max="13826" width="8.6640625" style="173" customWidth="1"/>
    <col min="13827" max="13827" width="14.5546875" style="173" bestFit="1" customWidth="1"/>
    <col min="13828" max="14073" width="9.109375" style="173"/>
    <col min="14074" max="14074" width="24.88671875" style="173" customWidth="1"/>
    <col min="14075" max="14080" width="17.88671875" style="173" customWidth="1"/>
    <col min="14081" max="14081" width="15.5546875" style="173" bestFit="1" customWidth="1"/>
    <col min="14082" max="14082" width="8.6640625" style="173" customWidth="1"/>
    <col min="14083" max="14083" width="14.5546875" style="173" bestFit="1" customWidth="1"/>
    <col min="14084" max="14329" width="9.109375" style="173"/>
    <col min="14330" max="14330" width="24.88671875" style="173" customWidth="1"/>
    <col min="14331" max="14336" width="17.88671875" style="173" customWidth="1"/>
    <col min="14337" max="14337" width="15.5546875" style="173" bestFit="1" customWidth="1"/>
    <col min="14338" max="14338" width="8.6640625" style="173" customWidth="1"/>
    <col min="14339" max="14339" width="14.5546875" style="173" bestFit="1" customWidth="1"/>
    <col min="14340" max="14585" width="9.109375" style="173"/>
    <col min="14586" max="14586" width="24.88671875" style="173" customWidth="1"/>
    <col min="14587" max="14592" width="17.88671875" style="173" customWidth="1"/>
    <col min="14593" max="14593" width="15.5546875" style="173" bestFit="1" customWidth="1"/>
    <col min="14594" max="14594" width="8.6640625" style="173" customWidth="1"/>
    <col min="14595" max="14595" width="14.5546875" style="173" bestFit="1" customWidth="1"/>
    <col min="14596" max="14841" width="9.109375" style="173"/>
    <col min="14842" max="14842" width="24.88671875" style="173" customWidth="1"/>
    <col min="14843" max="14848" width="17.88671875" style="173" customWidth="1"/>
    <col min="14849" max="14849" width="15.5546875" style="173" bestFit="1" customWidth="1"/>
    <col min="14850" max="14850" width="8.6640625" style="173" customWidth="1"/>
    <col min="14851" max="14851" width="14.5546875" style="173" bestFit="1" customWidth="1"/>
    <col min="14852" max="15097" width="9.109375" style="173"/>
    <col min="15098" max="15098" width="24.88671875" style="173" customWidth="1"/>
    <col min="15099" max="15104" width="17.88671875" style="173" customWidth="1"/>
    <col min="15105" max="15105" width="15.5546875" style="173" bestFit="1" customWidth="1"/>
    <col min="15106" max="15106" width="8.6640625" style="173" customWidth="1"/>
    <col min="15107" max="15107" width="14.5546875" style="173" bestFit="1" customWidth="1"/>
    <col min="15108" max="15353" width="9.109375" style="173"/>
    <col min="15354" max="15354" width="24.88671875" style="173" customWidth="1"/>
    <col min="15355" max="15360" width="17.88671875" style="173" customWidth="1"/>
    <col min="15361" max="15361" width="15.5546875" style="173" bestFit="1" customWidth="1"/>
    <col min="15362" max="15362" width="8.6640625" style="173" customWidth="1"/>
    <col min="15363" max="15363" width="14.5546875" style="173" bestFit="1" customWidth="1"/>
    <col min="15364" max="15609" width="9.109375" style="173"/>
    <col min="15610" max="15610" width="24.88671875" style="173" customWidth="1"/>
    <col min="15611" max="15616" width="17.88671875" style="173" customWidth="1"/>
    <col min="15617" max="15617" width="15.5546875" style="173" bestFit="1" customWidth="1"/>
    <col min="15618" max="15618" width="8.6640625" style="173" customWidth="1"/>
    <col min="15619" max="15619" width="14.5546875" style="173" bestFit="1" customWidth="1"/>
    <col min="15620" max="15865" width="9.109375" style="173"/>
    <col min="15866" max="15866" width="24.88671875" style="173" customWidth="1"/>
    <col min="15867" max="15872" width="17.88671875" style="173" customWidth="1"/>
    <col min="15873" max="15873" width="15.5546875" style="173" bestFit="1" customWidth="1"/>
    <col min="15874" max="15874" width="8.6640625" style="173" customWidth="1"/>
    <col min="15875" max="15875" width="14.5546875" style="173" bestFit="1" customWidth="1"/>
    <col min="15876" max="16121" width="9.109375" style="173"/>
    <col min="16122" max="16122" width="24.88671875" style="173" customWidth="1"/>
    <col min="16123" max="16128" width="17.88671875" style="173" customWidth="1"/>
    <col min="16129" max="16129" width="15.5546875" style="173" bestFit="1" customWidth="1"/>
    <col min="16130" max="16130" width="8.6640625" style="173" customWidth="1"/>
    <col min="16131" max="16131" width="14.5546875" style="173" bestFit="1" customWidth="1"/>
    <col min="16132" max="16384" width="9.109375" style="173"/>
  </cols>
  <sheetData>
    <row r="1" spans="1:13" s="39" customFormat="1">
      <c r="A1" s="1703" t="str">
        <f>+'MISO Cover'!C6</f>
        <v>Entergy Texas, Inc.</v>
      </c>
      <c r="B1" s="1703"/>
      <c r="C1" s="1703"/>
      <c r="D1" s="1703"/>
      <c r="E1" s="1703"/>
      <c r="F1" s="1703"/>
      <c r="G1" s="1703"/>
    </row>
    <row r="2" spans="1:13" s="39" customFormat="1">
      <c r="A2" s="1703" t="s">
        <v>655</v>
      </c>
      <c r="B2" s="1703"/>
      <c r="C2" s="1703"/>
      <c r="D2" s="1703"/>
      <c r="E2" s="1703"/>
      <c r="F2" s="1703"/>
      <c r="G2" s="1703"/>
      <c r="H2" s="755"/>
    </row>
    <row r="3" spans="1:13" s="39" customFormat="1">
      <c r="A3" s="1703" t="str">
        <f>+'MISO Cover'!K4</f>
        <v>For  the 12 Months Ended 12/31/2016</v>
      </c>
      <c r="B3" s="1703"/>
      <c r="C3" s="1703"/>
      <c r="D3" s="1703"/>
      <c r="E3" s="1703"/>
      <c r="F3" s="1703"/>
      <c r="G3" s="1703"/>
    </row>
    <row r="4" spans="1:13" s="39" customFormat="1">
      <c r="A4" s="1144"/>
      <c r="B4" s="201"/>
      <c r="C4" s="201"/>
      <c r="D4" s="201"/>
      <c r="E4" s="201"/>
      <c r="F4" s="201"/>
    </row>
    <row r="5" spans="1:13" s="39" customFormat="1">
      <c r="A5" s="1144" t="s">
        <v>277</v>
      </c>
      <c r="B5" s="1144" t="s">
        <v>67</v>
      </c>
      <c r="C5" s="1143" t="s">
        <v>114</v>
      </c>
      <c r="D5" s="1143" t="s">
        <v>55</v>
      </c>
      <c r="E5" s="1446" t="s">
        <v>68</v>
      </c>
      <c r="F5" s="1446" t="s">
        <v>66</v>
      </c>
      <c r="G5" s="1143" t="s">
        <v>156</v>
      </c>
    </row>
    <row r="6" spans="1:13" s="39" customFormat="1" ht="26.4">
      <c r="A6" s="1143">
        <v>1</v>
      </c>
      <c r="B6" s="201"/>
      <c r="C6" s="831"/>
      <c r="D6" s="831"/>
      <c r="E6" s="1470" t="s">
        <v>165</v>
      </c>
      <c r="F6" s="1470" t="s">
        <v>160</v>
      </c>
      <c r="G6" s="1471" t="s">
        <v>141</v>
      </c>
    </row>
    <row r="7" spans="1:13" s="39" customFormat="1">
      <c r="A7" s="1143">
        <f>+A6+1</f>
        <v>2</v>
      </c>
      <c r="B7" s="40" t="s">
        <v>407</v>
      </c>
      <c r="C7" s="38" t="str">
        <f>+"Sum Line "&amp;A$11&amp;" Subparts for Included"</f>
        <v>Sum Line 6 Subparts for Included</v>
      </c>
      <c r="D7" s="249"/>
      <c r="E7" s="1430">
        <f>+SUM(E12:E22)</f>
        <v>-1382747.08</v>
      </c>
      <c r="F7" s="1430">
        <f>+SUM(F12:F22)</f>
        <v>-1008411.5200000003</v>
      </c>
      <c r="G7" s="1431">
        <f>+(E7+F7)/2</f>
        <v>-1195579.3000000003</v>
      </c>
    </row>
    <row r="8" spans="1:13" s="39" customFormat="1" ht="15">
      <c r="A8" s="1143">
        <f>+A7+1</f>
        <v>3</v>
      </c>
      <c r="B8" s="40" t="s">
        <v>408</v>
      </c>
      <c r="C8" s="38" t="str">
        <f>+"Sum Line "&amp;A$11&amp;" Subparts for Excluded"</f>
        <v>Sum Line 6 Subparts for Excluded</v>
      </c>
      <c r="D8" s="832"/>
      <c r="E8" s="1432">
        <f>+SUM(E23:E102)</f>
        <v>21812998.390000001</v>
      </c>
      <c r="F8" s="1432">
        <f>+SUM(F23:F102)</f>
        <v>22163129.130000003</v>
      </c>
      <c r="G8" s="1433">
        <f>+(E8+F8)/2</f>
        <v>21988063.760000002</v>
      </c>
    </row>
    <row r="9" spans="1:13" s="39" customFormat="1">
      <c r="A9" s="1143">
        <f>+A8+1</f>
        <v>4</v>
      </c>
      <c r="B9" s="40" t="s">
        <v>113</v>
      </c>
      <c r="C9" s="38"/>
      <c r="D9" s="249"/>
      <c r="E9" s="1430">
        <f>SUM(E7:E8)</f>
        <v>20430251.310000002</v>
      </c>
      <c r="F9" s="1430">
        <f>SUM(F7:F8)</f>
        <v>21154717.610000003</v>
      </c>
      <c r="G9" s="1431">
        <f>+(E9+F9)/2</f>
        <v>20792484.460000001</v>
      </c>
    </row>
    <row r="10" spans="1:13" s="39" customFormat="1">
      <c r="A10" s="1143">
        <f>+A9+1</f>
        <v>5</v>
      </c>
      <c r="B10" s="173"/>
      <c r="C10" s="642"/>
      <c r="D10" s="642"/>
      <c r="E10" s="642"/>
      <c r="F10" s="642"/>
      <c r="G10" s="1280"/>
      <c r="H10" s="38"/>
      <c r="I10" s="38"/>
      <c r="J10" s="38"/>
      <c r="K10" s="38"/>
    </row>
    <row r="11" spans="1:13" ht="26.4">
      <c r="A11" s="1143">
        <f>+A10+1</f>
        <v>6</v>
      </c>
      <c r="B11" s="1411" t="s">
        <v>290</v>
      </c>
      <c r="C11" s="1411" t="s">
        <v>565</v>
      </c>
      <c r="D11" s="1411" t="s">
        <v>875</v>
      </c>
      <c r="E11" s="1467" t="str">
        <f>E6</f>
        <v>Beginning of Year</v>
      </c>
      <c r="F11" s="1468" t="str">
        <f>F6</f>
        <v>End of Year</v>
      </c>
      <c r="G11" s="1469" t="str">
        <f>+G6</f>
        <v>Average</v>
      </c>
      <c r="H11" s="40"/>
      <c r="I11" s="480"/>
      <c r="J11" s="40"/>
      <c r="K11" s="40"/>
    </row>
    <row r="12" spans="1:13" ht="13.2" customHeight="1">
      <c r="A12" s="1313">
        <f>+A11+0.01</f>
        <v>6.01</v>
      </c>
      <c r="B12" s="1314" t="s">
        <v>956</v>
      </c>
      <c r="C12" s="1314" t="s">
        <v>957</v>
      </c>
      <c r="D12" s="1443" t="s">
        <v>1567</v>
      </c>
      <c r="E12" s="1434">
        <v>0</v>
      </c>
      <c r="F12" s="1463">
        <v>316409.5</v>
      </c>
      <c r="G12" s="249">
        <f>+SUM(E12,F12)/2</f>
        <v>158204.75</v>
      </c>
      <c r="H12" s="40"/>
      <c r="I12" s="246" t="s">
        <v>1163</v>
      </c>
    </row>
    <row r="13" spans="1:13" ht="13.8">
      <c r="A13" s="895">
        <f>+A12+0.01</f>
        <v>6.02</v>
      </c>
      <c r="B13" s="1314" t="s">
        <v>958</v>
      </c>
      <c r="C13" s="1314" t="s">
        <v>957</v>
      </c>
      <c r="D13" s="1443" t="s">
        <v>1567</v>
      </c>
      <c r="E13" s="1434">
        <v>0</v>
      </c>
      <c r="F13" s="1464">
        <v>0</v>
      </c>
      <c r="G13" s="249">
        <f t="shared" ref="G13:G76" si="0">+SUM(E13,F13)/2</f>
        <v>0</v>
      </c>
      <c r="H13" s="40"/>
      <c r="I13" s="1841" t="s">
        <v>661</v>
      </c>
    </row>
    <row r="14" spans="1:13">
      <c r="A14" s="895">
        <f t="shared" ref="A14:A78" si="1">+A13+0.01</f>
        <v>6.0299999999999994</v>
      </c>
      <c r="B14" s="1314" t="s">
        <v>959</v>
      </c>
      <c r="C14" s="1314" t="s">
        <v>960</v>
      </c>
      <c r="D14" s="1443" t="s">
        <v>1567</v>
      </c>
      <c r="E14" s="1434">
        <v>-1742624.35</v>
      </c>
      <c r="F14" s="1464">
        <v>-1742624.35</v>
      </c>
      <c r="G14" s="249">
        <f t="shared" si="0"/>
        <v>-1742624.35</v>
      </c>
      <c r="H14" s="40"/>
      <c r="I14" s="1842" t="s">
        <v>1165</v>
      </c>
      <c r="J14" s="1842"/>
      <c r="K14" s="1842"/>
      <c r="L14" s="1842"/>
      <c r="M14" s="1842"/>
    </row>
    <row r="15" spans="1:13">
      <c r="A15" s="895">
        <f t="shared" si="1"/>
        <v>6.0399999999999991</v>
      </c>
      <c r="B15" s="1314" t="s">
        <v>961</v>
      </c>
      <c r="C15" s="1314" t="s">
        <v>960</v>
      </c>
      <c r="D15" s="1443" t="s">
        <v>1567</v>
      </c>
      <c r="E15" s="1434">
        <v>236423.35</v>
      </c>
      <c r="F15" s="1464">
        <v>236423.35</v>
      </c>
      <c r="G15" s="249">
        <f t="shared" si="0"/>
        <v>236423.35</v>
      </c>
      <c r="H15" s="40"/>
      <c r="I15" s="1842"/>
      <c r="J15" s="1842"/>
      <c r="K15" s="1842"/>
      <c r="L15" s="1842"/>
      <c r="M15" s="1842"/>
    </row>
    <row r="16" spans="1:13">
      <c r="A16" s="895">
        <f t="shared" si="1"/>
        <v>6.0499999999999989</v>
      </c>
      <c r="B16" s="1314" t="s">
        <v>962</v>
      </c>
      <c r="C16" s="1314" t="s">
        <v>960</v>
      </c>
      <c r="D16" s="1443" t="s">
        <v>1567</v>
      </c>
      <c r="E16" s="1434">
        <v>0</v>
      </c>
      <c r="F16" s="1464">
        <v>0</v>
      </c>
      <c r="G16" s="249">
        <f t="shared" si="0"/>
        <v>0</v>
      </c>
      <c r="H16" s="40"/>
      <c r="I16" s="1842"/>
      <c r="J16" s="1842"/>
      <c r="K16" s="1842"/>
      <c r="L16" s="1842"/>
      <c r="M16" s="1842"/>
    </row>
    <row r="17" spans="1:13" s="40" customFormat="1">
      <c r="A17" s="895">
        <f t="shared" si="1"/>
        <v>6.0599999999999987</v>
      </c>
      <c r="B17" s="1314" t="s">
        <v>963</v>
      </c>
      <c r="C17" s="1314" t="s">
        <v>964</v>
      </c>
      <c r="D17" s="1443" t="s">
        <v>1567</v>
      </c>
      <c r="E17" s="1434">
        <v>0</v>
      </c>
      <c r="F17" s="1464">
        <v>54741.15</v>
      </c>
      <c r="G17" s="249">
        <f t="shared" si="0"/>
        <v>27370.575000000001</v>
      </c>
      <c r="I17" s="1842"/>
      <c r="J17" s="1842"/>
      <c r="K17" s="1842"/>
      <c r="L17" s="1842"/>
      <c r="M17" s="1842"/>
    </row>
    <row r="18" spans="1:13">
      <c r="A18" s="895">
        <f t="shared" si="1"/>
        <v>6.0699999999999985</v>
      </c>
      <c r="B18" s="1314" t="s">
        <v>965</v>
      </c>
      <c r="C18" s="1314" t="s">
        <v>964</v>
      </c>
      <c r="D18" s="1443" t="s">
        <v>1567</v>
      </c>
      <c r="E18" s="1434">
        <v>3009.14</v>
      </c>
      <c r="F18" s="1464">
        <v>3164.15</v>
      </c>
      <c r="G18" s="249">
        <f t="shared" si="0"/>
        <v>3086.645</v>
      </c>
      <c r="H18" s="40"/>
      <c r="I18" s="1842"/>
      <c r="J18" s="1842"/>
      <c r="K18" s="1842"/>
      <c r="L18" s="1842"/>
      <c r="M18" s="1842"/>
    </row>
    <row r="19" spans="1:13">
      <c r="A19" s="895">
        <f t="shared" si="1"/>
        <v>6.0799999999999983</v>
      </c>
      <c r="B19" s="1314" t="s">
        <v>966</v>
      </c>
      <c r="C19" s="1314" t="s">
        <v>967</v>
      </c>
      <c r="D19" s="1443" t="s">
        <v>1567</v>
      </c>
      <c r="E19" s="1434">
        <v>11538.76</v>
      </c>
      <c r="F19" s="1464">
        <v>11538.76</v>
      </c>
      <c r="G19" s="249">
        <f t="shared" si="0"/>
        <v>11538.76</v>
      </c>
      <c r="H19" s="40"/>
      <c r="I19" s="1842"/>
      <c r="J19" s="1842"/>
      <c r="K19" s="1842"/>
      <c r="L19" s="1842"/>
      <c r="M19" s="1842"/>
    </row>
    <row r="20" spans="1:13">
      <c r="A20" s="895">
        <f t="shared" si="1"/>
        <v>6.0899999999999981</v>
      </c>
      <c r="B20" s="1314" t="s">
        <v>968</v>
      </c>
      <c r="C20" s="1314" t="s">
        <v>967</v>
      </c>
      <c r="D20" s="1443" t="s">
        <v>1567</v>
      </c>
      <c r="E20" s="1434">
        <v>10558.47</v>
      </c>
      <c r="F20" s="1464">
        <v>10558.47</v>
      </c>
      <c r="G20" s="249">
        <f t="shared" si="0"/>
        <v>10558.47</v>
      </c>
      <c r="H20" s="40"/>
    </row>
    <row r="21" spans="1:13">
      <c r="A21" s="895">
        <f t="shared" si="1"/>
        <v>6.0999999999999979</v>
      </c>
      <c r="B21" s="1314" t="s">
        <v>969</v>
      </c>
      <c r="C21" s="1314" t="s">
        <v>970</v>
      </c>
      <c r="D21" s="1443" t="s">
        <v>1567</v>
      </c>
      <c r="E21" s="1434">
        <v>69263.350000000006</v>
      </c>
      <c r="F21" s="1464">
        <v>69263.350000000006</v>
      </c>
      <c r="G21" s="249">
        <f t="shared" si="0"/>
        <v>69263.350000000006</v>
      </c>
      <c r="H21" s="40"/>
    </row>
    <row r="22" spans="1:13">
      <c r="A22" s="895">
        <f t="shared" si="1"/>
        <v>6.1099999999999977</v>
      </c>
      <c r="B22" s="1314" t="s">
        <v>971</v>
      </c>
      <c r="C22" s="1314" t="s">
        <v>970</v>
      </c>
      <c r="D22" s="1443" t="s">
        <v>1567</v>
      </c>
      <c r="E22" s="1434">
        <v>29084.2</v>
      </c>
      <c r="F22" s="1464">
        <v>32114.1</v>
      </c>
      <c r="G22" s="249">
        <f t="shared" si="0"/>
        <v>30599.15</v>
      </c>
      <c r="H22" s="40"/>
    </row>
    <row r="23" spans="1:13">
      <c r="A23" s="895">
        <f t="shared" si="1"/>
        <v>6.1199999999999974</v>
      </c>
      <c r="B23" s="1314" t="s">
        <v>972</v>
      </c>
      <c r="C23" s="1314" t="s">
        <v>973</v>
      </c>
      <c r="D23" s="1443" t="s">
        <v>1568</v>
      </c>
      <c r="E23" s="1434">
        <v>50116.11</v>
      </c>
      <c r="F23" s="1464">
        <v>50116.11</v>
      </c>
      <c r="G23" s="249">
        <f t="shared" si="0"/>
        <v>50116.11</v>
      </c>
      <c r="H23" s="40"/>
    </row>
    <row r="24" spans="1:13">
      <c r="A24" s="895">
        <f t="shared" si="1"/>
        <v>6.1299999999999972</v>
      </c>
      <c r="B24" s="1314" t="s">
        <v>974</v>
      </c>
      <c r="C24" s="1314" t="s">
        <v>973</v>
      </c>
      <c r="D24" s="1443" t="s">
        <v>1568</v>
      </c>
      <c r="E24" s="1434">
        <v>13039.38</v>
      </c>
      <c r="F24" s="1464">
        <v>13039.38</v>
      </c>
      <c r="G24" s="249">
        <f t="shared" si="0"/>
        <v>13039.38</v>
      </c>
      <c r="H24" s="40"/>
    </row>
    <row r="25" spans="1:13">
      <c r="A25" s="895">
        <f t="shared" si="1"/>
        <v>6.139999999999997</v>
      </c>
      <c r="B25" s="1314" t="s">
        <v>975</v>
      </c>
      <c r="C25" s="1314" t="s">
        <v>976</v>
      </c>
      <c r="D25" s="1443" t="s">
        <v>1568</v>
      </c>
      <c r="E25" s="1434">
        <v>170700</v>
      </c>
      <c r="F25" s="1464">
        <v>170700</v>
      </c>
      <c r="G25" s="249">
        <f t="shared" si="0"/>
        <v>170700</v>
      </c>
      <c r="H25" s="40"/>
    </row>
    <row r="26" spans="1:13">
      <c r="A26" s="895">
        <f t="shared" si="1"/>
        <v>6.1499999999999968</v>
      </c>
      <c r="B26" s="1314" t="s">
        <v>977</v>
      </c>
      <c r="C26" s="1314" t="s">
        <v>976</v>
      </c>
      <c r="D26" s="1443" t="s">
        <v>1568</v>
      </c>
      <c r="E26" s="1434">
        <v>7739.03</v>
      </c>
      <c r="F26" s="1464">
        <v>7739.03</v>
      </c>
      <c r="G26" s="249">
        <f t="shared" si="0"/>
        <v>7739.03</v>
      </c>
      <c r="H26" s="40"/>
    </row>
    <row r="27" spans="1:13">
      <c r="A27" s="895">
        <f t="shared" si="1"/>
        <v>6.1599999999999966</v>
      </c>
      <c r="B27" s="1314" t="s">
        <v>978</v>
      </c>
      <c r="C27" s="1314" t="s">
        <v>979</v>
      </c>
      <c r="D27" s="1443" t="s">
        <v>1568</v>
      </c>
      <c r="E27" s="1434">
        <v>31870.66</v>
      </c>
      <c r="F27" s="1464">
        <v>31870.66</v>
      </c>
      <c r="G27" s="249">
        <f t="shared" si="0"/>
        <v>31870.66</v>
      </c>
      <c r="H27" s="40"/>
      <c r="I27" s="1840"/>
      <c r="J27" s="40"/>
      <c r="K27" s="40"/>
    </row>
    <row r="28" spans="1:13">
      <c r="A28" s="895">
        <f t="shared" si="1"/>
        <v>6.1699999999999964</v>
      </c>
      <c r="B28" s="1314" t="s">
        <v>980</v>
      </c>
      <c r="C28" s="1314" t="s">
        <v>981</v>
      </c>
      <c r="D28" s="1443" t="s">
        <v>1568</v>
      </c>
      <c r="E28" s="1434">
        <v>31098.07</v>
      </c>
      <c r="F28" s="1464">
        <v>31098.07</v>
      </c>
      <c r="G28" s="249">
        <f t="shared" si="0"/>
        <v>31098.07</v>
      </c>
      <c r="H28" s="40"/>
      <c r="I28" s="1840"/>
      <c r="J28" s="40"/>
      <c r="K28" s="40"/>
    </row>
    <row r="29" spans="1:13">
      <c r="A29" s="895">
        <f t="shared" si="1"/>
        <v>6.1799999999999962</v>
      </c>
      <c r="B29" s="1314" t="s">
        <v>982</v>
      </c>
      <c r="C29" s="1314" t="s">
        <v>981</v>
      </c>
      <c r="D29" s="1443" t="s">
        <v>1568</v>
      </c>
      <c r="E29" s="1434">
        <v>39936.42</v>
      </c>
      <c r="F29" s="1464">
        <v>39936.42</v>
      </c>
      <c r="G29" s="249">
        <f t="shared" si="0"/>
        <v>39936.42</v>
      </c>
      <c r="H29" s="40"/>
      <c r="I29" s="1840"/>
      <c r="J29" s="40"/>
      <c r="K29" s="40"/>
    </row>
    <row r="30" spans="1:13">
      <c r="A30" s="895">
        <f t="shared" si="1"/>
        <v>6.1899999999999959</v>
      </c>
      <c r="B30" s="1314" t="s">
        <v>983</v>
      </c>
      <c r="C30" s="1314" t="s">
        <v>984</v>
      </c>
      <c r="D30" s="1443" t="s">
        <v>1568</v>
      </c>
      <c r="E30" s="1434">
        <v>1711.83</v>
      </c>
      <c r="F30" s="1464">
        <v>1711.83</v>
      </c>
      <c r="G30" s="249">
        <f t="shared" si="0"/>
        <v>1711.83</v>
      </c>
      <c r="H30" s="40"/>
      <c r="I30" s="1840"/>
      <c r="J30" s="40"/>
      <c r="K30" s="40"/>
    </row>
    <row r="31" spans="1:13">
      <c r="A31" s="895">
        <f t="shared" si="1"/>
        <v>6.1999999999999957</v>
      </c>
      <c r="B31" s="1314" t="s">
        <v>985</v>
      </c>
      <c r="C31" s="1314" t="s">
        <v>986</v>
      </c>
      <c r="D31" s="1443" t="s">
        <v>1568</v>
      </c>
      <c r="E31" s="1434">
        <v>23103.119999999999</v>
      </c>
      <c r="F31" s="1464">
        <v>23103.119999999999</v>
      </c>
      <c r="G31" s="249">
        <f t="shared" si="0"/>
        <v>23103.119999999999</v>
      </c>
      <c r="H31" s="40"/>
      <c r="I31" s="1840"/>
      <c r="J31" s="40"/>
      <c r="K31" s="40"/>
    </row>
    <row r="32" spans="1:13">
      <c r="A32" s="895">
        <f t="shared" si="1"/>
        <v>6.2099999999999955</v>
      </c>
      <c r="B32" s="1314" t="s">
        <v>987</v>
      </c>
      <c r="C32" s="1314" t="s">
        <v>988</v>
      </c>
      <c r="D32" s="1443" t="s">
        <v>1568</v>
      </c>
      <c r="E32" s="1434">
        <v>31672.86</v>
      </c>
      <c r="F32" s="1464">
        <v>31672.86</v>
      </c>
      <c r="G32" s="249">
        <f t="shared" si="0"/>
        <v>31672.86</v>
      </c>
      <c r="H32" s="40"/>
      <c r="I32" s="1840"/>
      <c r="J32" s="40"/>
      <c r="K32" s="40"/>
    </row>
    <row r="33" spans="1:11">
      <c r="A33" s="895">
        <f t="shared" si="1"/>
        <v>6.2199999999999953</v>
      </c>
      <c r="B33" s="1314" t="s">
        <v>989</v>
      </c>
      <c r="C33" s="1314" t="s">
        <v>988</v>
      </c>
      <c r="D33" s="1443" t="s">
        <v>1568</v>
      </c>
      <c r="E33" s="1434">
        <v>3133.27</v>
      </c>
      <c r="F33" s="1464">
        <v>3133.27</v>
      </c>
      <c r="G33" s="249">
        <f t="shared" si="0"/>
        <v>3133.27</v>
      </c>
      <c r="H33" s="40"/>
      <c r="I33" s="1840"/>
      <c r="J33" s="40"/>
      <c r="K33" s="40"/>
    </row>
    <row r="34" spans="1:11">
      <c r="A34" s="895">
        <f t="shared" si="1"/>
        <v>6.2299999999999951</v>
      </c>
      <c r="B34" s="1314" t="s">
        <v>990</v>
      </c>
      <c r="C34" s="1314" t="s">
        <v>991</v>
      </c>
      <c r="D34" s="1443" t="s">
        <v>1568</v>
      </c>
      <c r="E34" s="1434">
        <v>323328.42</v>
      </c>
      <c r="F34" s="1464">
        <v>323328.42</v>
      </c>
      <c r="G34" s="249">
        <f t="shared" si="0"/>
        <v>323328.42</v>
      </c>
      <c r="H34" s="40"/>
      <c r="I34" s="1840"/>
      <c r="J34" s="40"/>
      <c r="K34" s="40"/>
    </row>
    <row r="35" spans="1:11">
      <c r="A35" s="895">
        <f t="shared" si="1"/>
        <v>6.2399999999999949</v>
      </c>
      <c r="B35" s="1314" t="s">
        <v>992</v>
      </c>
      <c r="C35" s="1314" t="s">
        <v>991</v>
      </c>
      <c r="D35" s="1443" t="s">
        <v>1568</v>
      </c>
      <c r="E35" s="1434">
        <v>6251.5</v>
      </c>
      <c r="F35" s="1464">
        <v>6883.11</v>
      </c>
      <c r="G35" s="249">
        <f t="shared" si="0"/>
        <v>6567.3050000000003</v>
      </c>
      <c r="H35" s="40"/>
      <c r="I35" s="1840"/>
      <c r="J35" s="40"/>
      <c r="K35" s="40"/>
    </row>
    <row r="36" spans="1:11">
      <c r="A36" s="895">
        <f t="shared" si="1"/>
        <v>6.2499999999999947</v>
      </c>
      <c r="B36" s="1314" t="s">
        <v>993</v>
      </c>
      <c r="C36" s="1314" t="s">
        <v>994</v>
      </c>
      <c r="D36" s="1443" t="s">
        <v>1568</v>
      </c>
      <c r="E36" s="1434">
        <v>233752.65</v>
      </c>
      <c r="F36" s="1464">
        <v>233752.65</v>
      </c>
      <c r="G36" s="249">
        <f t="shared" si="0"/>
        <v>233752.65</v>
      </c>
      <c r="H36" s="40"/>
      <c r="I36" s="1840"/>
      <c r="J36" s="40"/>
      <c r="K36" s="40"/>
    </row>
    <row r="37" spans="1:11">
      <c r="A37" s="895">
        <f t="shared" si="1"/>
        <v>6.2599999999999945</v>
      </c>
      <c r="B37" s="1314" t="s">
        <v>995</v>
      </c>
      <c r="C37" s="1314" t="s">
        <v>994</v>
      </c>
      <c r="D37" s="1443" t="s">
        <v>1568</v>
      </c>
      <c r="E37" s="1434">
        <v>200063.86</v>
      </c>
      <c r="F37" s="1464">
        <v>200063.86</v>
      </c>
      <c r="G37" s="249">
        <f t="shared" si="0"/>
        <v>200063.86</v>
      </c>
      <c r="H37" s="40"/>
      <c r="I37" s="1840"/>
      <c r="J37" s="40"/>
      <c r="K37" s="40"/>
    </row>
    <row r="38" spans="1:11">
      <c r="A38" s="895">
        <f t="shared" si="1"/>
        <v>6.2699999999999942</v>
      </c>
      <c r="B38" s="1314" t="s">
        <v>996</v>
      </c>
      <c r="C38" s="1314" t="s">
        <v>997</v>
      </c>
      <c r="D38" s="1443" t="s">
        <v>1568</v>
      </c>
      <c r="E38" s="1434">
        <v>40349.5</v>
      </c>
      <c r="F38" s="1464">
        <v>40349.5</v>
      </c>
      <c r="G38" s="249">
        <f t="shared" si="0"/>
        <v>40349.5</v>
      </c>
      <c r="H38" s="40"/>
      <c r="I38" s="1840"/>
      <c r="J38" s="40"/>
      <c r="K38" s="40"/>
    </row>
    <row r="39" spans="1:11">
      <c r="A39" s="895">
        <f t="shared" si="1"/>
        <v>6.279999999999994</v>
      </c>
      <c r="B39" s="1314" t="s">
        <v>998</v>
      </c>
      <c r="C39" s="1314" t="s">
        <v>997</v>
      </c>
      <c r="D39" s="1443" t="s">
        <v>1568</v>
      </c>
      <c r="E39" s="1434">
        <v>33594.639999999999</v>
      </c>
      <c r="F39" s="1464">
        <v>33768.79</v>
      </c>
      <c r="G39" s="249">
        <f t="shared" si="0"/>
        <v>33681.714999999997</v>
      </c>
      <c r="H39" s="40"/>
      <c r="I39" s="1840"/>
      <c r="J39" s="40"/>
      <c r="K39" s="40"/>
    </row>
    <row r="40" spans="1:11">
      <c r="A40" s="895">
        <f t="shared" si="1"/>
        <v>6.2899999999999938</v>
      </c>
      <c r="B40" s="1314" t="s">
        <v>999</v>
      </c>
      <c r="C40" s="1314" t="s">
        <v>1000</v>
      </c>
      <c r="D40" s="1443" t="s">
        <v>1568</v>
      </c>
      <c r="E40" s="1434">
        <v>0</v>
      </c>
      <c r="F40" s="1464">
        <v>0</v>
      </c>
      <c r="G40" s="249">
        <f t="shared" si="0"/>
        <v>0</v>
      </c>
      <c r="H40" s="40"/>
      <c r="I40" s="1840"/>
      <c r="J40" s="40"/>
      <c r="K40" s="40"/>
    </row>
    <row r="41" spans="1:11">
      <c r="A41" s="895">
        <f t="shared" si="1"/>
        <v>6.2999999999999936</v>
      </c>
      <c r="B41" s="1314" t="s">
        <v>1001</v>
      </c>
      <c r="C41" s="1314" t="s">
        <v>1000</v>
      </c>
      <c r="D41" s="1443" t="s">
        <v>1568</v>
      </c>
      <c r="E41" s="1434">
        <v>33142.639999999999</v>
      </c>
      <c r="F41" s="1464">
        <v>33195.629999999997</v>
      </c>
      <c r="G41" s="249">
        <f t="shared" si="0"/>
        <v>33169.134999999995</v>
      </c>
      <c r="H41" s="40"/>
      <c r="I41" s="1840"/>
      <c r="J41" s="40"/>
      <c r="K41" s="40"/>
    </row>
    <row r="42" spans="1:11">
      <c r="A42" s="895">
        <f t="shared" si="1"/>
        <v>6.3099999999999934</v>
      </c>
      <c r="B42" s="1314" t="s">
        <v>1002</v>
      </c>
      <c r="C42" s="1314" t="s">
        <v>1003</v>
      </c>
      <c r="D42" s="1443" t="s">
        <v>1568</v>
      </c>
      <c r="E42" s="1434">
        <v>17108.47</v>
      </c>
      <c r="F42" s="1464">
        <v>17108.47</v>
      </c>
      <c r="G42" s="249">
        <f t="shared" si="0"/>
        <v>17108.47</v>
      </c>
      <c r="H42" s="40"/>
      <c r="I42" s="1840"/>
      <c r="J42" s="40"/>
      <c r="K42" s="40"/>
    </row>
    <row r="43" spans="1:11">
      <c r="A43" s="895">
        <f t="shared" si="1"/>
        <v>6.3199999999999932</v>
      </c>
      <c r="B43" s="1314" t="s">
        <v>1004</v>
      </c>
      <c r="C43" s="1314" t="s">
        <v>1003</v>
      </c>
      <c r="D43" s="1443" t="s">
        <v>1568</v>
      </c>
      <c r="E43" s="1434">
        <v>4719.03</v>
      </c>
      <c r="F43" s="1464">
        <v>5699.38</v>
      </c>
      <c r="G43" s="249">
        <f t="shared" si="0"/>
        <v>5209.2049999999999</v>
      </c>
      <c r="H43" s="40"/>
      <c r="I43" s="1840"/>
      <c r="J43" s="40"/>
      <c r="K43" s="40"/>
    </row>
    <row r="44" spans="1:11">
      <c r="A44" s="895">
        <f t="shared" si="1"/>
        <v>6.329999999999993</v>
      </c>
      <c r="B44" s="1314" t="s">
        <v>1005</v>
      </c>
      <c r="C44" s="1314" t="s">
        <v>1006</v>
      </c>
      <c r="D44" s="1443" t="s">
        <v>1568</v>
      </c>
      <c r="E44" s="1434">
        <v>158537.41</v>
      </c>
      <c r="F44" s="1464">
        <v>158537.41</v>
      </c>
      <c r="G44" s="249">
        <f t="shared" si="0"/>
        <v>158537.41</v>
      </c>
      <c r="H44" s="40"/>
      <c r="I44" s="1840"/>
      <c r="J44" s="40"/>
      <c r="K44" s="40"/>
    </row>
    <row r="45" spans="1:11">
      <c r="A45" s="895">
        <f t="shared" si="1"/>
        <v>6.3399999999999928</v>
      </c>
      <c r="B45" s="1314" t="s">
        <v>1007</v>
      </c>
      <c r="C45" s="1314" t="s">
        <v>1006</v>
      </c>
      <c r="D45" s="1443" t="s">
        <v>1568</v>
      </c>
      <c r="E45" s="1434">
        <v>39792.75</v>
      </c>
      <c r="F45" s="1464">
        <v>39792.75</v>
      </c>
      <c r="G45" s="249">
        <f t="shared" si="0"/>
        <v>39792.75</v>
      </c>
      <c r="H45" s="40"/>
      <c r="I45" s="1840"/>
      <c r="J45" s="40"/>
      <c r="K45" s="40"/>
    </row>
    <row r="46" spans="1:11">
      <c r="A46" s="895">
        <f t="shared" si="1"/>
        <v>6.3499999999999925</v>
      </c>
      <c r="B46" s="1314" t="s">
        <v>1008</v>
      </c>
      <c r="C46" s="1314" t="s">
        <v>1009</v>
      </c>
      <c r="D46" s="1443" t="s">
        <v>1568</v>
      </c>
      <c r="E46" s="1434">
        <v>13961.31</v>
      </c>
      <c r="F46" s="1464">
        <v>13961.31</v>
      </c>
      <c r="G46" s="249">
        <f t="shared" si="0"/>
        <v>13961.31</v>
      </c>
      <c r="H46" s="40"/>
      <c r="I46" s="1840"/>
      <c r="J46" s="40"/>
      <c r="K46" s="40"/>
    </row>
    <row r="47" spans="1:11">
      <c r="A47" s="895">
        <f t="shared" si="1"/>
        <v>6.3599999999999923</v>
      </c>
      <c r="B47" s="1314" t="s">
        <v>1010</v>
      </c>
      <c r="C47" s="1314" t="s">
        <v>1009</v>
      </c>
      <c r="D47" s="1443" t="s">
        <v>1568</v>
      </c>
      <c r="E47" s="1434">
        <v>4665.96</v>
      </c>
      <c r="F47" s="1464">
        <v>4665.96</v>
      </c>
      <c r="G47" s="249">
        <f t="shared" si="0"/>
        <v>4665.96</v>
      </c>
      <c r="H47" s="40"/>
      <c r="I47" s="1840"/>
      <c r="J47" s="40"/>
      <c r="K47" s="40"/>
    </row>
    <row r="48" spans="1:11">
      <c r="A48" s="895">
        <f t="shared" si="1"/>
        <v>6.3699999999999921</v>
      </c>
      <c r="B48" s="1314" t="s">
        <v>1011</v>
      </c>
      <c r="C48" s="1314" t="s">
        <v>1012</v>
      </c>
      <c r="D48" s="1443" t="s">
        <v>1568</v>
      </c>
      <c r="E48" s="1434">
        <v>9631.48</v>
      </c>
      <c r="F48" s="1464">
        <v>9631.48</v>
      </c>
      <c r="G48" s="249">
        <f t="shared" si="0"/>
        <v>9631.48</v>
      </c>
      <c r="H48" s="40"/>
      <c r="I48" s="1840"/>
      <c r="J48" s="40"/>
      <c r="K48" s="40"/>
    </row>
    <row r="49" spans="1:11">
      <c r="A49" s="895">
        <f t="shared" si="1"/>
        <v>6.3799999999999919</v>
      </c>
      <c r="B49" s="1314" t="s">
        <v>1013</v>
      </c>
      <c r="C49" s="1314" t="s">
        <v>1014</v>
      </c>
      <c r="D49" s="1443" t="s">
        <v>1568</v>
      </c>
      <c r="E49" s="1434">
        <v>0</v>
      </c>
      <c r="F49" s="1464">
        <v>0</v>
      </c>
      <c r="G49" s="249">
        <f t="shared" si="0"/>
        <v>0</v>
      </c>
      <c r="H49" s="40"/>
      <c r="I49" s="1840"/>
      <c r="J49" s="40"/>
      <c r="K49" s="40"/>
    </row>
    <row r="50" spans="1:11">
      <c r="A50" s="895">
        <f t="shared" si="1"/>
        <v>6.3899999999999917</v>
      </c>
      <c r="B50" s="1314" t="s">
        <v>1015</v>
      </c>
      <c r="C50" s="1314" t="s">
        <v>1016</v>
      </c>
      <c r="D50" s="1443" t="s">
        <v>1568</v>
      </c>
      <c r="E50" s="1434">
        <v>2556.9699999999998</v>
      </c>
      <c r="F50" s="1464">
        <v>2556.9699999999998</v>
      </c>
      <c r="G50" s="249">
        <f t="shared" si="0"/>
        <v>2556.9699999999998</v>
      </c>
      <c r="H50" s="40"/>
      <c r="I50" s="1840"/>
      <c r="J50" s="40"/>
      <c r="K50" s="40"/>
    </row>
    <row r="51" spans="1:11">
      <c r="A51" s="895">
        <f t="shared" si="1"/>
        <v>6.3999999999999915</v>
      </c>
      <c r="B51" s="1314" t="s">
        <v>1017</v>
      </c>
      <c r="C51" s="1314" t="s">
        <v>1016</v>
      </c>
      <c r="D51" s="1443" t="s">
        <v>1568</v>
      </c>
      <c r="E51" s="1434">
        <v>203149.64</v>
      </c>
      <c r="F51" s="1464">
        <v>203149.64</v>
      </c>
      <c r="G51" s="249">
        <f t="shared" si="0"/>
        <v>203149.64</v>
      </c>
      <c r="H51" s="40"/>
      <c r="I51" s="1840"/>
      <c r="J51" s="40"/>
      <c r="K51" s="40"/>
    </row>
    <row r="52" spans="1:11">
      <c r="A52" s="895">
        <f t="shared" si="1"/>
        <v>6.4099999999999913</v>
      </c>
      <c r="B52" s="1314" t="s">
        <v>1018</v>
      </c>
      <c r="C52" s="1314" t="s">
        <v>1019</v>
      </c>
      <c r="D52" s="1443" t="s">
        <v>1568</v>
      </c>
      <c r="E52" s="1434">
        <v>49019.87</v>
      </c>
      <c r="F52" s="1464">
        <v>49019.87</v>
      </c>
      <c r="G52" s="249">
        <f t="shared" si="0"/>
        <v>49019.87</v>
      </c>
      <c r="H52" s="40"/>
      <c r="I52" s="1840"/>
      <c r="J52" s="40"/>
      <c r="K52" s="40"/>
    </row>
    <row r="53" spans="1:11">
      <c r="A53" s="895">
        <f t="shared" si="1"/>
        <v>6.419999999999991</v>
      </c>
      <c r="B53" s="1314" t="s">
        <v>1020</v>
      </c>
      <c r="C53" s="1314" t="s">
        <v>1019</v>
      </c>
      <c r="D53" s="1443" t="s">
        <v>1568</v>
      </c>
      <c r="E53" s="1434">
        <v>209640.8</v>
      </c>
      <c r="F53" s="1464">
        <v>209640.8</v>
      </c>
      <c r="G53" s="249">
        <f t="shared" si="0"/>
        <v>209640.8</v>
      </c>
      <c r="H53" s="40"/>
      <c r="I53" s="1840"/>
      <c r="J53" s="40"/>
      <c r="K53" s="40"/>
    </row>
    <row r="54" spans="1:11">
      <c r="A54" s="895">
        <f t="shared" si="1"/>
        <v>6.4299999999999908</v>
      </c>
      <c r="B54" s="1314" t="s">
        <v>1021</v>
      </c>
      <c r="C54" s="1314" t="s">
        <v>1022</v>
      </c>
      <c r="D54" s="1443" t="s">
        <v>1568</v>
      </c>
      <c r="E54" s="1434">
        <v>0</v>
      </c>
      <c r="F54" s="1464">
        <v>0</v>
      </c>
      <c r="G54" s="249">
        <f t="shared" si="0"/>
        <v>0</v>
      </c>
      <c r="H54" s="40"/>
      <c r="I54" s="1840"/>
      <c r="J54" s="40"/>
      <c r="K54" s="40"/>
    </row>
    <row r="55" spans="1:11">
      <c r="A55" s="895">
        <f t="shared" si="1"/>
        <v>6.4399999999999906</v>
      </c>
      <c r="B55" s="1314" t="s">
        <v>1023</v>
      </c>
      <c r="C55" s="1314" t="s">
        <v>1022</v>
      </c>
      <c r="D55" s="1443" t="s">
        <v>1568</v>
      </c>
      <c r="E55" s="1434">
        <v>1471175.17</v>
      </c>
      <c r="F55" s="1464">
        <v>1471175.17</v>
      </c>
      <c r="G55" s="249">
        <f t="shared" si="0"/>
        <v>1471175.17</v>
      </c>
      <c r="H55" s="40"/>
      <c r="I55" s="1840"/>
      <c r="J55" s="40"/>
      <c r="K55" s="40"/>
    </row>
    <row r="56" spans="1:11">
      <c r="A56" s="895">
        <f t="shared" si="1"/>
        <v>6.4499999999999904</v>
      </c>
      <c r="B56" s="1314" t="s">
        <v>1024</v>
      </c>
      <c r="C56" s="1314" t="s">
        <v>1025</v>
      </c>
      <c r="D56" s="1443" t="s">
        <v>1568</v>
      </c>
      <c r="E56" s="1434">
        <v>2039.79</v>
      </c>
      <c r="F56" s="1464">
        <v>2039.79</v>
      </c>
      <c r="G56" s="249">
        <f t="shared" si="0"/>
        <v>2039.79</v>
      </c>
      <c r="H56" s="40"/>
      <c r="I56" s="1840"/>
      <c r="J56" s="40"/>
      <c r="K56" s="40"/>
    </row>
    <row r="57" spans="1:11">
      <c r="A57" s="895">
        <f t="shared" si="1"/>
        <v>6.4599999999999902</v>
      </c>
      <c r="B57" s="1314" t="s">
        <v>1026</v>
      </c>
      <c r="C57" s="1314" t="s">
        <v>1025</v>
      </c>
      <c r="D57" s="1443" t="s">
        <v>1568</v>
      </c>
      <c r="E57" s="1434">
        <v>55237.95</v>
      </c>
      <c r="F57" s="1464">
        <v>115317.99</v>
      </c>
      <c r="G57" s="249">
        <f t="shared" si="0"/>
        <v>85277.97</v>
      </c>
      <c r="H57" s="40"/>
      <c r="I57" s="1840"/>
      <c r="J57" s="40"/>
      <c r="K57" s="40"/>
    </row>
    <row r="58" spans="1:11">
      <c r="A58" s="895">
        <f t="shared" si="1"/>
        <v>6.46999999999999</v>
      </c>
      <c r="B58" s="1314" t="s">
        <v>1027</v>
      </c>
      <c r="C58" s="1314" t="s">
        <v>1028</v>
      </c>
      <c r="D58" s="1443" t="s">
        <v>1568</v>
      </c>
      <c r="E58" s="1434">
        <v>92101.7</v>
      </c>
      <c r="F58" s="1464">
        <v>92101.7</v>
      </c>
      <c r="G58" s="249">
        <f t="shared" si="0"/>
        <v>92101.7</v>
      </c>
      <c r="H58" s="40"/>
      <c r="I58" s="1840"/>
      <c r="J58" s="40"/>
      <c r="K58" s="40"/>
    </row>
    <row r="59" spans="1:11">
      <c r="A59" s="895">
        <f t="shared" si="1"/>
        <v>6.4799999999999898</v>
      </c>
      <c r="B59" s="1314" t="s">
        <v>1029</v>
      </c>
      <c r="C59" s="1314" t="s">
        <v>1028</v>
      </c>
      <c r="D59" s="1443" t="s">
        <v>1568</v>
      </c>
      <c r="E59" s="1434">
        <v>83802.55</v>
      </c>
      <c r="F59" s="1464">
        <v>83802.55</v>
      </c>
      <c r="G59" s="249">
        <f t="shared" si="0"/>
        <v>83802.55</v>
      </c>
      <c r="H59" s="40"/>
      <c r="I59" s="1840"/>
      <c r="J59" s="40"/>
      <c r="K59" s="40"/>
    </row>
    <row r="60" spans="1:11">
      <c r="A60" s="895">
        <f t="shared" si="1"/>
        <v>6.4899999999999896</v>
      </c>
      <c r="B60" s="1314" t="s">
        <v>1030</v>
      </c>
      <c r="C60" s="1314" t="s">
        <v>1031</v>
      </c>
      <c r="D60" s="1443" t="s">
        <v>1568</v>
      </c>
      <c r="E60" s="1434">
        <v>5150.57</v>
      </c>
      <c r="F60" s="1464">
        <v>5150.57</v>
      </c>
      <c r="G60" s="249">
        <f t="shared" si="0"/>
        <v>5150.57</v>
      </c>
      <c r="H60" s="40"/>
      <c r="I60" s="1840"/>
      <c r="J60" s="40"/>
      <c r="K60" s="40"/>
    </row>
    <row r="61" spans="1:11">
      <c r="A61" s="895">
        <f t="shared" si="1"/>
        <v>6.4999999999999893</v>
      </c>
      <c r="B61" s="1314" t="s">
        <v>1032</v>
      </c>
      <c r="C61" s="1314" t="s">
        <v>1031</v>
      </c>
      <c r="D61" s="1443" t="s">
        <v>1568</v>
      </c>
      <c r="E61" s="1434">
        <v>55450.23</v>
      </c>
      <c r="F61" s="1464">
        <v>55450.23</v>
      </c>
      <c r="G61" s="249">
        <f t="shared" si="0"/>
        <v>55450.23</v>
      </c>
      <c r="H61" s="40"/>
      <c r="I61" s="1840"/>
      <c r="J61" s="40"/>
      <c r="K61" s="40"/>
    </row>
    <row r="62" spans="1:11">
      <c r="A62" s="895">
        <f t="shared" si="1"/>
        <v>6.5099999999999891</v>
      </c>
      <c r="B62" s="1314" t="s">
        <v>1033</v>
      </c>
      <c r="C62" s="1314" t="s">
        <v>1034</v>
      </c>
      <c r="D62" s="1443" t="s">
        <v>1568</v>
      </c>
      <c r="E62" s="1434">
        <v>-34.869999999999997</v>
      </c>
      <c r="F62" s="1464">
        <v>-34.869999999999997</v>
      </c>
      <c r="G62" s="249">
        <f t="shared" si="0"/>
        <v>-34.869999999999997</v>
      </c>
      <c r="H62" s="40"/>
      <c r="I62" s="1840"/>
      <c r="J62" s="40"/>
      <c r="K62" s="40"/>
    </row>
    <row r="63" spans="1:11">
      <c r="A63" s="895">
        <f t="shared" si="1"/>
        <v>6.5199999999999889</v>
      </c>
      <c r="B63" s="1314" t="s">
        <v>1035</v>
      </c>
      <c r="C63" s="1314" t="s">
        <v>1034</v>
      </c>
      <c r="D63" s="1443" t="s">
        <v>1568</v>
      </c>
      <c r="E63" s="1434">
        <v>42462.57</v>
      </c>
      <c r="F63" s="1464">
        <v>42462.57</v>
      </c>
      <c r="G63" s="249">
        <f t="shared" si="0"/>
        <v>42462.57</v>
      </c>
      <c r="H63" s="40"/>
      <c r="I63" s="1840"/>
      <c r="J63" s="40"/>
      <c r="K63" s="40"/>
    </row>
    <row r="64" spans="1:11">
      <c r="A64" s="895">
        <f t="shared" si="1"/>
        <v>6.5299999999999887</v>
      </c>
      <c r="B64" s="1314" t="s">
        <v>1036</v>
      </c>
      <c r="C64" s="1314" t="s">
        <v>1037</v>
      </c>
      <c r="D64" s="1443" t="s">
        <v>1568</v>
      </c>
      <c r="E64" s="1434">
        <v>1105.74</v>
      </c>
      <c r="F64" s="1464">
        <v>1105.74</v>
      </c>
      <c r="G64" s="249">
        <f t="shared" si="0"/>
        <v>1105.74</v>
      </c>
      <c r="H64" s="40"/>
      <c r="I64" s="1840"/>
      <c r="J64" s="40"/>
      <c r="K64" s="40"/>
    </row>
    <row r="65" spans="1:11">
      <c r="A65" s="895">
        <f t="shared" si="1"/>
        <v>6.5399999999999885</v>
      </c>
      <c r="B65" s="1314" t="s">
        <v>1038</v>
      </c>
      <c r="C65" s="1314" t="s">
        <v>1037</v>
      </c>
      <c r="D65" s="1443" t="s">
        <v>1568</v>
      </c>
      <c r="E65" s="1434">
        <v>972.17</v>
      </c>
      <c r="F65" s="1464">
        <v>977.87</v>
      </c>
      <c r="G65" s="249">
        <f t="shared" si="0"/>
        <v>975.02</v>
      </c>
      <c r="H65" s="40"/>
      <c r="I65" s="1840"/>
      <c r="J65" s="40"/>
      <c r="K65" s="40"/>
    </row>
    <row r="66" spans="1:11">
      <c r="A66" s="895">
        <f t="shared" si="1"/>
        <v>6.5499999999999883</v>
      </c>
      <c r="B66" s="1314" t="s">
        <v>1039</v>
      </c>
      <c r="C66" s="1314" t="s">
        <v>1040</v>
      </c>
      <c r="D66" s="1443" t="s">
        <v>1568</v>
      </c>
      <c r="E66" s="1434">
        <v>95174.2</v>
      </c>
      <c r="F66" s="1464">
        <v>95174.2</v>
      </c>
      <c r="G66" s="249">
        <f t="shared" si="0"/>
        <v>95174.2</v>
      </c>
      <c r="H66" s="40"/>
      <c r="I66" s="1840"/>
      <c r="J66" s="40"/>
      <c r="K66" s="40"/>
    </row>
    <row r="67" spans="1:11">
      <c r="A67" s="895">
        <f t="shared" si="1"/>
        <v>6.5599999999999881</v>
      </c>
      <c r="B67" s="1314" t="s">
        <v>1041</v>
      </c>
      <c r="C67" s="1314" t="s">
        <v>1040</v>
      </c>
      <c r="D67" s="1443" t="s">
        <v>1568</v>
      </c>
      <c r="E67" s="1434">
        <v>29998.66</v>
      </c>
      <c r="F67" s="1464">
        <v>29998.66</v>
      </c>
      <c r="G67" s="249">
        <f t="shared" si="0"/>
        <v>29998.66</v>
      </c>
      <c r="H67" s="40"/>
      <c r="I67" s="1840"/>
      <c r="J67" s="40"/>
      <c r="K67" s="40"/>
    </row>
    <row r="68" spans="1:11">
      <c r="A68" s="895">
        <f t="shared" si="1"/>
        <v>6.5699999999999878</v>
      </c>
      <c r="B68" s="1314" t="s">
        <v>1042</v>
      </c>
      <c r="C68" s="1314" t="s">
        <v>1043</v>
      </c>
      <c r="D68" s="1443" t="s">
        <v>1568</v>
      </c>
      <c r="E68" s="1434">
        <v>1342.39</v>
      </c>
      <c r="F68" s="1464">
        <v>56083.54</v>
      </c>
      <c r="G68" s="249">
        <f t="shared" si="0"/>
        <v>28712.965</v>
      </c>
      <c r="H68" s="40"/>
      <c r="I68" s="1840"/>
      <c r="J68" s="40"/>
      <c r="K68" s="40"/>
    </row>
    <row r="69" spans="1:11">
      <c r="A69" s="895">
        <f t="shared" si="1"/>
        <v>6.5799999999999876</v>
      </c>
      <c r="B69" s="1314" t="s">
        <v>1044</v>
      </c>
      <c r="C69" s="1314" t="s">
        <v>1043</v>
      </c>
      <c r="D69" s="1443" t="s">
        <v>1568</v>
      </c>
      <c r="E69" s="1434">
        <v>171657</v>
      </c>
      <c r="F69" s="1464">
        <v>171657</v>
      </c>
      <c r="G69" s="249">
        <f t="shared" si="0"/>
        <v>171657</v>
      </c>
      <c r="H69" s="40"/>
      <c r="I69" s="1840"/>
      <c r="J69" s="40"/>
      <c r="K69" s="40"/>
    </row>
    <row r="70" spans="1:11">
      <c r="A70" s="895">
        <f t="shared" si="1"/>
        <v>6.5899999999999874</v>
      </c>
      <c r="B70" s="1314" t="s">
        <v>1045</v>
      </c>
      <c r="C70" s="1314" t="s">
        <v>1046</v>
      </c>
      <c r="D70" s="1443" t="s">
        <v>1568</v>
      </c>
      <c r="E70" s="1434">
        <v>5066.09</v>
      </c>
      <c r="F70" s="1464">
        <v>5066.09</v>
      </c>
      <c r="G70" s="249">
        <f t="shared" si="0"/>
        <v>5066.09</v>
      </c>
      <c r="H70" s="40"/>
      <c r="I70" s="1840"/>
      <c r="J70" s="40"/>
      <c r="K70" s="40"/>
    </row>
    <row r="71" spans="1:11">
      <c r="A71" s="895">
        <f t="shared" si="1"/>
        <v>6.5999999999999872</v>
      </c>
      <c r="B71" s="1314" t="s">
        <v>1047</v>
      </c>
      <c r="C71" s="1314" t="s">
        <v>1046</v>
      </c>
      <c r="D71" s="1443" t="s">
        <v>1568</v>
      </c>
      <c r="E71" s="1434">
        <v>1092616.7</v>
      </c>
      <c r="F71" s="1464">
        <v>1092616.7</v>
      </c>
      <c r="G71" s="249">
        <f t="shared" si="0"/>
        <v>1092616.7</v>
      </c>
      <c r="H71" s="40"/>
      <c r="I71" s="1840"/>
      <c r="J71" s="40"/>
      <c r="K71" s="40"/>
    </row>
    <row r="72" spans="1:11">
      <c r="A72" s="895">
        <f t="shared" si="1"/>
        <v>6.609999999999987</v>
      </c>
      <c r="B72" s="1314" t="s">
        <v>1048</v>
      </c>
      <c r="C72" s="1314" t="s">
        <v>1049</v>
      </c>
      <c r="D72" s="1443" t="s">
        <v>1568</v>
      </c>
      <c r="E72" s="1434">
        <v>3122.2</v>
      </c>
      <c r="F72" s="1464">
        <v>3122.2</v>
      </c>
      <c r="G72" s="249">
        <f t="shared" si="0"/>
        <v>3122.2</v>
      </c>
      <c r="H72" s="40"/>
      <c r="I72" s="1840"/>
      <c r="J72" s="40"/>
      <c r="K72" s="40"/>
    </row>
    <row r="73" spans="1:11">
      <c r="A73" s="895">
        <f t="shared" si="1"/>
        <v>6.6199999999999868</v>
      </c>
      <c r="B73" s="1314" t="s">
        <v>1050</v>
      </c>
      <c r="C73" s="1314" t="s">
        <v>1049</v>
      </c>
      <c r="D73" s="1443" t="s">
        <v>1568</v>
      </c>
      <c r="E73" s="1434">
        <v>35918.42</v>
      </c>
      <c r="F73" s="1464">
        <v>35918.42</v>
      </c>
      <c r="G73" s="249">
        <f t="shared" si="0"/>
        <v>35918.42</v>
      </c>
      <c r="H73" s="40"/>
      <c r="I73" s="1840"/>
      <c r="J73" s="40"/>
      <c r="K73" s="40"/>
    </row>
    <row r="74" spans="1:11">
      <c r="A74" s="895">
        <f t="shared" si="1"/>
        <v>6.6299999999999866</v>
      </c>
      <c r="B74" s="1314" t="s">
        <v>1051</v>
      </c>
      <c r="C74" s="1314" t="s">
        <v>1049</v>
      </c>
      <c r="D74" s="1443" t="s">
        <v>1568</v>
      </c>
      <c r="E74" s="1434">
        <v>2638280.8199999998</v>
      </c>
      <c r="F74" s="1464">
        <v>2641388.56</v>
      </c>
      <c r="G74" s="249">
        <f t="shared" si="0"/>
        <v>2639834.69</v>
      </c>
      <c r="H74" s="40"/>
      <c r="I74" s="1840"/>
      <c r="J74" s="40"/>
      <c r="K74" s="40"/>
    </row>
    <row r="75" spans="1:11">
      <c r="A75" s="895">
        <f t="shared" si="1"/>
        <v>6.6399999999999864</v>
      </c>
      <c r="B75" s="1314" t="s">
        <v>1052</v>
      </c>
      <c r="C75" s="1314" t="s">
        <v>1053</v>
      </c>
      <c r="D75" s="1443" t="s">
        <v>1568</v>
      </c>
      <c r="E75" s="1434">
        <v>282541.11</v>
      </c>
      <c r="F75" s="1464">
        <v>282541.11</v>
      </c>
      <c r="G75" s="249">
        <f t="shared" si="0"/>
        <v>282541.11</v>
      </c>
      <c r="H75" s="40"/>
      <c r="I75" s="1840"/>
      <c r="J75" s="40"/>
      <c r="K75" s="40"/>
    </row>
    <row r="76" spans="1:11">
      <c r="A76" s="895">
        <f t="shared" si="1"/>
        <v>6.6499999999999861</v>
      </c>
      <c r="B76" s="1314" t="s">
        <v>1054</v>
      </c>
      <c r="C76" s="1314" t="s">
        <v>1053</v>
      </c>
      <c r="D76" s="1443" t="s">
        <v>1568</v>
      </c>
      <c r="E76" s="1434">
        <v>350180.72</v>
      </c>
      <c r="F76" s="1464">
        <v>353871.05</v>
      </c>
      <c r="G76" s="249">
        <f t="shared" si="0"/>
        <v>352025.88500000001</v>
      </c>
      <c r="H76" s="40"/>
      <c r="I76" s="1840"/>
      <c r="J76" s="40"/>
      <c r="K76" s="40"/>
    </row>
    <row r="77" spans="1:11">
      <c r="A77" s="895">
        <f t="shared" si="1"/>
        <v>6.6599999999999859</v>
      </c>
      <c r="B77" s="1314" t="s">
        <v>1055</v>
      </c>
      <c r="C77" s="1314" t="s">
        <v>1056</v>
      </c>
      <c r="D77" s="1443" t="s">
        <v>1568</v>
      </c>
      <c r="E77" s="1434">
        <v>816100.5</v>
      </c>
      <c r="F77" s="1464">
        <v>816100.5</v>
      </c>
      <c r="G77" s="249">
        <f t="shared" ref="G77:G102" si="2">+SUM(E77,F77)/2</f>
        <v>816100.5</v>
      </c>
      <c r="H77" s="40"/>
      <c r="I77" s="1840"/>
      <c r="J77" s="40"/>
      <c r="K77" s="40"/>
    </row>
    <row r="78" spans="1:11">
      <c r="A78" s="895">
        <f t="shared" si="1"/>
        <v>6.6699999999999857</v>
      </c>
      <c r="B78" s="1314" t="s">
        <v>1057</v>
      </c>
      <c r="C78" s="1314" t="s">
        <v>1058</v>
      </c>
      <c r="D78" s="1443" t="s">
        <v>1568</v>
      </c>
      <c r="E78" s="1434">
        <v>1762.92</v>
      </c>
      <c r="F78" s="1464">
        <v>1762.92</v>
      </c>
      <c r="G78" s="249">
        <f t="shared" si="2"/>
        <v>1762.92</v>
      </c>
      <c r="H78" s="40"/>
      <c r="I78" s="1840"/>
      <c r="J78" s="40"/>
      <c r="K78" s="40"/>
    </row>
    <row r="79" spans="1:11">
      <c r="A79" s="895">
        <f t="shared" ref="A79:A98" si="3">+A78+0.01</f>
        <v>6.6799999999999855</v>
      </c>
      <c r="B79" s="1314" t="s">
        <v>1059</v>
      </c>
      <c r="C79" s="1314" t="s">
        <v>1060</v>
      </c>
      <c r="D79" s="1443" t="s">
        <v>1568</v>
      </c>
      <c r="E79" s="1434">
        <v>91.23</v>
      </c>
      <c r="F79" s="1464">
        <v>91.23</v>
      </c>
      <c r="G79" s="249">
        <f t="shared" si="2"/>
        <v>91.23</v>
      </c>
      <c r="H79" s="40"/>
      <c r="I79" s="1840"/>
      <c r="J79" s="40"/>
      <c r="K79" s="40"/>
    </row>
    <row r="80" spans="1:11">
      <c r="A80" s="895">
        <f t="shared" si="3"/>
        <v>6.6899999999999853</v>
      </c>
      <c r="B80" s="1314" t="s">
        <v>1061</v>
      </c>
      <c r="C80" s="1314" t="s">
        <v>1060</v>
      </c>
      <c r="D80" s="1443" t="s">
        <v>1568</v>
      </c>
      <c r="E80" s="1434">
        <v>214251.56</v>
      </c>
      <c r="F80" s="1464">
        <v>430897.58</v>
      </c>
      <c r="G80" s="249">
        <f t="shared" si="2"/>
        <v>322574.57</v>
      </c>
      <c r="H80" s="40"/>
      <c r="I80" s="1840"/>
      <c r="J80" s="40"/>
      <c r="K80" s="40"/>
    </row>
    <row r="81" spans="1:11">
      <c r="A81" s="895">
        <f t="shared" si="3"/>
        <v>6.6999999999999851</v>
      </c>
      <c r="B81" s="1314" t="s">
        <v>1062</v>
      </c>
      <c r="C81" s="1314" t="s">
        <v>1063</v>
      </c>
      <c r="D81" s="1443" t="s">
        <v>1568</v>
      </c>
      <c r="E81" s="1434">
        <v>7918036.8700000001</v>
      </c>
      <c r="F81" s="1464">
        <v>7918036.8700000001</v>
      </c>
      <c r="G81" s="249">
        <f t="shared" si="2"/>
        <v>7918036.8700000001</v>
      </c>
      <c r="H81" s="40"/>
      <c r="I81" s="1840"/>
      <c r="J81" s="40"/>
      <c r="K81" s="40"/>
    </row>
    <row r="82" spans="1:11">
      <c r="A82" s="895">
        <f t="shared" si="3"/>
        <v>6.7099999999999849</v>
      </c>
      <c r="B82" s="1314" t="s">
        <v>1064</v>
      </c>
      <c r="C82" s="1314" t="s">
        <v>1063</v>
      </c>
      <c r="D82" s="1443" t="s">
        <v>1568</v>
      </c>
      <c r="E82" s="1434">
        <v>2566036.79</v>
      </c>
      <c r="F82" s="1464">
        <v>2576057.4500000002</v>
      </c>
      <c r="G82" s="249">
        <f t="shared" si="2"/>
        <v>2571047.12</v>
      </c>
      <c r="H82" s="40"/>
      <c r="I82" s="1840"/>
      <c r="J82" s="40"/>
      <c r="K82" s="40"/>
    </row>
    <row r="83" spans="1:11">
      <c r="A83" s="895">
        <f t="shared" si="3"/>
        <v>6.7199999999999847</v>
      </c>
      <c r="B83" s="1314" t="s">
        <v>1065</v>
      </c>
      <c r="C83" s="1314" t="s">
        <v>1066</v>
      </c>
      <c r="D83" s="1443" t="s">
        <v>1568</v>
      </c>
      <c r="E83" s="1434">
        <v>17983.560000000001</v>
      </c>
      <c r="F83" s="1464">
        <v>17983.560000000001</v>
      </c>
      <c r="G83" s="249">
        <f t="shared" si="2"/>
        <v>17983.560000000001</v>
      </c>
      <c r="H83" s="40"/>
      <c r="I83" s="1840"/>
      <c r="J83" s="40"/>
      <c r="K83" s="40"/>
    </row>
    <row r="84" spans="1:11">
      <c r="A84" s="895">
        <f t="shared" si="3"/>
        <v>6.7299999999999844</v>
      </c>
      <c r="B84" s="1314" t="s">
        <v>1067</v>
      </c>
      <c r="C84" s="1314" t="s">
        <v>1066</v>
      </c>
      <c r="D84" s="1443" t="s">
        <v>1568</v>
      </c>
      <c r="E84" s="1434">
        <v>357248.76</v>
      </c>
      <c r="F84" s="1464">
        <v>357248.76</v>
      </c>
      <c r="G84" s="249">
        <f t="shared" si="2"/>
        <v>357248.76</v>
      </c>
      <c r="H84" s="40"/>
      <c r="I84" s="1840"/>
      <c r="J84" s="40"/>
      <c r="K84" s="40"/>
    </row>
    <row r="85" spans="1:11">
      <c r="A85" s="895">
        <f t="shared" si="3"/>
        <v>6.7399999999999842</v>
      </c>
      <c r="B85" s="1314" t="s">
        <v>1068</v>
      </c>
      <c r="C85" s="1314" t="s">
        <v>1069</v>
      </c>
      <c r="D85" s="1443" t="s">
        <v>1568</v>
      </c>
      <c r="E85" s="1434">
        <v>157077.46</v>
      </c>
      <c r="F85" s="1464">
        <v>157077.46</v>
      </c>
      <c r="G85" s="249">
        <f t="shared" si="2"/>
        <v>157077.46</v>
      </c>
      <c r="H85" s="40"/>
      <c r="I85" s="1840"/>
      <c r="J85" s="40"/>
      <c r="K85" s="40"/>
    </row>
    <row r="86" spans="1:11">
      <c r="A86" s="895">
        <f t="shared" si="3"/>
        <v>6.749999999999984</v>
      </c>
      <c r="B86" s="1314" t="s">
        <v>1070</v>
      </c>
      <c r="C86" s="1314" t="s">
        <v>1069</v>
      </c>
      <c r="D86" s="1443" t="s">
        <v>1568</v>
      </c>
      <c r="E86" s="1434">
        <v>272061.46999999997</v>
      </c>
      <c r="F86" s="1464">
        <v>272061.46999999997</v>
      </c>
      <c r="G86" s="249">
        <f t="shared" si="2"/>
        <v>272061.46999999997</v>
      </c>
      <c r="H86" s="40"/>
      <c r="I86" s="1840"/>
      <c r="J86" s="40"/>
      <c r="K86" s="40"/>
    </row>
    <row r="87" spans="1:11">
      <c r="A87" s="895">
        <f t="shared" si="3"/>
        <v>6.7599999999999838</v>
      </c>
      <c r="B87" s="1314" t="s">
        <v>1071</v>
      </c>
      <c r="C87" s="1314" t="s">
        <v>1072</v>
      </c>
      <c r="D87" s="1443" t="s">
        <v>1568</v>
      </c>
      <c r="E87" s="1434">
        <v>0</v>
      </c>
      <c r="F87" s="1464">
        <v>0</v>
      </c>
      <c r="G87" s="249">
        <f t="shared" si="2"/>
        <v>0</v>
      </c>
      <c r="H87" s="40"/>
      <c r="I87" s="1840"/>
      <c r="J87" s="40"/>
      <c r="K87" s="40"/>
    </row>
    <row r="88" spans="1:11">
      <c r="A88" s="895">
        <f t="shared" si="3"/>
        <v>6.7699999999999836</v>
      </c>
      <c r="B88" s="1314" t="s">
        <v>1073</v>
      </c>
      <c r="C88" s="1314" t="s">
        <v>1074</v>
      </c>
      <c r="D88" s="1443" t="s">
        <v>1568</v>
      </c>
      <c r="E88" s="1434">
        <v>0</v>
      </c>
      <c r="F88" s="1464">
        <v>0</v>
      </c>
      <c r="G88" s="249">
        <f t="shared" si="2"/>
        <v>0</v>
      </c>
      <c r="H88" s="40"/>
      <c r="I88" s="1840"/>
      <c r="J88" s="40"/>
      <c r="K88" s="40"/>
    </row>
    <row r="89" spans="1:11">
      <c r="A89" s="895">
        <f t="shared" si="3"/>
        <v>6.7799999999999834</v>
      </c>
      <c r="B89" s="1314" t="s">
        <v>1075</v>
      </c>
      <c r="C89" s="1314" t="s">
        <v>1076</v>
      </c>
      <c r="D89" s="1443" t="s">
        <v>1568</v>
      </c>
      <c r="E89" s="1434">
        <v>0</v>
      </c>
      <c r="F89" s="1464">
        <v>0</v>
      </c>
      <c r="G89" s="249">
        <f t="shared" si="2"/>
        <v>0</v>
      </c>
      <c r="H89" s="40"/>
      <c r="I89" s="1840"/>
      <c r="J89" s="40"/>
      <c r="K89" s="40"/>
    </row>
    <row r="90" spans="1:11">
      <c r="A90" s="895">
        <f t="shared" si="3"/>
        <v>6.7899999999999832</v>
      </c>
      <c r="B90" s="1314" t="s">
        <v>1077</v>
      </c>
      <c r="C90" s="1314" t="s">
        <v>1078</v>
      </c>
      <c r="D90" s="1443" t="s">
        <v>1568</v>
      </c>
      <c r="E90" s="1434">
        <v>0</v>
      </c>
      <c r="F90" s="1464">
        <v>0</v>
      </c>
      <c r="G90" s="249">
        <f t="shared" si="2"/>
        <v>0</v>
      </c>
      <c r="H90" s="40"/>
      <c r="I90" s="1840"/>
      <c r="J90" s="40"/>
      <c r="K90" s="40"/>
    </row>
    <row r="91" spans="1:11">
      <c r="A91" s="895">
        <f t="shared" si="3"/>
        <v>6.7999999999999829</v>
      </c>
      <c r="B91" s="1314" t="s">
        <v>1079</v>
      </c>
      <c r="C91" s="1314" t="s">
        <v>1080</v>
      </c>
      <c r="D91" s="1443" t="s">
        <v>1568</v>
      </c>
      <c r="E91" s="1434">
        <v>62576.639999999999</v>
      </c>
      <c r="F91" s="1464">
        <v>62576.639999999999</v>
      </c>
      <c r="G91" s="249">
        <f t="shared" si="2"/>
        <v>62576.639999999999</v>
      </c>
      <c r="H91" s="40"/>
      <c r="I91" s="1840"/>
      <c r="J91" s="40"/>
      <c r="K91" s="40"/>
    </row>
    <row r="92" spans="1:11">
      <c r="A92" s="895">
        <f t="shared" si="3"/>
        <v>6.8099999999999827</v>
      </c>
      <c r="B92" s="1314" t="s">
        <v>1081</v>
      </c>
      <c r="C92" s="1314" t="s">
        <v>1080</v>
      </c>
      <c r="D92" s="1443" t="s">
        <v>1568</v>
      </c>
      <c r="E92" s="1434">
        <v>311853.96000000002</v>
      </c>
      <c r="F92" s="1464">
        <v>311853.96000000002</v>
      </c>
      <c r="G92" s="249">
        <f t="shared" si="2"/>
        <v>311853.96000000002</v>
      </c>
      <c r="H92" s="40"/>
      <c r="I92" s="1840"/>
      <c r="J92" s="40"/>
      <c r="K92" s="40"/>
    </row>
    <row r="93" spans="1:11">
      <c r="A93" s="895">
        <f t="shared" si="3"/>
        <v>6.8199999999999825</v>
      </c>
      <c r="B93" s="1314" t="s">
        <v>1082</v>
      </c>
      <c r="C93" s="1314" t="s">
        <v>1080</v>
      </c>
      <c r="D93" s="1443" t="s">
        <v>1568</v>
      </c>
      <c r="E93" s="1434">
        <v>77044.960000000006</v>
      </c>
      <c r="F93" s="1464">
        <v>77044.960000000006</v>
      </c>
      <c r="G93" s="249">
        <f t="shared" si="2"/>
        <v>77044.960000000006</v>
      </c>
      <c r="H93" s="40"/>
      <c r="I93" s="1840"/>
      <c r="J93" s="40"/>
      <c r="K93" s="40"/>
    </row>
    <row r="94" spans="1:11">
      <c r="A94" s="895">
        <f t="shared" si="3"/>
        <v>6.8299999999999823</v>
      </c>
      <c r="B94" s="1314" t="s">
        <v>1083</v>
      </c>
      <c r="C94" s="1314" t="s">
        <v>1084</v>
      </c>
      <c r="D94" s="1443" t="s">
        <v>1568</v>
      </c>
      <c r="E94" s="1434">
        <v>73924.570000000007</v>
      </c>
      <c r="F94" s="1464">
        <v>73924.570000000007</v>
      </c>
      <c r="G94" s="249">
        <f t="shared" si="2"/>
        <v>73924.570000000007</v>
      </c>
      <c r="H94" s="40"/>
      <c r="I94" s="1840"/>
      <c r="J94" s="40"/>
      <c r="K94" s="40"/>
    </row>
    <row r="95" spans="1:11">
      <c r="A95" s="895">
        <f t="shared" si="3"/>
        <v>6.8399999999999821</v>
      </c>
      <c r="B95" s="1314" t="s">
        <v>1085</v>
      </c>
      <c r="C95" s="1314" t="s">
        <v>1086</v>
      </c>
      <c r="D95" s="1443" t="s">
        <v>1568</v>
      </c>
      <c r="E95" s="1434">
        <v>10447.25</v>
      </c>
      <c r="F95" s="1464">
        <v>10447.25</v>
      </c>
      <c r="G95" s="249">
        <f t="shared" si="2"/>
        <v>10447.25</v>
      </c>
      <c r="H95" s="40"/>
      <c r="I95" s="1840"/>
      <c r="J95" s="40"/>
      <c r="K95" s="40"/>
    </row>
    <row r="96" spans="1:11">
      <c r="A96" s="895">
        <f t="shared" si="3"/>
        <v>6.8499999999999819</v>
      </c>
      <c r="B96" s="1314" t="s">
        <v>1087</v>
      </c>
      <c r="C96" s="1314" t="s">
        <v>1086</v>
      </c>
      <c r="D96" s="1443" t="s">
        <v>1568</v>
      </c>
      <c r="E96" s="1434">
        <v>9203.34</v>
      </c>
      <c r="F96" s="1464">
        <v>9203.34</v>
      </c>
      <c r="G96" s="249">
        <f t="shared" si="2"/>
        <v>9203.34</v>
      </c>
      <c r="H96" s="40"/>
      <c r="I96" s="1840"/>
      <c r="J96" s="40"/>
      <c r="K96" s="40"/>
    </row>
    <row r="97" spans="1:11">
      <c r="A97" s="895">
        <f t="shared" si="3"/>
        <v>6.8599999999999817</v>
      </c>
      <c r="B97" s="1314" t="s">
        <v>1088</v>
      </c>
      <c r="C97" s="1314" t="s">
        <v>1086</v>
      </c>
      <c r="D97" s="1443" t="s">
        <v>1568</v>
      </c>
      <c r="E97" s="1434">
        <v>334347.3</v>
      </c>
      <c r="F97" s="1464">
        <v>334347.3</v>
      </c>
      <c r="G97" s="249">
        <f t="shared" si="2"/>
        <v>334347.3</v>
      </c>
      <c r="H97" s="40"/>
      <c r="I97" s="1840"/>
      <c r="J97" s="40"/>
      <c r="K97" s="40"/>
    </row>
    <row r="98" spans="1:11">
      <c r="A98" s="895">
        <f t="shared" si="3"/>
        <v>6.8699999999999815</v>
      </c>
      <c r="B98" s="1314" t="s">
        <v>1089</v>
      </c>
      <c r="C98" s="1314" t="s">
        <v>1090</v>
      </c>
      <c r="D98" s="1443" t="s">
        <v>1568</v>
      </c>
      <c r="E98" s="1434">
        <v>110199.72</v>
      </c>
      <c r="F98" s="1464">
        <v>110199.72</v>
      </c>
      <c r="G98" s="249">
        <f t="shared" si="2"/>
        <v>110199.72</v>
      </c>
      <c r="H98" s="40"/>
      <c r="I98" s="1840"/>
      <c r="J98" s="40"/>
      <c r="K98" s="40"/>
    </row>
    <row r="99" spans="1:11">
      <c r="A99" s="1253" t="s">
        <v>909</v>
      </c>
      <c r="B99" s="1315" t="s">
        <v>913</v>
      </c>
      <c r="C99" s="1315"/>
      <c r="D99" s="1315"/>
      <c r="E99" s="1401">
        <v>0</v>
      </c>
      <c r="F99" s="1465">
        <v>0</v>
      </c>
      <c r="G99" s="249">
        <f t="shared" si="2"/>
        <v>0</v>
      </c>
      <c r="H99" s="40"/>
      <c r="I99" s="40"/>
    </row>
    <row r="100" spans="1:11">
      <c r="A100" s="1253" t="s">
        <v>909</v>
      </c>
      <c r="B100" s="1315" t="s">
        <v>913</v>
      </c>
      <c r="C100" s="1315"/>
      <c r="D100" s="1315"/>
      <c r="E100" s="1401">
        <v>0</v>
      </c>
      <c r="F100" s="1465">
        <v>0</v>
      </c>
      <c r="G100" s="249">
        <f t="shared" si="2"/>
        <v>0</v>
      </c>
      <c r="H100" s="40"/>
      <c r="I100" s="40"/>
    </row>
    <row r="101" spans="1:11">
      <c r="A101" s="1253" t="s">
        <v>909</v>
      </c>
      <c r="B101" s="1315" t="s">
        <v>913</v>
      </c>
      <c r="C101" s="1315"/>
      <c r="D101" s="1315"/>
      <c r="E101" s="1401">
        <v>0</v>
      </c>
      <c r="F101" s="1465">
        <v>0</v>
      </c>
      <c r="G101" s="249">
        <f t="shared" si="2"/>
        <v>0</v>
      </c>
      <c r="H101" s="40"/>
      <c r="I101" s="40"/>
    </row>
    <row r="102" spans="1:11">
      <c r="A102" s="1253" t="s">
        <v>909</v>
      </c>
      <c r="B102" s="1315" t="s">
        <v>913</v>
      </c>
      <c r="C102" s="1315"/>
      <c r="D102" s="1315"/>
      <c r="E102" s="1402">
        <v>0</v>
      </c>
      <c r="F102" s="1466">
        <v>0</v>
      </c>
      <c r="G102" s="532">
        <f t="shared" si="2"/>
        <v>0</v>
      </c>
      <c r="H102" s="40"/>
      <c r="I102" s="40"/>
    </row>
    <row r="103" spans="1:11">
      <c r="A103" s="895">
        <f>+A11+1</f>
        <v>7</v>
      </c>
      <c r="B103" s="1165" t="s">
        <v>113</v>
      </c>
      <c r="C103" s="1165"/>
      <c r="D103" s="1165"/>
      <c r="E103" s="1154">
        <f>SUM(E12:E102)</f>
        <v>20430251.310000002</v>
      </c>
      <c r="F103" s="1154">
        <f>SUM(F12:F102)</f>
        <v>21154717.610000003</v>
      </c>
      <c r="G103" s="1154">
        <f>SUM(G12:G102)</f>
        <v>20792484.460000005</v>
      </c>
      <c r="H103" s="40"/>
      <c r="I103" s="40"/>
    </row>
    <row r="104" spans="1:11">
      <c r="A104" s="530"/>
      <c r="B104" s="40"/>
      <c r="C104" s="40"/>
      <c r="D104" s="40"/>
      <c r="E104" s="40"/>
      <c r="F104" s="896"/>
      <c r="G104" s="40"/>
    </row>
    <row r="105" spans="1:11">
      <c r="A105" s="40" t="s">
        <v>295</v>
      </c>
      <c r="B105" s="40"/>
      <c r="C105" s="40"/>
      <c r="D105" s="40"/>
      <c r="E105" s="40"/>
      <c r="F105" s="40"/>
      <c r="G105" s="40"/>
    </row>
    <row r="106" spans="1:11" s="644" customFormat="1">
      <c r="A106" s="835" t="s">
        <v>170</v>
      </c>
      <c r="B106" s="1758" t="str">
        <f>+"Reference Appendix A Note "&amp;'Appendix A'!A318</f>
        <v>Reference Appendix A Note M</v>
      </c>
      <c r="C106" s="1758"/>
      <c r="D106" s="1758"/>
      <c r="E106" s="1758"/>
      <c r="F106" s="1758"/>
      <c r="G106" s="1758"/>
    </row>
    <row r="107" spans="1:11">
      <c r="A107" s="835"/>
    </row>
  </sheetData>
  <mergeCells count="5">
    <mergeCell ref="B106:G106"/>
    <mergeCell ref="A1:G1"/>
    <mergeCell ref="A2:G2"/>
    <mergeCell ref="A3:G3"/>
    <mergeCell ref="I14:M19"/>
  </mergeCells>
  <printOptions horizontalCentered="1"/>
  <pageMargins left="0.7" right="0.7" top="0.7" bottom="0.7" header="0.3" footer="0.5"/>
  <pageSetup scale="72" fitToHeight="2" orientation="portrait" r:id="rId1"/>
  <headerFooter>
    <oddFooter>&amp;CPage &amp;P of &amp;N&amp;R&amp;A</oddFooter>
  </headerFooter>
  <ignoredErrors>
    <ignoredError sqref="E7:F8" formulaRange="1"/>
    <ignoredError sqref="A106"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23"/>
  <sheetViews>
    <sheetView zoomScaleNormal="100" workbookViewId="0">
      <selection activeCell="A9" sqref="A9"/>
    </sheetView>
  </sheetViews>
  <sheetFormatPr defaultColWidth="8.88671875" defaultRowHeight="13.2"/>
  <cols>
    <col min="1" max="1" width="6.44140625" style="646" bestFit="1" customWidth="1"/>
    <col min="2" max="2" width="44.44140625" style="39" customWidth="1"/>
    <col min="3" max="11" width="11.44140625" style="39" bestFit="1" customWidth="1"/>
    <col min="12" max="16" width="11.33203125" style="39" customWidth="1"/>
    <col min="17" max="16384" width="8.88671875" style="39"/>
  </cols>
  <sheetData>
    <row r="1" spans="1:17">
      <c r="A1" s="1761" t="str">
        <f>+'MISO Cover'!C6</f>
        <v>Entergy Texas, Inc.</v>
      </c>
      <c r="B1" s="1761"/>
      <c r="C1" s="1761"/>
      <c r="D1" s="1761"/>
      <c r="E1" s="1761"/>
      <c r="F1" s="1761"/>
      <c r="G1" s="1761"/>
      <c r="H1" s="1761"/>
      <c r="I1" s="1761"/>
      <c r="J1" s="1761"/>
      <c r="K1" s="1761"/>
      <c r="L1" s="1761"/>
      <c r="M1" s="1761"/>
      <c r="N1" s="1761"/>
      <c r="O1" s="1761"/>
      <c r="P1" s="1761"/>
      <c r="Q1" s="755"/>
    </row>
    <row r="2" spans="1:17">
      <c r="A2" s="1759" t="s">
        <v>879</v>
      </c>
      <c r="B2" s="1759"/>
      <c r="C2" s="1759"/>
      <c r="D2" s="1759"/>
      <c r="E2" s="1759"/>
      <c r="F2" s="1759"/>
      <c r="G2" s="1759"/>
      <c r="H2" s="1759"/>
      <c r="I2" s="1759"/>
      <c r="J2" s="1759"/>
      <c r="K2" s="1759"/>
      <c r="L2" s="1759"/>
      <c r="M2" s="1759"/>
      <c r="N2" s="1759"/>
      <c r="O2" s="1759"/>
      <c r="P2" s="1759"/>
    </row>
    <row r="3" spans="1:17">
      <c r="A3" s="1759" t="str">
        <f>+'MISO Cover'!K4</f>
        <v>For  the 12 Months Ended 12/31/2016</v>
      </c>
      <c r="B3" s="1759"/>
      <c r="C3" s="1759"/>
      <c r="D3" s="1759"/>
      <c r="E3" s="1759"/>
      <c r="F3" s="1759"/>
      <c r="G3" s="1759"/>
      <c r="H3" s="1759"/>
      <c r="I3" s="1759"/>
      <c r="J3" s="1759"/>
      <c r="K3" s="1759"/>
      <c r="L3" s="1759"/>
      <c r="M3" s="1759"/>
      <c r="N3" s="1759"/>
      <c r="O3" s="1759"/>
      <c r="P3" s="1759"/>
    </row>
    <row r="4" spans="1:17">
      <c r="A4" s="715"/>
    </row>
    <row r="5" spans="1:17" s="717" customFormat="1">
      <c r="A5" s="715" t="s">
        <v>277</v>
      </c>
      <c r="B5" s="717" t="s">
        <v>67</v>
      </c>
      <c r="C5" s="717" t="s">
        <v>114</v>
      </c>
      <c r="D5" s="717" t="s">
        <v>55</v>
      </c>
      <c r="E5" s="717" t="s">
        <v>68</v>
      </c>
      <c r="F5" s="717" t="s">
        <v>66</v>
      </c>
      <c r="G5" s="717" t="s">
        <v>156</v>
      </c>
      <c r="H5" s="717" t="s">
        <v>69</v>
      </c>
      <c r="I5" s="717" t="s">
        <v>169</v>
      </c>
      <c r="J5" s="717" t="s">
        <v>59</v>
      </c>
      <c r="K5" s="717" t="s">
        <v>60</v>
      </c>
      <c r="L5" s="717" t="s">
        <v>71</v>
      </c>
      <c r="M5" s="717" t="s">
        <v>98</v>
      </c>
      <c r="N5" s="717" t="s">
        <v>99</v>
      </c>
      <c r="O5" s="717" t="s">
        <v>157</v>
      </c>
      <c r="P5" s="717" t="s">
        <v>219</v>
      </c>
    </row>
    <row r="6" spans="1:17" s="717" customFormat="1">
      <c r="A6" s="715"/>
      <c r="C6" s="1409" t="s">
        <v>37</v>
      </c>
      <c r="D6" s="1409" t="s">
        <v>27</v>
      </c>
      <c r="E6" s="1409" t="s">
        <v>28</v>
      </c>
      <c r="F6" s="1409" t="s">
        <v>29</v>
      </c>
      <c r="G6" s="1409" t="s">
        <v>30</v>
      </c>
      <c r="H6" s="1409" t="s">
        <v>26</v>
      </c>
      <c r="I6" s="1409" t="s">
        <v>31</v>
      </c>
      <c r="J6" s="1409" t="s">
        <v>32</v>
      </c>
      <c r="K6" s="1409" t="s">
        <v>33</v>
      </c>
      <c r="L6" s="1409" t="s">
        <v>34</v>
      </c>
      <c r="M6" s="1409" t="s">
        <v>35</v>
      </c>
      <c r="N6" s="1409" t="s">
        <v>36</v>
      </c>
      <c r="O6" s="1409" t="s">
        <v>37</v>
      </c>
      <c r="P6" s="1415" t="s">
        <v>411</v>
      </c>
    </row>
    <row r="7" spans="1:17">
      <c r="A7" s="880">
        <v>1</v>
      </c>
      <c r="B7" s="39" t="s">
        <v>514</v>
      </c>
      <c r="C7" s="756"/>
      <c r="D7" s="756"/>
    </row>
    <row r="8" spans="1:17">
      <c r="A8" s="1249">
        <f>A7+0.1</f>
        <v>1.1000000000000001</v>
      </c>
      <c r="B8" s="1197" t="s">
        <v>913</v>
      </c>
      <c r="C8" s="1250"/>
      <c r="D8" s="1250"/>
      <c r="E8" s="1250"/>
      <c r="F8" s="1250"/>
      <c r="G8" s="1250"/>
      <c r="H8" s="1250"/>
      <c r="I8" s="1250"/>
      <c r="J8" s="1250"/>
      <c r="K8" s="1250"/>
      <c r="L8" s="1250"/>
      <c r="M8" s="1250"/>
      <c r="N8" s="1250"/>
      <c r="O8" s="1250"/>
      <c r="P8" s="236">
        <f>+SUM(C8:O8)/13</f>
        <v>0</v>
      </c>
    </row>
    <row r="9" spans="1:17">
      <c r="A9" s="1249" t="s">
        <v>904</v>
      </c>
      <c r="B9" s="1197" t="s">
        <v>913</v>
      </c>
      <c r="C9" s="1250"/>
      <c r="D9" s="1250"/>
      <c r="E9" s="1250"/>
      <c r="F9" s="1250"/>
      <c r="G9" s="1250"/>
      <c r="H9" s="1250"/>
      <c r="I9" s="1250"/>
      <c r="J9" s="1250"/>
      <c r="K9" s="1250"/>
      <c r="L9" s="1250"/>
      <c r="M9" s="1250"/>
      <c r="N9" s="1250"/>
      <c r="O9" s="1250"/>
      <c r="P9" s="236">
        <f>+SUM(C9:O9)/13</f>
        <v>0</v>
      </c>
    </row>
    <row r="10" spans="1:17" ht="15">
      <c r="A10" s="1249" t="s">
        <v>908</v>
      </c>
      <c r="B10" s="1197" t="s">
        <v>913</v>
      </c>
      <c r="C10" s="1251"/>
      <c r="D10" s="1251"/>
      <c r="E10" s="1251"/>
      <c r="F10" s="1251"/>
      <c r="G10" s="1251"/>
      <c r="H10" s="1251"/>
      <c r="I10" s="1251"/>
      <c r="J10" s="1251"/>
      <c r="K10" s="1251"/>
      <c r="L10" s="1251"/>
      <c r="M10" s="1251"/>
      <c r="N10" s="1251"/>
      <c r="O10" s="1251"/>
      <c r="P10" s="533">
        <f>+SUM(C10:O10)/13</f>
        <v>0</v>
      </c>
    </row>
    <row r="11" spans="1:17">
      <c r="A11" s="1169">
        <f>+A7+1</f>
        <v>2</v>
      </c>
      <c r="B11" s="539" t="str">
        <f>+"Total - Generator (Sum of Line "&amp;A7&amp;" Subparts)"</f>
        <v>Total - Generator (Sum of Line 1 Subparts)</v>
      </c>
      <c r="C11" s="659">
        <f t="shared" ref="C11:P11" si="0">SUM(C8:C10)</f>
        <v>0</v>
      </c>
      <c r="D11" s="659">
        <f t="shared" si="0"/>
        <v>0</v>
      </c>
      <c r="E11" s="659">
        <f t="shared" si="0"/>
        <v>0</v>
      </c>
      <c r="F11" s="659">
        <f t="shared" si="0"/>
        <v>0</v>
      </c>
      <c r="G11" s="659">
        <f t="shared" si="0"/>
        <v>0</v>
      </c>
      <c r="H11" s="659">
        <f t="shared" si="0"/>
        <v>0</v>
      </c>
      <c r="I11" s="659">
        <f t="shared" si="0"/>
        <v>0</v>
      </c>
      <c r="J11" s="659">
        <f t="shared" si="0"/>
        <v>0</v>
      </c>
      <c r="K11" s="659">
        <f t="shared" si="0"/>
        <v>0</v>
      </c>
      <c r="L11" s="659">
        <f t="shared" si="0"/>
        <v>0</v>
      </c>
      <c r="M11" s="659">
        <f t="shared" si="0"/>
        <v>0</v>
      </c>
      <c r="N11" s="659">
        <f t="shared" si="0"/>
        <v>0</v>
      </c>
      <c r="O11" s="659">
        <f t="shared" si="0"/>
        <v>0</v>
      </c>
      <c r="P11" s="757">
        <f t="shared" si="0"/>
        <v>0</v>
      </c>
    </row>
    <row r="12" spans="1:17">
      <c r="A12" s="880">
        <f>+A11+1</f>
        <v>3</v>
      </c>
      <c r="B12" s="539"/>
      <c r="C12" s="257"/>
      <c r="D12" s="257"/>
      <c r="E12" s="257"/>
      <c r="F12" s="257"/>
      <c r="G12" s="257"/>
      <c r="H12" s="257"/>
      <c r="I12" s="257"/>
      <c r="J12" s="257"/>
      <c r="K12" s="257"/>
      <c r="L12" s="257"/>
      <c r="M12" s="257"/>
      <c r="N12" s="257"/>
      <c r="O12" s="257"/>
    </row>
    <row r="13" spans="1:17">
      <c r="A13" s="880">
        <f>+A12+1</f>
        <v>4</v>
      </c>
      <c r="B13" s="655" t="s">
        <v>512</v>
      </c>
      <c r="C13" s="257"/>
      <c r="D13" s="257"/>
      <c r="E13" s="257"/>
      <c r="F13" s="257"/>
      <c r="G13" s="257"/>
      <c r="H13" s="257"/>
      <c r="I13" s="257"/>
      <c r="J13" s="257"/>
      <c r="K13" s="257"/>
      <c r="L13" s="257"/>
      <c r="M13" s="257"/>
      <c r="N13" s="257"/>
      <c r="O13" s="257"/>
    </row>
    <row r="14" spans="1:17">
      <c r="A14" s="1252">
        <f>A13+0.1</f>
        <v>4.0999999999999996</v>
      </c>
      <c r="B14" s="1197" t="s">
        <v>913</v>
      </c>
      <c r="C14" s="179"/>
      <c r="D14" s="179"/>
      <c r="E14" s="179"/>
      <c r="F14" s="179"/>
      <c r="G14" s="179"/>
      <c r="H14" s="179"/>
      <c r="I14" s="179"/>
      <c r="J14" s="179"/>
      <c r="K14" s="179"/>
      <c r="L14" s="179"/>
      <c r="M14" s="179"/>
      <c r="N14" s="179"/>
      <c r="O14" s="179"/>
      <c r="P14" s="494">
        <f>+SUM(C14:O14)/13</f>
        <v>0</v>
      </c>
    </row>
    <row r="15" spans="1:17">
      <c r="A15" s="1252" t="s">
        <v>904</v>
      </c>
      <c r="B15" s="1197" t="s">
        <v>913</v>
      </c>
      <c r="C15" s="179"/>
      <c r="D15" s="179"/>
      <c r="E15" s="179"/>
      <c r="F15" s="179"/>
      <c r="G15" s="179"/>
      <c r="H15" s="179"/>
      <c r="I15" s="179"/>
      <c r="J15" s="179"/>
      <c r="K15" s="179"/>
      <c r="L15" s="179"/>
      <c r="M15" s="179"/>
      <c r="N15" s="179"/>
      <c r="O15" s="179"/>
      <c r="P15" s="494">
        <f>+SUM(C15:O15)/13</f>
        <v>0</v>
      </c>
    </row>
    <row r="16" spans="1:17">
      <c r="A16" s="1252" t="s">
        <v>905</v>
      </c>
      <c r="B16" s="1197" t="s">
        <v>913</v>
      </c>
      <c r="C16" s="244"/>
      <c r="D16" s="244"/>
      <c r="E16" s="244"/>
      <c r="F16" s="244"/>
      <c r="G16" s="244"/>
      <c r="H16" s="244"/>
      <c r="I16" s="244"/>
      <c r="J16" s="244"/>
      <c r="K16" s="244"/>
      <c r="L16" s="244"/>
      <c r="M16" s="244"/>
      <c r="N16" s="244"/>
      <c r="O16" s="244"/>
      <c r="P16" s="533">
        <f>+SUM(C16:O16)/13</f>
        <v>0</v>
      </c>
    </row>
    <row r="17" spans="1:16" s="38" customFormat="1">
      <c r="A17" s="880">
        <f>+A13+1</f>
        <v>5</v>
      </c>
      <c r="B17" s="539" t="str">
        <f>+"Total - Transm Substation (Sum of Line "&amp;A13&amp;" Subparts)"</f>
        <v>Total - Transm Substation (Sum of Line 4 Subparts)</v>
      </c>
      <c r="C17" s="73">
        <f t="shared" ref="C17:O17" si="1">SUM(C14:C16)</f>
        <v>0</v>
      </c>
      <c r="D17" s="73">
        <f t="shared" si="1"/>
        <v>0</v>
      </c>
      <c r="E17" s="73">
        <f t="shared" si="1"/>
        <v>0</v>
      </c>
      <c r="F17" s="73">
        <f t="shared" si="1"/>
        <v>0</v>
      </c>
      <c r="G17" s="73">
        <f t="shared" si="1"/>
        <v>0</v>
      </c>
      <c r="H17" s="73">
        <f t="shared" si="1"/>
        <v>0</v>
      </c>
      <c r="I17" s="73">
        <f t="shared" si="1"/>
        <v>0</v>
      </c>
      <c r="J17" s="73">
        <f t="shared" si="1"/>
        <v>0</v>
      </c>
      <c r="K17" s="73">
        <f t="shared" si="1"/>
        <v>0</v>
      </c>
      <c r="L17" s="73">
        <f t="shared" si="1"/>
        <v>0</v>
      </c>
      <c r="M17" s="73">
        <f t="shared" si="1"/>
        <v>0</v>
      </c>
      <c r="N17" s="73">
        <f t="shared" si="1"/>
        <v>0</v>
      </c>
      <c r="O17" s="73">
        <f t="shared" si="1"/>
        <v>0</v>
      </c>
      <c r="P17" s="73">
        <f>+SUM(C17:O17)/13</f>
        <v>0</v>
      </c>
    </row>
    <row r="18" spans="1:16" s="38" customFormat="1">
      <c r="A18" s="880">
        <f>+A17+1</f>
        <v>6</v>
      </c>
      <c r="B18" s="539"/>
      <c r="C18" s="73"/>
      <c r="D18" s="73"/>
      <c r="E18" s="73"/>
      <c r="F18" s="73"/>
      <c r="G18" s="73"/>
      <c r="H18" s="73"/>
      <c r="I18" s="73"/>
      <c r="J18" s="73"/>
      <c r="K18" s="73"/>
      <c r="L18" s="73"/>
      <c r="M18" s="73"/>
      <c r="N18" s="73"/>
      <c r="O18" s="73"/>
      <c r="P18" s="73"/>
    </row>
    <row r="19" spans="1:16" ht="13.8" thickBot="1">
      <c r="A19" s="880">
        <f>+A18+1</f>
        <v>7</v>
      </c>
      <c r="B19" s="190" t="s">
        <v>513</v>
      </c>
      <c r="C19" s="660">
        <f t="shared" ref="C19:P19" si="2">+C11+C17</f>
        <v>0</v>
      </c>
      <c r="D19" s="660">
        <f t="shared" si="2"/>
        <v>0</v>
      </c>
      <c r="E19" s="660">
        <f t="shared" si="2"/>
        <v>0</v>
      </c>
      <c r="F19" s="660">
        <f t="shared" si="2"/>
        <v>0</v>
      </c>
      <c r="G19" s="660">
        <f t="shared" si="2"/>
        <v>0</v>
      </c>
      <c r="H19" s="660">
        <f t="shared" si="2"/>
        <v>0</v>
      </c>
      <c r="I19" s="660">
        <f t="shared" si="2"/>
        <v>0</v>
      </c>
      <c r="J19" s="660">
        <f t="shared" si="2"/>
        <v>0</v>
      </c>
      <c r="K19" s="660">
        <f t="shared" si="2"/>
        <v>0</v>
      </c>
      <c r="L19" s="660">
        <f t="shared" si="2"/>
        <v>0</v>
      </c>
      <c r="M19" s="660">
        <f t="shared" si="2"/>
        <v>0</v>
      </c>
      <c r="N19" s="660">
        <f t="shared" si="2"/>
        <v>0</v>
      </c>
      <c r="O19" s="660">
        <f t="shared" si="2"/>
        <v>0</v>
      </c>
      <c r="P19" s="660">
        <f t="shared" si="2"/>
        <v>0</v>
      </c>
    </row>
    <row r="20" spans="1:16" ht="13.8" thickTop="1">
      <c r="A20" s="880"/>
      <c r="B20" s="539" t="str">
        <f>+"Sum of Lines "&amp;A11&amp;" + "&amp;A17</f>
        <v>Sum of Lines 2 + 5</v>
      </c>
      <c r="C20" s="236"/>
      <c r="D20" s="236"/>
    </row>
    <row r="21" spans="1:16">
      <c r="A21" s="880"/>
      <c r="B21" s="539"/>
      <c r="C21" s="236"/>
      <c r="D21" s="236"/>
    </row>
    <row r="22" spans="1:16">
      <c r="A22" s="40" t="s">
        <v>295</v>
      </c>
    </row>
    <row r="23" spans="1:16">
      <c r="A23" s="734" t="s">
        <v>170</v>
      </c>
      <c r="B23" s="1760" t="str">
        <f>+"Reference Appendix A Note "&amp;'Appendix A'!A318</f>
        <v>Reference Appendix A Note M</v>
      </c>
      <c r="C23" s="1760"/>
      <c r="D23" s="1760"/>
      <c r="E23" s="1760"/>
      <c r="F23" s="1760"/>
      <c r="G23" s="1760"/>
      <c r="H23" s="1760"/>
      <c r="I23" s="1760"/>
      <c r="J23" s="1760"/>
      <c r="K23" s="1760"/>
      <c r="L23" s="1760"/>
      <c r="M23" s="1760"/>
      <c r="N23" s="1760"/>
      <c r="O23" s="1760"/>
      <c r="P23" s="1760"/>
    </row>
  </sheetData>
  <mergeCells count="4">
    <mergeCell ref="A3:P3"/>
    <mergeCell ref="B23:P23"/>
    <mergeCell ref="A1:P1"/>
    <mergeCell ref="A2:P2"/>
  </mergeCells>
  <pageMargins left="0.7" right="0.7" top="0.7" bottom="0.7" header="0.3" footer="0.5"/>
  <pageSetup scale="59" orientation="landscape" r:id="rId1"/>
  <headerFooter>
    <oddFooter>&amp;CPage &amp;P of &amp;N&amp;R&amp;A</oddFooter>
  </headerFooter>
  <ignoredErrors>
    <ignoredError sqref="A23"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P86"/>
  <sheetViews>
    <sheetView zoomScaleNormal="100" zoomScaleSheetLayoutView="90" workbookViewId="0">
      <selection activeCell="A9" sqref="A9"/>
    </sheetView>
  </sheetViews>
  <sheetFormatPr defaultColWidth="9.109375" defaultRowHeight="13.2"/>
  <cols>
    <col min="1" max="1" width="5.44140625" style="161" customWidth="1"/>
    <col min="2" max="2" width="51.44140625" style="160" customWidth="1"/>
    <col min="3" max="3" width="11.44140625" style="160" customWidth="1"/>
    <col min="4" max="4" width="12.6640625" style="160" customWidth="1"/>
    <col min="5" max="5" width="15.33203125" style="160" bestFit="1" customWidth="1"/>
    <col min="6" max="6" width="11.88671875" style="160" customWidth="1"/>
    <col min="7" max="7" width="11.44140625" style="160" customWidth="1"/>
    <col min="8" max="8" width="11" style="160" customWidth="1"/>
    <col min="9" max="9" width="9.88671875" style="160" customWidth="1"/>
    <col min="10" max="10" width="9.109375" style="160"/>
    <col min="11" max="11" width="7.5546875" style="160" customWidth="1"/>
    <col min="12" max="12" width="34" style="160" customWidth="1"/>
    <col min="13" max="13" width="16.109375" style="160" customWidth="1"/>
    <col min="14" max="14" width="9.109375" style="160"/>
    <col min="15" max="15" width="9.109375" style="39"/>
    <col min="16" max="16384" width="9.109375" style="160"/>
  </cols>
  <sheetData>
    <row r="1" spans="1:15">
      <c r="A1" s="1720" t="str">
        <f>+'MISO Cover'!C6</f>
        <v>Entergy Texas, Inc.</v>
      </c>
      <c r="B1" s="1720"/>
      <c r="C1" s="1720"/>
      <c r="D1" s="1720"/>
      <c r="E1" s="1720"/>
      <c r="F1" s="1720"/>
      <c r="G1" s="1720"/>
      <c r="H1" s="1720"/>
      <c r="I1" s="1720"/>
      <c r="O1" s="160"/>
    </row>
    <row r="2" spans="1:15">
      <c r="A2" s="1720" t="s">
        <v>667</v>
      </c>
      <c r="B2" s="1720"/>
      <c r="C2" s="1720"/>
      <c r="D2" s="1720"/>
      <c r="E2" s="1720"/>
      <c r="F2" s="1720"/>
      <c r="G2" s="1720"/>
      <c r="H2" s="1720"/>
      <c r="I2" s="1720"/>
      <c r="O2" s="160"/>
    </row>
    <row r="3" spans="1:15">
      <c r="A3" s="1765" t="str">
        <f>+'MISO Cover'!K4</f>
        <v>For  the 12 Months Ended 12/31/2016</v>
      </c>
      <c r="B3" s="1765"/>
      <c r="C3" s="1765"/>
      <c r="D3" s="1765"/>
      <c r="E3" s="1765"/>
      <c r="F3" s="1765"/>
      <c r="G3" s="1765"/>
      <c r="H3" s="1765"/>
      <c r="I3" s="1765"/>
      <c r="K3" s="762"/>
      <c r="O3" s="160"/>
    </row>
    <row r="4" spans="1:15">
      <c r="B4" s="763"/>
      <c r="C4" s="719"/>
      <c r="D4" s="719"/>
      <c r="E4" s="719"/>
      <c r="F4" s="719"/>
      <c r="G4" s="719"/>
      <c r="H4" s="719"/>
      <c r="I4" s="719"/>
      <c r="O4" s="160"/>
    </row>
    <row r="5" spans="1:15" s="265" customFormat="1">
      <c r="A5" s="678" t="s">
        <v>277</v>
      </c>
      <c r="B5" s="1400" t="s">
        <v>67</v>
      </c>
      <c r="C5" s="1400" t="s">
        <v>1117</v>
      </c>
      <c r="D5" s="1400" t="s">
        <v>55</v>
      </c>
      <c r="E5" s="1400" t="s">
        <v>68</v>
      </c>
      <c r="F5" s="1400" t="s">
        <v>66</v>
      </c>
      <c r="G5" s="1400" t="s">
        <v>1118</v>
      </c>
      <c r="H5" s="1400" t="s">
        <v>69</v>
      </c>
      <c r="I5" s="1400" t="s">
        <v>169</v>
      </c>
    </row>
    <row r="6" spans="1:15" s="39" customFormat="1">
      <c r="A6" s="677"/>
      <c r="B6" s="517"/>
      <c r="C6" s="518"/>
      <c r="D6" s="518"/>
      <c r="E6" s="518"/>
      <c r="F6" s="518"/>
      <c r="G6" s="518"/>
      <c r="H6" s="518"/>
      <c r="I6" s="517"/>
    </row>
    <row r="7" spans="1:15">
      <c r="A7" s="190">
        <v>1</v>
      </c>
      <c r="B7" s="522" t="s">
        <v>458</v>
      </c>
      <c r="C7" s="523" t="s">
        <v>459</v>
      </c>
      <c r="D7" s="595" t="s">
        <v>136</v>
      </c>
      <c r="E7" s="598"/>
      <c r="F7" s="598" t="s">
        <v>172</v>
      </c>
      <c r="G7" s="599" t="s">
        <v>155</v>
      </c>
      <c r="H7" s="526" t="s">
        <v>20</v>
      </c>
      <c r="I7" s="523" t="s">
        <v>171</v>
      </c>
      <c r="O7" s="160"/>
    </row>
    <row r="8" spans="1:15">
      <c r="A8" s="190">
        <f>+A7+0.1</f>
        <v>1.1000000000000001</v>
      </c>
      <c r="B8" s="519" t="s">
        <v>456</v>
      </c>
      <c r="C8" s="185">
        <f>SUM(D8:G8)</f>
        <v>157515.44</v>
      </c>
      <c r="D8" s="596">
        <v>32080.920000000002</v>
      </c>
      <c r="E8" s="487"/>
      <c r="F8" s="262">
        <v>68310.17</v>
      </c>
      <c r="G8" s="862">
        <f>+H8+I8</f>
        <v>57124.35000000002</v>
      </c>
      <c r="H8" s="524">
        <v>55536.85000000002</v>
      </c>
      <c r="I8" s="262">
        <v>1587.5</v>
      </c>
      <c r="O8" s="160"/>
    </row>
    <row r="9" spans="1:15" s="265" customFormat="1" ht="15">
      <c r="A9" s="190">
        <f>+A8+0.1</f>
        <v>1.2000000000000002</v>
      </c>
      <c r="B9" s="520" t="s">
        <v>457</v>
      </c>
      <c r="C9" s="210">
        <f>SUM(D9:G9)</f>
        <v>3036088.1</v>
      </c>
      <c r="D9" s="597"/>
      <c r="E9" s="521"/>
      <c r="F9" s="521"/>
      <c r="G9" s="1492">
        <f>+H9+I9</f>
        <v>3036088.1</v>
      </c>
      <c r="H9" s="525">
        <v>3036088.1</v>
      </c>
      <c r="I9" s="521"/>
    </row>
    <row r="10" spans="1:15" s="265" customFormat="1">
      <c r="A10" s="190">
        <f>+A7+1</f>
        <v>2</v>
      </c>
      <c r="B10" s="516" t="s">
        <v>560</v>
      </c>
      <c r="C10" s="1127">
        <f>SUM(C8:C9)</f>
        <v>3193603.54</v>
      </c>
      <c r="D10" s="1128">
        <f>SUM(D8:D9)</f>
        <v>32080.920000000002</v>
      </c>
      <c r="E10" s="1127"/>
      <c r="F10" s="1127">
        <f>SUM(F8:F9)</f>
        <v>68310.17</v>
      </c>
      <c r="G10" s="1127">
        <f>+G8+G9</f>
        <v>3093212.45</v>
      </c>
      <c r="H10" s="1129">
        <f>SUM(H8:H9)</f>
        <v>3091624.95</v>
      </c>
      <c r="I10" s="1127">
        <f>SUM(I8:I9)</f>
        <v>1587.5</v>
      </c>
    </row>
    <row r="11" spans="1:15" s="265" customFormat="1">
      <c r="A11" s="190">
        <f>1+A10</f>
        <v>3</v>
      </c>
      <c r="B11" s="516"/>
      <c r="C11" s="515"/>
      <c r="D11" s="515"/>
      <c r="E11" s="515"/>
      <c r="F11" s="515"/>
      <c r="G11" s="515"/>
      <c r="H11" s="515"/>
      <c r="I11" s="515"/>
    </row>
    <row r="12" spans="1:15" s="265" customFormat="1">
      <c r="A12" s="1118">
        <f>1+A11</f>
        <v>4</v>
      </c>
      <c r="B12" s="1130"/>
      <c r="C12" s="471"/>
      <c r="D12" s="1764" t="s">
        <v>803</v>
      </c>
      <c r="E12" s="1764"/>
      <c r="F12" s="1764"/>
      <c r="G12" s="1764"/>
    </row>
    <row r="13" spans="1:15" s="1076" customFormat="1">
      <c r="A13" s="1118">
        <f>1+A12</f>
        <v>5</v>
      </c>
      <c r="B13" s="1130"/>
      <c r="C13" s="471"/>
      <c r="D13" s="1762" t="s">
        <v>136</v>
      </c>
      <c r="E13" s="1762"/>
      <c r="F13" s="1131"/>
      <c r="G13" s="1131"/>
    </row>
    <row r="14" spans="1:15" s="758" customFormat="1">
      <c r="A14" s="1118">
        <f>1+A13</f>
        <v>6</v>
      </c>
      <c r="B14" s="1132" t="s">
        <v>460</v>
      </c>
      <c r="C14" s="562"/>
      <c r="D14" s="564" t="s">
        <v>546</v>
      </c>
      <c r="E14" s="1133" t="s">
        <v>768</v>
      </c>
      <c r="F14" s="1134" t="s">
        <v>144</v>
      </c>
      <c r="G14" s="565" t="s">
        <v>155</v>
      </c>
      <c r="H14" s="1077"/>
      <c r="I14" s="1077"/>
      <c r="J14" s="1076"/>
      <c r="K14" s="1076"/>
      <c r="L14" s="1076"/>
    </row>
    <row r="15" spans="1:15" ht="15.75" customHeight="1">
      <c r="A15" s="834">
        <f>+A14+0.01</f>
        <v>6.01</v>
      </c>
      <c r="B15" s="172" t="s">
        <v>1276</v>
      </c>
      <c r="C15" s="262">
        <v>0</v>
      </c>
      <c r="D15" s="566"/>
      <c r="E15" s="487"/>
      <c r="F15" s="487"/>
      <c r="G15" s="567">
        <f t="shared" ref="G15:G23" si="0">+C15</f>
        <v>0</v>
      </c>
      <c r="H15" s="563"/>
      <c r="I15" s="563"/>
      <c r="K15" s="39"/>
      <c r="L15" s="39"/>
      <c r="M15" s="39"/>
      <c r="N15" s="39"/>
    </row>
    <row r="16" spans="1:15" s="758" customFormat="1" ht="15.75" customHeight="1">
      <c r="A16" s="834">
        <f t="shared" ref="A16:A57" si="1">+A15+0.01</f>
        <v>6.02</v>
      </c>
      <c r="B16" s="1493" t="s">
        <v>1277</v>
      </c>
      <c r="C16" s="262">
        <v>0</v>
      </c>
      <c r="D16" s="566"/>
      <c r="E16" s="487"/>
      <c r="F16" s="487"/>
      <c r="G16" s="567">
        <f t="shared" si="0"/>
        <v>0</v>
      </c>
    </row>
    <row r="17" spans="1:16" ht="15.75" customHeight="1">
      <c r="A17" s="834">
        <f t="shared" si="1"/>
        <v>6.0299999999999994</v>
      </c>
      <c r="B17" s="172" t="s">
        <v>1278</v>
      </c>
      <c r="C17" s="262">
        <v>0</v>
      </c>
      <c r="D17" s="566"/>
      <c r="E17" s="487"/>
      <c r="F17" s="487"/>
      <c r="G17" s="567">
        <f t="shared" si="0"/>
        <v>0</v>
      </c>
      <c r="J17" s="759"/>
      <c r="K17" s="491"/>
      <c r="L17" s="491"/>
      <c r="M17" s="491"/>
      <c r="N17" s="491"/>
      <c r="O17" s="491"/>
      <c r="P17" s="759"/>
    </row>
    <row r="18" spans="1:16" s="758" customFormat="1" ht="15.75" customHeight="1">
      <c r="A18" s="834">
        <f t="shared" si="1"/>
        <v>6.0399999999999991</v>
      </c>
      <c r="B18" s="172" t="s">
        <v>1279</v>
      </c>
      <c r="C18" s="262">
        <v>768408.63000000012</v>
      </c>
      <c r="D18" s="566"/>
      <c r="E18" s="487"/>
      <c r="F18" s="487"/>
      <c r="G18" s="567">
        <f t="shared" si="0"/>
        <v>768408.63000000012</v>
      </c>
    </row>
    <row r="19" spans="1:16" s="758" customFormat="1" ht="15.75" customHeight="1">
      <c r="A19" s="834">
        <f t="shared" si="1"/>
        <v>6.0499999999999989</v>
      </c>
      <c r="B19" s="172" t="s">
        <v>1280</v>
      </c>
      <c r="C19" s="262">
        <v>0</v>
      </c>
      <c r="D19" s="566"/>
      <c r="E19" s="487"/>
      <c r="F19" s="487"/>
      <c r="G19" s="567">
        <f>+C19</f>
        <v>0</v>
      </c>
    </row>
    <row r="20" spans="1:16" s="758" customFormat="1" ht="15.75" customHeight="1">
      <c r="A20" s="834">
        <f t="shared" si="1"/>
        <v>6.0599999999999987</v>
      </c>
      <c r="B20" s="172" t="s">
        <v>1281</v>
      </c>
      <c r="C20" s="262">
        <v>0</v>
      </c>
      <c r="D20" s="566"/>
      <c r="E20" s="487"/>
      <c r="F20" s="487"/>
      <c r="G20" s="567">
        <f>+C20</f>
        <v>0</v>
      </c>
    </row>
    <row r="21" spans="1:16" s="758" customFormat="1" ht="15.75" customHeight="1">
      <c r="A21" s="834">
        <f t="shared" si="1"/>
        <v>6.0699999999999985</v>
      </c>
      <c r="B21" s="172" t="s">
        <v>1282</v>
      </c>
      <c r="C21" s="262">
        <v>399318.04</v>
      </c>
      <c r="D21" s="566"/>
      <c r="E21" s="487"/>
      <c r="F21" s="487"/>
      <c r="G21" s="567">
        <f t="shared" si="0"/>
        <v>399318.04</v>
      </c>
    </row>
    <row r="22" spans="1:16" ht="15.75" customHeight="1">
      <c r="A22" s="834">
        <f t="shared" si="1"/>
        <v>6.0799999999999983</v>
      </c>
      <c r="B22" s="1493" t="s">
        <v>1283</v>
      </c>
      <c r="C22" s="262">
        <v>5590.18</v>
      </c>
      <c r="D22" s="566"/>
      <c r="E22" s="487"/>
      <c r="F22" s="487"/>
      <c r="G22" s="567">
        <f t="shared" si="0"/>
        <v>5590.18</v>
      </c>
      <c r="H22" s="162"/>
      <c r="I22" s="758"/>
      <c r="J22" s="758"/>
      <c r="K22" s="39"/>
      <c r="L22" s="39"/>
      <c r="M22" s="39"/>
      <c r="N22" s="39"/>
    </row>
    <row r="23" spans="1:16" ht="15.75" customHeight="1">
      <c r="A23" s="834">
        <f t="shared" si="1"/>
        <v>6.0899999999999981</v>
      </c>
      <c r="B23" s="172" t="s">
        <v>1284</v>
      </c>
      <c r="C23" s="262">
        <v>0</v>
      </c>
      <c r="D23" s="566"/>
      <c r="E23" s="487"/>
      <c r="F23" s="487"/>
      <c r="G23" s="567">
        <f t="shared" si="0"/>
        <v>0</v>
      </c>
      <c r="H23" s="758"/>
      <c r="I23" s="758"/>
      <c r="J23" s="758"/>
      <c r="K23" s="39"/>
      <c r="L23" s="39"/>
      <c r="M23" s="39"/>
      <c r="N23" s="39"/>
    </row>
    <row r="24" spans="1:16" ht="15.75" customHeight="1">
      <c r="A24" s="834">
        <f t="shared" si="1"/>
        <v>6.0999999999999979</v>
      </c>
      <c r="B24" s="172" t="s">
        <v>1285</v>
      </c>
      <c r="C24" s="262">
        <v>0</v>
      </c>
      <c r="D24" s="566"/>
      <c r="E24" s="487">
        <f>+C24</f>
        <v>0</v>
      </c>
      <c r="F24" s="487"/>
      <c r="G24" s="567"/>
      <c r="H24" s="760"/>
      <c r="K24" s="39"/>
      <c r="L24" s="39"/>
      <c r="M24" s="39"/>
      <c r="N24" s="39"/>
    </row>
    <row r="25" spans="1:16" ht="15.75" customHeight="1">
      <c r="A25" s="834">
        <f t="shared" si="1"/>
        <v>6.1099999999999977</v>
      </c>
      <c r="B25" s="1493" t="s">
        <v>1286</v>
      </c>
      <c r="C25" s="262">
        <v>0</v>
      </c>
      <c r="D25" s="1135">
        <f>+C25</f>
        <v>0</v>
      </c>
      <c r="E25" s="187"/>
      <c r="F25" s="187"/>
      <c r="G25" s="567"/>
      <c r="K25" s="39"/>
      <c r="L25" s="39"/>
      <c r="M25" s="39"/>
      <c r="N25" s="39"/>
    </row>
    <row r="26" spans="1:16" ht="15.75" customHeight="1">
      <c r="A26" s="834">
        <f t="shared" si="1"/>
        <v>6.1199999999999974</v>
      </c>
      <c r="B26" s="172" t="s">
        <v>1287</v>
      </c>
      <c r="C26" s="262">
        <v>0</v>
      </c>
      <c r="D26" s="1135"/>
      <c r="E26" s="187">
        <f>+C26</f>
        <v>0</v>
      </c>
      <c r="F26" s="187"/>
      <c r="G26" s="567"/>
      <c r="K26" s="39"/>
      <c r="L26" s="39"/>
      <c r="M26" s="39"/>
      <c r="N26" s="39"/>
    </row>
    <row r="27" spans="1:16" s="758" customFormat="1" ht="15.75" customHeight="1">
      <c r="A27" s="834">
        <f t="shared" si="1"/>
        <v>6.1299999999999972</v>
      </c>
      <c r="B27" s="1493" t="s">
        <v>1288</v>
      </c>
      <c r="C27" s="262">
        <v>0</v>
      </c>
      <c r="D27" s="566"/>
      <c r="E27" s="487"/>
      <c r="F27" s="487"/>
      <c r="G27" s="567">
        <f>+C27</f>
        <v>0</v>
      </c>
      <c r="H27" s="160"/>
      <c r="I27" s="160"/>
      <c r="J27" s="160"/>
    </row>
    <row r="28" spans="1:16" ht="15.75" customHeight="1">
      <c r="A28" s="834">
        <f t="shared" si="1"/>
        <v>6.139999999999997</v>
      </c>
      <c r="B28" s="172" t="s">
        <v>1289</v>
      </c>
      <c r="C28" s="262">
        <v>0</v>
      </c>
      <c r="D28" s="566"/>
      <c r="E28" s="487"/>
      <c r="F28" s="487"/>
      <c r="G28" s="567">
        <f>+C28</f>
        <v>0</v>
      </c>
      <c r="K28" s="39"/>
      <c r="L28" s="39"/>
      <c r="M28" s="39"/>
      <c r="N28" s="39"/>
    </row>
    <row r="29" spans="1:16" ht="15.75" customHeight="1">
      <c r="A29" s="834">
        <f t="shared" si="1"/>
        <v>6.1499999999999968</v>
      </c>
      <c r="B29" s="972" t="s">
        <v>1290</v>
      </c>
      <c r="C29" s="262">
        <v>0</v>
      </c>
      <c r="D29" s="566"/>
      <c r="E29" s="487"/>
      <c r="F29" s="487"/>
      <c r="G29" s="567">
        <f>+C29</f>
        <v>0</v>
      </c>
      <c r="H29" s="758"/>
      <c r="I29" s="758"/>
      <c r="J29" s="758"/>
      <c r="K29" s="39"/>
      <c r="L29" s="39"/>
      <c r="M29" s="39"/>
      <c r="N29" s="39"/>
    </row>
    <row r="30" spans="1:16" ht="15.75" customHeight="1">
      <c r="A30" s="834">
        <f t="shared" si="1"/>
        <v>6.1599999999999966</v>
      </c>
      <c r="B30" s="172" t="s">
        <v>1291</v>
      </c>
      <c r="C30" s="262">
        <v>0</v>
      </c>
      <c r="D30" s="566">
        <f>+C30</f>
        <v>0</v>
      </c>
      <c r="E30" s="487"/>
      <c r="F30" s="187"/>
      <c r="G30" s="1136"/>
      <c r="K30" s="39"/>
      <c r="L30" s="39"/>
      <c r="M30" s="39"/>
      <c r="N30" s="39"/>
    </row>
    <row r="31" spans="1:16" ht="15.75" customHeight="1">
      <c r="A31" s="834">
        <f t="shared" si="1"/>
        <v>6.1699999999999964</v>
      </c>
      <c r="B31" s="172" t="s">
        <v>1292</v>
      </c>
      <c r="C31" s="262">
        <v>0</v>
      </c>
      <c r="D31" s="566">
        <f>+C31</f>
        <v>0</v>
      </c>
      <c r="E31" s="487"/>
      <c r="F31" s="187"/>
      <c r="G31" s="1137"/>
      <c r="K31" s="39"/>
      <c r="L31" s="39"/>
      <c r="M31" s="39"/>
      <c r="N31" s="39"/>
    </row>
    <row r="32" spans="1:16" ht="15.75" customHeight="1">
      <c r="A32" s="834">
        <f t="shared" si="1"/>
        <v>6.1799999999999962</v>
      </c>
      <c r="B32" s="172" t="s">
        <v>1293</v>
      </c>
      <c r="C32" s="262">
        <v>0</v>
      </c>
      <c r="D32" s="1135"/>
      <c r="E32" s="187">
        <f>+C32</f>
        <v>0</v>
      </c>
      <c r="F32" s="187"/>
      <c r="G32" s="567"/>
      <c r="K32" s="39"/>
      <c r="L32" s="39"/>
      <c r="M32" s="39"/>
      <c r="N32" s="39"/>
    </row>
    <row r="33" spans="1:14" ht="15.75" customHeight="1">
      <c r="A33" s="834">
        <f t="shared" si="1"/>
        <v>6.1899999999999959</v>
      </c>
      <c r="B33" s="172" t="s">
        <v>1294</v>
      </c>
      <c r="C33" s="262">
        <v>0</v>
      </c>
      <c r="D33" s="566"/>
      <c r="E33" s="487"/>
      <c r="F33" s="487"/>
      <c r="G33" s="567">
        <f>+C33</f>
        <v>0</v>
      </c>
      <c r="K33" s="39"/>
      <c r="L33" s="39"/>
      <c r="M33" s="39"/>
      <c r="N33" s="39"/>
    </row>
    <row r="34" spans="1:14" ht="15.75" customHeight="1">
      <c r="A34" s="834">
        <f t="shared" si="1"/>
        <v>6.1999999999999957</v>
      </c>
      <c r="B34" s="172" t="s">
        <v>1295</v>
      </c>
      <c r="C34" s="262">
        <v>0</v>
      </c>
      <c r="D34" s="566"/>
      <c r="E34" s="487"/>
      <c r="F34" s="487"/>
      <c r="G34" s="567">
        <f>+C34</f>
        <v>0</v>
      </c>
      <c r="K34" s="39"/>
      <c r="L34" s="39"/>
      <c r="M34" s="39"/>
      <c r="N34" s="39"/>
    </row>
    <row r="35" spans="1:14" ht="15.75" customHeight="1">
      <c r="A35" s="834">
        <f t="shared" si="1"/>
        <v>6.2099999999999955</v>
      </c>
      <c r="B35" s="172" t="s">
        <v>1296</v>
      </c>
      <c r="C35" s="262">
        <v>0</v>
      </c>
      <c r="D35" s="566"/>
      <c r="E35" s="487"/>
      <c r="F35" s="487"/>
      <c r="G35" s="567">
        <f>+C35</f>
        <v>0</v>
      </c>
      <c r="K35" s="39"/>
      <c r="L35" s="39"/>
      <c r="M35" s="39"/>
      <c r="N35" s="39"/>
    </row>
    <row r="36" spans="1:14" ht="15.75" customHeight="1">
      <c r="A36" s="834">
        <f t="shared" si="1"/>
        <v>6.2199999999999953</v>
      </c>
      <c r="B36" s="1493" t="s">
        <v>1297</v>
      </c>
      <c r="C36" s="262">
        <v>0</v>
      </c>
      <c r="D36" s="566"/>
      <c r="E36" s="487"/>
      <c r="F36" s="487">
        <f>+C36</f>
        <v>0</v>
      </c>
      <c r="G36" s="1136"/>
      <c r="K36" s="39"/>
      <c r="L36" s="39"/>
      <c r="M36" s="39"/>
      <c r="N36" s="39"/>
    </row>
    <row r="37" spans="1:14" ht="15.75" customHeight="1">
      <c r="A37" s="834">
        <f t="shared" si="1"/>
        <v>6.2299999999999951</v>
      </c>
      <c r="B37" s="172" t="s">
        <v>1298</v>
      </c>
      <c r="C37" s="262">
        <v>0</v>
      </c>
      <c r="D37" s="566"/>
      <c r="E37" s="487"/>
      <c r="F37" s="487"/>
      <c r="G37" s="567">
        <f>+C37</f>
        <v>0</v>
      </c>
      <c r="K37" s="39"/>
      <c r="L37" s="39"/>
      <c r="M37" s="39"/>
      <c r="N37" s="39"/>
    </row>
    <row r="38" spans="1:14" ht="15.75" customHeight="1">
      <c r="A38" s="834">
        <f t="shared" si="1"/>
        <v>6.2399999999999949</v>
      </c>
      <c r="B38" s="172" t="s">
        <v>1299</v>
      </c>
      <c r="C38" s="262">
        <v>126910.39000000001</v>
      </c>
      <c r="D38" s="566">
        <f>+C38</f>
        <v>126910.39000000001</v>
      </c>
      <c r="E38" s="487"/>
      <c r="F38" s="487"/>
      <c r="G38" s="1136"/>
      <c r="I38" s="761"/>
      <c r="K38" s="39"/>
      <c r="L38" s="39"/>
      <c r="M38" s="39"/>
      <c r="N38" s="39"/>
    </row>
    <row r="39" spans="1:14" ht="15.75" customHeight="1">
      <c r="A39" s="834">
        <f t="shared" si="1"/>
        <v>6.2499999999999947</v>
      </c>
      <c r="B39" s="172" t="s">
        <v>1300</v>
      </c>
      <c r="C39" s="262">
        <v>2296297.2199999997</v>
      </c>
      <c r="D39" s="566"/>
      <c r="E39" s="487">
        <f>+C39</f>
        <v>2296297.2199999997</v>
      </c>
      <c r="F39" s="487"/>
      <c r="G39" s="1138"/>
      <c r="K39" s="39"/>
      <c r="L39" s="39"/>
      <c r="M39" s="39"/>
      <c r="N39" s="39"/>
    </row>
    <row r="40" spans="1:14" ht="15.75" customHeight="1">
      <c r="A40" s="834">
        <f t="shared" si="1"/>
        <v>6.2599999999999945</v>
      </c>
      <c r="B40" s="172" t="s">
        <v>1301</v>
      </c>
      <c r="C40" s="262">
        <v>94008.33</v>
      </c>
      <c r="D40" s="566">
        <f>+C40</f>
        <v>94008.33</v>
      </c>
      <c r="E40" s="487"/>
      <c r="F40" s="487"/>
      <c r="G40" s="1136"/>
      <c r="K40" s="39"/>
      <c r="L40" s="39"/>
      <c r="M40" s="39"/>
      <c r="N40" s="39"/>
    </row>
    <row r="41" spans="1:14" ht="15.75" customHeight="1">
      <c r="A41" s="834">
        <f t="shared" si="1"/>
        <v>6.2699999999999942</v>
      </c>
      <c r="B41" s="172" t="s">
        <v>1302</v>
      </c>
      <c r="C41" s="262">
        <v>20179428.34</v>
      </c>
      <c r="D41" s="566"/>
      <c r="E41" s="487">
        <f>+C41</f>
        <v>20179428.34</v>
      </c>
      <c r="F41" s="487"/>
      <c r="G41" s="567"/>
      <c r="H41" s="1768" t="s">
        <v>916</v>
      </c>
      <c r="I41" s="1769"/>
      <c r="K41" s="39"/>
      <c r="L41" s="39"/>
      <c r="M41" s="39"/>
      <c r="N41" s="39"/>
    </row>
    <row r="42" spans="1:14" ht="15.75" customHeight="1">
      <c r="A42" s="834">
        <f t="shared" si="1"/>
        <v>6.279999999999994</v>
      </c>
      <c r="B42" s="172" t="s">
        <v>1303</v>
      </c>
      <c r="C42" s="262">
        <v>1482786.58</v>
      </c>
      <c r="D42" s="566"/>
      <c r="E42" s="487"/>
      <c r="F42" s="487"/>
      <c r="G42" s="567">
        <f>+C42</f>
        <v>1482786.58</v>
      </c>
      <c r="H42" s="1187" t="s">
        <v>914</v>
      </c>
      <c r="I42" s="1188" t="s">
        <v>915</v>
      </c>
      <c r="K42" s="39"/>
      <c r="L42" s="39"/>
      <c r="M42" s="39"/>
      <c r="N42" s="39"/>
    </row>
    <row r="43" spans="1:14" ht="15.75" customHeight="1">
      <c r="A43" s="834">
        <f t="shared" si="1"/>
        <v>6.2899999999999938</v>
      </c>
      <c r="B43" s="172" t="s">
        <v>1304</v>
      </c>
      <c r="C43" s="262">
        <v>381680.10000000003</v>
      </c>
      <c r="D43" s="566"/>
      <c r="E43" s="487"/>
      <c r="F43" s="487"/>
      <c r="G43" s="567">
        <f>+C43</f>
        <v>381680.10000000003</v>
      </c>
      <c r="H43" s="1233">
        <v>483128.08</v>
      </c>
      <c r="I43" s="1233">
        <v>-101447.97999999998</v>
      </c>
      <c r="K43" s="39"/>
      <c r="L43" s="39"/>
      <c r="M43" s="39"/>
      <c r="N43" s="39"/>
    </row>
    <row r="44" spans="1:14" ht="15.75" customHeight="1">
      <c r="A44" s="834">
        <f t="shared" si="1"/>
        <v>6.2999999999999936</v>
      </c>
      <c r="B44" s="172" t="s">
        <v>1305</v>
      </c>
      <c r="C44" s="262">
        <v>71555.930000000008</v>
      </c>
      <c r="D44" s="566"/>
      <c r="E44" s="487"/>
      <c r="F44" s="487"/>
      <c r="G44" s="567">
        <f>+C44</f>
        <v>71555.930000000008</v>
      </c>
      <c r="K44" s="39"/>
      <c r="L44" s="39"/>
      <c r="M44" s="39"/>
      <c r="N44" s="39"/>
    </row>
    <row r="45" spans="1:14" ht="15.75" customHeight="1">
      <c r="A45" s="834">
        <f t="shared" si="1"/>
        <v>6.3099999999999934</v>
      </c>
      <c r="B45" s="164" t="s">
        <v>1306</v>
      </c>
      <c r="C45" s="262">
        <v>0</v>
      </c>
      <c r="D45" s="566"/>
      <c r="E45" s="487">
        <f>+C45</f>
        <v>0</v>
      </c>
      <c r="F45" s="487"/>
      <c r="G45" s="567"/>
      <c r="K45" s="39"/>
      <c r="L45" s="39"/>
      <c r="M45" s="39"/>
      <c r="N45" s="39"/>
    </row>
    <row r="46" spans="1:14" ht="15.75" customHeight="1">
      <c r="A46" s="834">
        <f t="shared" si="1"/>
        <v>6.3199999999999932</v>
      </c>
      <c r="B46" s="172" t="s">
        <v>1307</v>
      </c>
      <c r="C46" s="262">
        <v>0</v>
      </c>
      <c r="D46" s="566"/>
      <c r="E46" s="487"/>
      <c r="F46" s="487"/>
      <c r="G46" s="567">
        <f>+C46</f>
        <v>0</v>
      </c>
      <c r="K46" s="39"/>
      <c r="L46" s="39"/>
      <c r="M46" s="39"/>
      <c r="N46" s="39"/>
    </row>
    <row r="47" spans="1:14" ht="15.75" customHeight="1">
      <c r="A47" s="834">
        <f t="shared" si="1"/>
        <v>6.329999999999993</v>
      </c>
      <c r="B47" s="172" t="s">
        <v>1308</v>
      </c>
      <c r="C47" s="262">
        <v>-467325.33000000007</v>
      </c>
      <c r="D47" s="566"/>
      <c r="E47" s="487"/>
      <c r="F47" s="487"/>
      <c r="G47" s="567">
        <f>+C47</f>
        <v>-467325.33000000007</v>
      </c>
      <c r="K47" s="39"/>
      <c r="L47" s="39"/>
      <c r="M47" s="39"/>
      <c r="N47" s="39"/>
    </row>
    <row r="48" spans="1:14" ht="15.75" customHeight="1">
      <c r="A48" s="834">
        <f t="shared" si="1"/>
        <v>6.3399999999999928</v>
      </c>
      <c r="B48" s="1493" t="s">
        <v>1309</v>
      </c>
      <c r="C48" s="262">
        <v>0</v>
      </c>
      <c r="D48" s="566"/>
      <c r="E48" s="487"/>
      <c r="F48" s="487"/>
      <c r="G48" s="567">
        <f>+C48</f>
        <v>0</v>
      </c>
      <c r="K48" s="39"/>
      <c r="L48" s="39"/>
      <c r="M48" s="39"/>
      <c r="N48" s="39"/>
    </row>
    <row r="49" spans="1:15" ht="15.75" customHeight="1">
      <c r="A49" s="834">
        <f t="shared" si="1"/>
        <v>6.3499999999999925</v>
      </c>
      <c r="B49" s="172" t="s">
        <v>1310</v>
      </c>
      <c r="C49" s="262">
        <v>1730023.92</v>
      </c>
      <c r="D49" s="566">
        <f>+C49</f>
        <v>1730023.92</v>
      </c>
      <c r="E49" s="487"/>
      <c r="F49" s="487"/>
      <c r="G49" s="1136"/>
      <c r="I49" s="764"/>
      <c r="K49" s="39"/>
      <c r="L49" s="39"/>
      <c r="M49" s="39"/>
      <c r="N49" s="39"/>
    </row>
    <row r="50" spans="1:15" ht="15.75" customHeight="1">
      <c r="A50" s="834">
        <f t="shared" si="1"/>
        <v>6.3599999999999923</v>
      </c>
      <c r="B50" s="172" t="s">
        <v>1311</v>
      </c>
      <c r="C50" s="262">
        <v>890000</v>
      </c>
      <c r="D50" s="566"/>
      <c r="E50" s="487"/>
      <c r="F50" s="487"/>
      <c r="G50" s="567">
        <f>+C50</f>
        <v>890000</v>
      </c>
      <c r="K50" s="39"/>
      <c r="L50" s="39"/>
      <c r="M50" s="39"/>
      <c r="N50" s="39"/>
    </row>
    <row r="51" spans="1:15" ht="15.75" customHeight="1">
      <c r="A51" s="834">
        <f t="shared" si="1"/>
        <v>6.3699999999999921</v>
      </c>
      <c r="B51" s="1494" t="s">
        <v>1312</v>
      </c>
      <c r="C51" s="262">
        <v>0</v>
      </c>
      <c r="D51" s="566"/>
      <c r="E51" s="487"/>
      <c r="F51" s="487"/>
      <c r="G51" s="567">
        <f>+C51</f>
        <v>0</v>
      </c>
      <c r="K51" s="39"/>
      <c r="L51" s="39"/>
      <c r="M51" s="39"/>
      <c r="N51" s="39"/>
    </row>
    <row r="52" spans="1:15" ht="15.75" customHeight="1">
      <c r="A52" s="834">
        <f>ROUND(+A51+0.01,2)</f>
        <v>6.38</v>
      </c>
      <c r="B52" s="1166" t="s">
        <v>752</v>
      </c>
      <c r="C52" s="262">
        <v>0</v>
      </c>
      <c r="D52" s="566">
        <f>+C52</f>
        <v>0</v>
      </c>
      <c r="E52" s="487"/>
      <c r="F52" s="487"/>
      <c r="G52" s="567"/>
      <c r="K52" s="39"/>
      <c r="L52" s="39"/>
      <c r="M52" s="39"/>
      <c r="N52" s="39"/>
    </row>
    <row r="53" spans="1:15" ht="15.75" customHeight="1">
      <c r="A53" s="834">
        <f t="shared" si="1"/>
        <v>6.39</v>
      </c>
      <c r="B53" s="1166" t="s">
        <v>753</v>
      </c>
      <c r="C53" s="262">
        <v>0</v>
      </c>
      <c r="D53" s="566">
        <f>+C53</f>
        <v>0</v>
      </c>
      <c r="E53" s="487"/>
      <c r="F53" s="487"/>
      <c r="G53" s="567"/>
      <c r="K53" s="39"/>
      <c r="L53" s="39"/>
      <c r="M53" s="39"/>
      <c r="N53" s="39"/>
    </row>
    <row r="54" spans="1:15" s="265" customFormat="1" ht="15.75" customHeight="1">
      <c r="A54" s="1182">
        <f t="shared" si="1"/>
        <v>6.3999999999999995</v>
      </c>
      <c r="B54" s="1225" t="s">
        <v>1446</v>
      </c>
      <c r="C54" s="262">
        <v>0</v>
      </c>
      <c r="D54" s="524">
        <f>-$C38/($C$38+$C$39)*G54</f>
        <v>-1870.8571153490607</v>
      </c>
      <c r="E54" s="1223">
        <f>-$C39/($C$38+$C$39)*G54</f>
        <v>-33851.003002931961</v>
      </c>
      <c r="F54" s="1223"/>
      <c r="G54" s="1226">
        <f>+'WP17 Rev Support'!C16</f>
        <v>35721.860118281023</v>
      </c>
      <c r="H54" s="1515"/>
      <c r="K54" s="39"/>
      <c r="L54" s="39"/>
      <c r="M54" s="39"/>
      <c r="N54" s="39"/>
      <c r="O54" s="39"/>
    </row>
    <row r="55" spans="1:15" s="265" customFormat="1" ht="15.75" customHeight="1">
      <c r="A55" s="1182">
        <f t="shared" si="1"/>
        <v>6.4099999999999993</v>
      </c>
      <c r="B55" s="1225" t="s">
        <v>1447</v>
      </c>
      <c r="C55" s="262">
        <v>0</v>
      </c>
      <c r="D55" s="524">
        <f>-G55</f>
        <v>-9142.2677608414415</v>
      </c>
      <c r="E55" s="1223"/>
      <c r="F55" s="1223"/>
      <c r="G55" s="1226">
        <f>+'WP17 Rev Support'!C28</f>
        <v>9142.2677608414415</v>
      </c>
      <c r="H55" s="1515"/>
      <c r="K55" s="39"/>
      <c r="L55" s="39"/>
      <c r="M55" s="39"/>
      <c r="N55" s="39"/>
      <c r="O55" s="39"/>
    </row>
    <row r="56" spans="1:15" s="265" customFormat="1" ht="15.75" customHeight="1">
      <c r="A56" s="1182">
        <f t="shared" si="1"/>
        <v>6.419999999999999</v>
      </c>
      <c r="B56" s="1225" t="s">
        <v>1448</v>
      </c>
      <c r="C56" s="262">
        <v>0</v>
      </c>
      <c r="D56" s="524"/>
      <c r="E56" s="1223">
        <f>-G56</f>
        <v>-3052673.0254293201</v>
      </c>
      <c r="F56" s="1223"/>
      <c r="G56" s="1226">
        <f>+'WP17 Rev Support'!C40</f>
        <v>3052673.0254293201</v>
      </c>
      <c r="H56" s="1515"/>
      <c r="K56" s="39"/>
      <c r="L56" s="39"/>
      <c r="M56" s="39"/>
      <c r="N56" s="39"/>
      <c r="O56" s="39"/>
    </row>
    <row r="57" spans="1:15" ht="15.75" customHeight="1">
      <c r="A57" s="1182">
        <f t="shared" si="1"/>
        <v>6.4299999999999988</v>
      </c>
      <c r="B57" s="1225" t="s">
        <v>913</v>
      </c>
      <c r="C57" s="262">
        <v>0</v>
      </c>
      <c r="D57" s="524"/>
      <c r="E57" s="1223"/>
      <c r="F57" s="1223"/>
      <c r="G57" s="1226"/>
      <c r="K57" s="39"/>
      <c r="L57" s="39"/>
      <c r="M57" s="39"/>
      <c r="N57" s="39"/>
    </row>
    <row r="58" spans="1:15" ht="15.75" customHeight="1">
      <c r="A58" s="1182" t="s">
        <v>904</v>
      </c>
      <c r="B58" s="1225" t="s">
        <v>913</v>
      </c>
      <c r="C58" s="262">
        <v>0</v>
      </c>
      <c r="D58" s="524"/>
      <c r="E58" s="1223"/>
      <c r="F58" s="1223"/>
      <c r="G58" s="1226"/>
      <c r="K58" s="39"/>
      <c r="L58" s="39"/>
      <c r="M58" s="39"/>
      <c r="N58" s="39"/>
    </row>
    <row r="59" spans="1:15" ht="15.75" customHeight="1">
      <c r="A59" s="1182" t="s">
        <v>909</v>
      </c>
      <c r="B59" s="1227" t="s">
        <v>913</v>
      </c>
      <c r="C59" s="1228">
        <v>0</v>
      </c>
      <c r="D59" s="525"/>
      <c r="E59" s="1224"/>
      <c r="F59" s="1224"/>
      <c r="G59" s="1228"/>
      <c r="K59" s="39"/>
      <c r="L59" s="39"/>
      <c r="M59" s="39"/>
      <c r="N59" s="39"/>
    </row>
    <row r="60" spans="1:15" s="758" customFormat="1" ht="15.75" customHeight="1">
      <c r="A60" s="971">
        <f>+A14+1</f>
        <v>7</v>
      </c>
      <c r="B60" s="1130" t="str">
        <f>+"Total Acct 456  (Sum Ln "&amp;A14&amp;" Subparts)  (3)"</f>
        <v>Total Acct 456  (Sum Ln 6 Subparts)  (3)</v>
      </c>
      <c r="C60" s="1139">
        <f>SUM(C15:C59)</f>
        <v>27958682.330000006</v>
      </c>
      <c r="D60" s="1139">
        <f t="shared" ref="D60:G60" si="2">SUM(D15:D59)</f>
        <v>1939929.5151238095</v>
      </c>
      <c r="E60" s="1139">
        <f t="shared" si="2"/>
        <v>19389201.531567749</v>
      </c>
      <c r="F60" s="1139">
        <f t="shared" si="2"/>
        <v>0</v>
      </c>
      <c r="G60" s="1139">
        <f t="shared" si="2"/>
        <v>6629551.2833084427</v>
      </c>
      <c r="K60" s="39"/>
      <c r="L60" s="38"/>
      <c r="M60" s="38"/>
      <c r="N60" s="38"/>
      <c r="O60" s="38"/>
    </row>
    <row r="61" spans="1:15" s="758" customFormat="1" ht="15.75" customHeight="1" thickBot="1">
      <c r="A61" s="971">
        <f>+A60+1</f>
        <v>8</v>
      </c>
      <c r="B61" s="972" t="str">
        <f>+"Total (Sum Ln "&amp;A10&amp;" + Ln"&amp;A60&amp;")"</f>
        <v>Total (Sum Ln 2 + Ln7)</v>
      </c>
      <c r="C61" s="1140">
        <f>+C10+C60</f>
        <v>31152285.870000005</v>
      </c>
      <c r="D61" s="1140">
        <f>+D10+D60</f>
        <v>1972010.4351238094</v>
      </c>
      <c r="E61" s="1140">
        <f>+E10+E60</f>
        <v>19389201.531567749</v>
      </c>
      <c r="F61" s="1140">
        <f>+F10+F60</f>
        <v>68310.17</v>
      </c>
      <c r="G61" s="1140">
        <f>+G10+G60</f>
        <v>9722763.7333084419</v>
      </c>
      <c r="K61" s="39"/>
      <c r="L61" s="38"/>
      <c r="M61" s="38"/>
      <c r="N61" s="38"/>
      <c r="O61" s="38"/>
    </row>
    <row r="62" spans="1:15" s="758" customFormat="1" ht="15.75" customHeight="1" thickTop="1">
      <c r="A62" s="972"/>
      <c r="B62" s="833"/>
      <c r="C62" s="833"/>
      <c r="D62" s="833"/>
      <c r="E62" s="833"/>
      <c r="F62" s="833"/>
      <c r="G62" s="833"/>
      <c r="K62" s="39"/>
      <c r="L62" s="38"/>
      <c r="M62" s="38"/>
      <c r="N62" s="38"/>
      <c r="O62" s="38"/>
    </row>
    <row r="63" spans="1:15" s="758" customFormat="1" ht="15.75" customHeight="1">
      <c r="A63" s="972" t="s">
        <v>295</v>
      </c>
      <c r="C63" s="1076"/>
      <c r="D63" s="1076"/>
      <c r="E63" s="1076"/>
      <c r="F63" s="1076"/>
      <c r="G63" s="1076"/>
      <c r="K63" s="39"/>
      <c r="L63" s="38"/>
      <c r="M63" s="38"/>
      <c r="N63" s="38"/>
      <c r="O63" s="38"/>
    </row>
    <row r="64" spans="1:15" s="758" customFormat="1" ht="15.75" customHeight="1">
      <c r="A64" s="1078" t="s">
        <v>170</v>
      </c>
      <c r="B64" s="1763" t="s">
        <v>839</v>
      </c>
      <c r="C64" s="1763"/>
      <c r="D64" s="1763"/>
      <c r="E64" s="1763"/>
      <c r="F64" s="1763"/>
      <c r="G64" s="1763"/>
      <c r="H64" s="1763"/>
      <c r="I64" s="1763"/>
      <c r="K64" s="39"/>
      <c r="O64" s="38"/>
    </row>
    <row r="65" spans="1:15" s="758" customFormat="1">
      <c r="A65" s="1079" t="s">
        <v>316</v>
      </c>
      <c r="B65" s="1766" t="s">
        <v>1113</v>
      </c>
      <c r="C65" s="1766"/>
      <c r="D65" s="1766"/>
      <c r="E65" s="1766"/>
      <c r="F65" s="1766"/>
      <c r="G65" s="1766"/>
      <c r="K65" s="39"/>
      <c r="O65" s="38"/>
    </row>
    <row r="66" spans="1:15" s="758" customFormat="1">
      <c r="A66" s="1079" t="s">
        <v>317</v>
      </c>
      <c r="B66" s="973" t="s">
        <v>838</v>
      </c>
      <c r="K66" s="39"/>
      <c r="O66" s="38"/>
    </row>
    <row r="67" spans="1:15" s="758" customFormat="1" ht="26.4" customHeight="1">
      <c r="A67" s="1079" t="s">
        <v>318</v>
      </c>
      <c r="B67" s="1767" t="str">
        <f>+"Revenues from Schedules associated with Attachment GG and MM should appear in the Rev. Credits category above because they are credited in Appendix A - Revenue Requirement Lines "&amp;'Appendix A'!A284&amp;" &amp; "&amp;'Appendix A'!A285&amp;"."</f>
        <v>Revenues from Schedules associated with Attachment GG and MM should appear in the Rev. Credits category above because they are credited in Appendix A - Revenue Requirement Lines 189 &amp; 190.</v>
      </c>
      <c r="C67" s="1767"/>
      <c r="D67" s="1767"/>
      <c r="E67" s="1767"/>
      <c r="F67" s="1767"/>
      <c r="G67" s="1767"/>
      <c r="H67" s="1767"/>
      <c r="K67" s="39"/>
      <c r="O67" s="38"/>
    </row>
    <row r="68" spans="1:15" s="758" customFormat="1" ht="67.95" customHeight="1">
      <c r="A68" s="1079" t="s">
        <v>319</v>
      </c>
      <c r="B68" s="1717" t="s">
        <v>890</v>
      </c>
      <c r="C68" s="1717"/>
      <c r="D68" s="1717"/>
      <c r="E68" s="1717"/>
      <c r="F68" s="1717"/>
      <c r="G68" s="1717"/>
      <c r="H68" s="1717"/>
      <c r="K68" s="39"/>
      <c r="O68" s="38"/>
    </row>
    <row r="69" spans="1:15">
      <c r="A69" s="1453" t="s">
        <v>712</v>
      </c>
      <c r="B69" s="265" t="s">
        <v>1119</v>
      </c>
      <c r="K69" s="39"/>
    </row>
    <row r="70" spans="1:15">
      <c r="A70" s="678"/>
    </row>
    <row r="71" spans="1:15">
      <c r="A71" s="678"/>
    </row>
    <row r="72" spans="1:15">
      <c r="A72" s="678"/>
    </row>
    <row r="73" spans="1:15">
      <c r="A73" s="678"/>
    </row>
    <row r="74" spans="1:15">
      <c r="A74" s="678"/>
    </row>
    <row r="86" ht="14.4" customHeight="1"/>
  </sheetData>
  <sortState ref="B29:E76">
    <sortCondition ref="B29:B76"/>
  </sortState>
  <mergeCells count="10">
    <mergeCell ref="A1:I1"/>
    <mergeCell ref="A2:I2"/>
    <mergeCell ref="D13:E13"/>
    <mergeCell ref="B68:H68"/>
    <mergeCell ref="B64:I64"/>
    <mergeCell ref="D12:G12"/>
    <mergeCell ref="A3:I3"/>
    <mergeCell ref="B65:G65"/>
    <mergeCell ref="B67:H67"/>
    <mergeCell ref="H41:I41"/>
  </mergeCells>
  <phoneticPr fontId="88" type="noConversion"/>
  <printOptions horizontalCentered="1"/>
  <pageMargins left="0.7" right="0.7" top="0.7" bottom="0.7" header="0.3" footer="0.5"/>
  <pageSetup scale="65" orientation="portrait" r:id="rId1"/>
  <headerFooter>
    <oddFooter>&amp;R&amp;A</oddFooter>
  </headerFooter>
  <ignoredErrors>
    <ignoredError sqref="G10 A52" formula="1"/>
    <ignoredError sqref="A64:A69"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election activeCell="A9" sqref="A9"/>
    </sheetView>
  </sheetViews>
  <sheetFormatPr defaultRowHeight="13.2"/>
  <cols>
    <col min="1" max="1" width="5.33203125" customWidth="1"/>
    <col min="2" max="2" width="4.5546875" customWidth="1"/>
    <col min="3" max="3" width="12.109375" style="1500" customWidth="1"/>
    <col min="4" max="4" width="53.88671875" bestFit="1" customWidth="1"/>
    <col min="5" max="5" width="14.88671875" customWidth="1"/>
  </cols>
  <sheetData>
    <row r="1" spans="1:10" s="265" customFormat="1">
      <c r="A1" s="1761" t="str">
        <f>+'MISO Cover'!C6</f>
        <v>Entergy Texas, Inc.</v>
      </c>
      <c r="B1" s="1761"/>
      <c r="C1" s="1761"/>
      <c r="D1" s="1761"/>
      <c r="E1" s="1761"/>
      <c r="F1" s="1509"/>
      <c r="G1" s="1509"/>
      <c r="H1" s="1509"/>
    </row>
    <row r="2" spans="1:10" s="265" customFormat="1">
      <c r="A2" s="1761" t="s">
        <v>1425</v>
      </c>
      <c r="B2" s="1761"/>
      <c r="C2" s="1761"/>
      <c r="D2" s="1761"/>
      <c r="E2" s="1761"/>
      <c r="F2" s="1509"/>
      <c r="G2" s="1509"/>
      <c r="H2" s="1509"/>
    </row>
    <row r="3" spans="1:10" s="265" customFormat="1">
      <c r="A3" s="1759" t="str">
        <f>+'MISO Cover'!K4</f>
        <v>For  the 12 Months Ended 12/31/2016</v>
      </c>
      <c r="B3" s="1759"/>
      <c r="C3" s="1759"/>
      <c r="D3" s="1759"/>
      <c r="E3" s="1759"/>
      <c r="F3" s="1510"/>
      <c r="G3" s="1510"/>
      <c r="H3" s="1510"/>
      <c r="J3" s="1511"/>
    </row>
    <row r="5" spans="1:10">
      <c r="A5" t="s">
        <v>1426</v>
      </c>
      <c r="C5" s="1512" t="s">
        <v>1427</v>
      </c>
      <c r="D5" t="s">
        <v>1428</v>
      </c>
      <c r="E5" t="s">
        <v>1429</v>
      </c>
    </row>
    <row r="6" spans="1:10">
      <c r="A6" s="1503">
        <v>1</v>
      </c>
      <c r="B6" t="s">
        <v>1430</v>
      </c>
    </row>
    <row r="7" spans="1:10">
      <c r="A7" s="1503">
        <f>+A6+1</f>
        <v>2</v>
      </c>
      <c r="C7" s="1500">
        <v>25485.62</v>
      </c>
      <c r="D7" t="s">
        <v>1431</v>
      </c>
      <c r="E7" t="s">
        <v>1432</v>
      </c>
    </row>
    <row r="8" spans="1:10">
      <c r="A8" s="1503">
        <f t="shared" ref="A8:A38" si="0">+A7+1</f>
        <v>3</v>
      </c>
      <c r="C8" s="1500">
        <v>2287.34</v>
      </c>
      <c r="D8" t="s">
        <v>1431</v>
      </c>
      <c r="E8" t="s">
        <v>1433</v>
      </c>
    </row>
    <row r="9" spans="1:10">
      <c r="A9" s="1503"/>
      <c r="C9" s="1500">
        <v>801.61</v>
      </c>
      <c r="D9" t="s">
        <v>1434</v>
      </c>
      <c r="E9" t="s">
        <v>1432</v>
      </c>
    </row>
    <row r="10" spans="1:10">
      <c r="A10" s="1503"/>
      <c r="C10" s="1500">
        <v>71.94</v>
      </c>
      <c r="D10" t="s">
        <v>1434</v>
      </c>
      <c r="E10" t="s">
        <v>1433</v>
      </c>
    </row>
    <row r="11" spans="1:10">
      <c r="A11" s="1503">
        <f>+A8+1</f>
        <v>4</v>
      </c>
      <c r="C11" s="1500">
        <v>0</v>
      </c>
      <c r="D11" t="s">
        <v>1431</v>
      </c>
      <c r="E11" t="s">
        <v>1432</v>
      </c>
    </row>
    <row r="12" spans="1:10">
      <c r="A12" s="1503">
        <f t="shared" si="0"/>
        <v>5</v>
      </c>
      <c r="C12" s="1500">
        <v>-6239.7099999999991</v>
      </c>
      <c r="D12" t="s">
        <v>1431</v>
      </c>
      <c r="E12" t="s">
        <v>1433</v>
      </c>
    </row>
    <row r="13" spans="1:10">
      <c r="A13" s="1503">
        <f t="shared" si="0"/>
        <v>6</v>
      </c>
      <c r="C13" s="1500">
        <v>0</v>
      </c>
      <c r="D13" t="s">
        <v>1434</v>
      </c>
      <c r="E13" t="s">
        <v>1432</v>
      </c>
    </row>
    <row r="14" spans="1:10">
      <c r="A14" s="1503">
        <f t="shared" si="0"/>
        <v>7</v>
      </c>
      <c r="B14" s="1585"/>
      <c r="C14" s="1586">
        <v>-445.05</v>
      </c>
      <c r="D14" s="1585" t="s">
        <v>1434</v>
      </c>
      <c r="E14" t="s">
        <v>1433</v>
      </c>
    </row>
    <row r="15" spans="1:10">
      <c r="A15" s="1503"/>
      <c r="B15" s="1508"/>
      <c r="C15" s="1513">
        <v>13760.11011828102</v>
      </c>
      <c r="D15" s="1508" t="s">
        <v>1515</v>
      </c>
    </row>
    <row r="16" spans="1:10">
      <c r="A16" s="1503">
        <f>+A14+1</f>
        <v>8</v>
      </c>
      <c r="B16" t="s">
        <v>113</v>
      </c>
      <c r="C16" s="1500">
        <f>SUM(C7:C15)</f>
        <v>35721.860118281023</v>
      </c>
      <c r="D16" t="s">
        <v>1435</v>
      </c>
    </row>
    <row r="17" spans="1:5">
      <c r="A17" s="1503">
        <f t="shared" si="0"/>
        <v>9</v>
      </c>
    </row>
    <row r="18" spans="1:5">
      <c r="A18" s="1503">
        <f t="shared" si="0"/>
        <v>10</v>
      </c>
      <c r="B18" t="s">
        <v>1436</v>
      </c>
    </row>
    <row r="19" spans="1:5">
      <c r="A19" s="1503">
        <f t="shared" si="0"/>
        <v>11</v>
      </c>
      <c r="C19" s="1500">
        <v>6874.6799999999994</v>
      </c>
      <c r="D19" t="s">
        <v>1437</v>
      </c>
      <c r="E19" t="s">
        <v>1432</v>
      </c>
    </row>
    <row r="20" spans="1:5">
      <c r="A20" s="1503"/>
      <c r="C20" s="1500">
        <v>431.5</v>
      </c>
      <c r="D20" t="s">
        <v>1437</v>
      </c>
      <c r="E20" t="s">
        <v>1433</v>
      </c>
    </row>
    <row r="21" spans="1:5">
      <c r="A21" s="1503"/>
      <c r="C21" s="1500">
        <v>213.82000000000002</v>
      </c>
      <c r="D21" t="s">
        <v>1438</v>
      </c>
      <c r="E21" t="s">
        <v>1432</v>
      </c>
    </row>
    <row r="22" spans="1:5">
      <c r="A22" s="1503">
        <f>+A19+1</f>
        <v>12</v>
      </c>
      <c r="C22" s="1500">
        <v>10.97</v>
      </c>
      <c r="D22" t="s">
        <v>1438</v>
      </c>
      <c r="E22" t="s">
        <v>1433</v>
      </c>
    </row>
    <row r="23" spans="1:5">
      <c r="A23" s="1503">
        <f t="shared" si="0"/>
        <v>13</v>
      </c>
      <c r="C23" s="1500">
        <v>0</v>
      </c>
      <c r="D23" t="s">
        <v>1437</v>
      </c>
      <c r="E23" t="s">
        <v>1432</v>
      </c>
    </row>
    <row r="24" spans="1:5">
      <c r="A24" s="1503">
        <f t="shared" si="0"/>
        <v>14</v>
      </c>
      <c r="C24" s="1500">
        <v>-96.59</v>
      </c>
      <c r="D24" t="s">
        <v>1437</v>
      </c>
      <c r="E24" t="s">
        <v>1433</v>
      </c>
    </row>
    <row r="25" spans="1:5">
      <c r="A25" s="1503">
        <f t="shared" si="0"/>
        <v>15</v>
      </c>
      <c r="C25" s="1500">
        <v>0</v>
      </c>
      <c r="D25" t="s">
        <v>1438</v>
      </c>
      <c r="E25" t="s">
        <v>1432</v>
      </c>
    </row>
    <row r="26" spans="1:5">
      <c r="A26" s="1503">
        <f t="shared" si="0"/>
        <v>16</v>
      </c>
      <c r="B26" s="1585"/>
      <c r="C26" s="1586">
        <v>-5.34</v>
      </c>
      <c r="D26" s="1585" t="s">
        <v>1438</v>
      </c>
      <c r="E26" t="s">
        <v>1433</v>
      </c>
    </row>
    <row r="27" spans="1:5">
      <c r="A27" s="1503"/>
      <c r="B27" s="1508"/>
      <c r="C27" s="1513">
        <v>1713.227760841442</v>
      </c>
      <c r="D27" s="1508" t="s">
        <v>1515</v>
      </c>
    </row>
    <row r="28" spans="1:5">
      <c r="A28" s="1503">
        <f>+A26+1</f>
        <v>17</v>
      </c>
      <c r="B28" t="s">
        <v>113</v>
      </c>
      <c r="C28" s="1500">
        <f>SUM(C19:C27)</f>
        <v>9142.2677608414415</v>
      </c>
      <c r="D28" t="s">
        <v>1439</v>
      </c>
    </row>
    <row r="29" spans="1:5">
      <c r="A29" s="1503">
        <f t="shared" si="0"/>
        <v>18</v>
      </c>
    </row>
    <row r="30" spans="1:5">
      <c r="A30" s="1503">
        <f t="shared" si="0"/>
        <v>19</v>
      </c>
      <c r="B30" t="s">
        <v>1440</v>
      </c>
    </row>
    <row r="31" spans="1:5">
      <c r="A31" s="1503">
        <f t="shared" si="0"/>
        <v>20</v>
      </c>
      <c r="C31" s="1500">
        <v>1957993.33</v>
      </c>
      <c r="D31" t="s">
        <v>1441</v>
      </c>
      <c r="E31" t="s">
        <v>1432</v>
      </c>
    </row>
    <row r="32" spans="1:5">
      <c r="A32" s="1503">
        <f t="shared" si="0"/>
        <v>21</v>
      </c>
      <c r="C32" s="1500">
        <v>867229.6</v>
      </c>
      <c r="D32" t="s">
        <v>1441</v>
      </c>
      <c r="E32" t="s">
        <v>1433</v>
      </c>
    </row>
    <row r="33" spans="1:5">
      <c r="A33" s="1503">
        <f t="shared" si="0"/>
        <v>22</v>
      </c>
      <c r="C33" s="1500">
        <v>61594.53</v>
      </c>
      <c r="D33" t="s">
        <v>1442</v>
      </c>
      <c r="E33" t="s">
        <v>1432</v>
      </c>
    </row>
    <row r="34" spans="1:5">
      <c r="A34" s="1503">
        <f t="shared" si="0"/>
        <v>23</v>
      </c>
      <c r="C34" s="1500">
        <v>27281.3</v>
      </c>
      <c r="D34" t="s">
        <v>1442</v>
      </c>
      <c r="E34" t="s">
        <v>1433</v>
      </c>
    </row>
    <row r="35" spans="1:5">
      <c r="A35" s="1503">
        <f t="shared" si="0"/>
        <v>24</v>
      </c>
      <c r="C35" s="1500">
        <v>21549.625837931715</v>
      </c>
      <c r="D35" t="s">
        <v>1441</v>
      </c>
      <c r="E35" t="s">
        <v>1443</v>
      </c>
    </row>
    <row r="36" spans="1:5">
      <c r="A36" s="1503">
        <f t="shared" si="0"/>
        <v>25</v>
      </c>
      <c r="C36" s="1500">
        <v>32536.601071032783</v>
      </c>
      <c r="D36" t="s">
        <v>1441</v>
      </c>
      <c r="E36" t="s">
        <v>1433</v>
      </c>
    </row>
    <row r="37" spans="1:5">
      <c r="A37" s="1503">
        <f t="shared" si="0"/>
        <v>26</v>
      </c>
      <c r="C37" s="1500">
        <v>677.9193011969993</v>
      </c>
      <c r="D37" t="s">
        <v>1442</v>
      </c>
      <c r="E37" t="s">
        <v>1443</v>
      </c>
    </row>
    <row r="38" spans="1:5">
      <c r="A38" s="1503">
        <f t="shared" si="0"/>
        <v>27</v>
      </c>
      <c r="B38" s="1585"/>
      <c r="C38" s="1586">
        <v>1023.5539319603184</v>
      </c>
      <c r="D38" s="1585" t="s">
        <v>1442</v>
      </c>
      <c r="E38" t="s">
        <v>1433</v>
      </c>
    </row>
    <row r="39" spans="1:5">
      <c r="A39" s="1503"/>
      <c r="B39" s="1508"/>
      <c r="C39" s="1513">
        <v>82786.565287198348</v>
      </c>
      <c r="D39" s="1508" t="s">
        <v>1515</v>
      </c>
    </row>
    <row r="40" spans="1:5">
      <c r="A40" s="1503">
        <f>+A38+1</f>
        <v>28</v>
      </c>
      <c r="B40" t="s">
        <v>113</v>
      </c>
      <c r="C40" s="1500">
        <f>SUM(C31:C39)</f>
        <v>3052673.0254293201</v>
      </c>
      <c r="D40" t="s">
        <v>1439</v>
      </c>
    </row>
    <row r="42" spans="1:5">
      <c r="A42" s="1770" t="s">
        <v>124</v>
      </c>
      <c r="B42" s="1770"/>
    </row>
    <row r="43" spans="1:5">
      <c r="A43" s="1514" t="s">
        <v>170</v>
      </c>
      <c r="B43" t="s">
        <v>1444</v>
      </c>
    </row>
    <row r="44" spans="1:5">
      <c r="A44" s="1514" t="s">
        <v>316</v>
      </c>
      <c r="B44" t="s">
        <v>1445</v>
      </c>
    </row>
  </sheetData>
  <mergeCells count="4">
    <mergeCell ref="A1:E1"/>
    <mergeCell ref="A2:E2"/>
    <mergeCell ref="A3:E3"/>
    <mergeCell ref="A42:B42"/>
  </mergeCells>
  <printOptions horizontalCentered="1"/>
  <pageMargins left="0.7" right="0.7" top="0.75" bottom="0.75" header="0.3" footer="0.5"/>
  <pageSetup orientation="portrait" r:id="rId1"/>
  <headerFooter>
    <oddFooter>&amp;R&amp;A</oddFooter>
  </headerFooter>
  <ignoredErrors>
    <ignoredError sqref="A43:A44"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Q56"/>
  <sheetViews>
    <sheetView workbookViewId="0">
      <selection activeCell="A9" sqref="A9"/>
    </sheetView>
  </sheetViews>
  <sheetFormatPr defaultColWidth="8.88671875" defaultRowHeight="13.2"/>
  <cols>
    <col min="1" max="1" width="7.6640625" style="39" customWidth="1"/>
    <col min="2" max="2" width="39.5546875" style="39" customWidth="1"/>
    <col min="3" max="3" width="10.77734375" style="39" customWidth="1"/>
    <col min="4" max="4" width="19" style="39" customWidth="1"/>
    <col min="5" max="5" width="14.6640625" style="39" customWidth="1"/>
    <col min="6" max="6" width="3.44140625" style="38" customWidth="1"/>
    <col min="7" max="9" width="8.88671875" style="38"/>
    <col min="10" max="16384" width="8.88671875" style="39"/>
  </cols>
  <sheetData>
    <row r="1" spans="1:17">
      <c r="A1" s="1774" t="str">
        <f>+'MISO Cover'!C6</f>
        <v>Entergy Texas, Inc.</v>
      </c>
      <c r="B1" s="1774"/>
      <c r="C1" s="1774"/>
      <c r="D1" s="1774"/>
      <c r="E1" s="1774"/>
      <c r="F1" s="1774"/>
    </row>
    <row r="2" spans="1:17">
      <c r="A2" s="1775" t="s">
        <v>1456</v>
      </c>
      <c r="B2" s="1775"/>
      <c r="C2" s="1775"/>
      <c r="D2" s="1775"/>
      <c r="E2" s="1775"/>
      <c r="F2" s="1775"/>
    </row>
    <row r="3" spans="1:17">
      <c r="A3" s="1776" t="str">
        <f>+'MISO Cover'!K4</f>
        <v>For  the 12 Months Ended 12/31/2016</v>
      </c>
      <c r="B3" s="1776"/>
      <c r="C3" s="1776"/>
      <c r="D3" s="1776"/>
      <c r="E3" s="1776"/>
      <c r="F3" s="1776"/>
      <c r="G3" s="765"/>
      <c r="H3" s="765"/>
      <c r="I3" s="765"/>
    </row>
    <row r="4" spans="1:17">
      <c r="A4" s="38"/>
      <c r="B4" s="1388"/>
      <c r="C4" s="1388"/>
      <c r="D4" s="527"/>
      <c r="E4" s="38"/>
    </row>
    <row r="5" spans="1:17">
      <c r="A5" s="1516" t="s">
        <v>277</v>
      </c>
      <c r="B5" s="1606" t="s">
        <v>67</v>
      </c>
      <c r="C5" s="1606"/>
      <c r="D5" s="1615" t="s">
        <v>114</v>
      </c>
      <c r="E5" s="1615" t="s">
        <v>55</v>
      </c>
    </row>
    <row r="6" spans="1:17" ht="15">
      <c r="A6" s="1516"/>
      <c r="B6" s="38"/>
      <c r="C6" s="38"/>
      <c r="D6" s="1773" t="s">
        <v>95</v>
      </c>
      <c r="E6" s="1773"/>
    </row>
    <row r="7" spans="1:17">
      <c r="A7" s="1518">
        <v>1</v>
      </c>
      <c r="B7" s="1843" t="s">
        <v>253</v>
      </c>
      <c r="C7" s="1843"/>
      <c r="D7" s="1621" t="s">
        <v>1455</v>
      </c>
      <c r="E7" s="1621" t="s">
        <v>1386</v>
      </c>
    </row>
    <row r="8" spans="1:17" ht="15">
      <c r="A8" s="1518">
        <f>+A7+1</f>
        <v>2</v>
      </c>
      <c r="B8" s="1844" t="s">
        <v>172</v>
      </c>
      <c r="C8" s="1845"/>
      <c r="D8" s="172"/>
    </row>
    <row r="9" spans="1:17">
      <c r="A9" s="1518">
        <f>+A8+0.01</f>
        <v>2.0099999999999998</v>
      </c>
      <c r="B9" s="38" t="s">
        <v>227</v>
      </c>
      <c r="C9" s="38"/>
      <c r="D9" s="467"/>
      <c r="E9" s="1618">
        <v>0</v>
      </c>
      <c r="G9" s="164" t="s">
        <v>1591</v>
      </c>
      <c r="H9" s="164"/>
      <c r="J9" s="38"/>
      <c r="K9" s="38"/>
      <c r="L9" s="38"/>
      <c r="M9" s="38"/>
      <c r="N9" s="38"/>
      <c r="O9" s="38"/>
      <c r="P9" s="38"/>
      <c r="Q9" s="38"/>
    </row>
    <row r="10" spans="1:17">
      <c r="A10" s="1518">
        <f t="shared" ref="A10:A21" si="0">+A9+0.01</f>
        <v>2.0199999999999996</v>
      </c>
      <c r="B10" s="38" t="s">
        <v>228</v>
      </c>
      <c r="C10" s="38"/>
      <c r="D10" s="1601">
        <v>1.1254721410697501E-2</v>
      </c>
      <c r="E10" s="1618">
        <v>740631.82999999903</v>
      </c>
      <c r="G10" s="1670"/>
      <c r="J10" s="38"/>
    </row>
    <row r="11" spans="1:17">
      <c r="A11" s="1518">
        <f t="shared" si="0"/>
        <v>2.0299999999999994</v>
      </c>
      <c r="B11" s="38" t="s">
        <v>229</v>
      </c>
      <c r="C11" s="38"/>
      <c r="D11" s="1538">
        <v>6.6700130503861296E-2</v>
      </c>
      <c r="E11" s="1618">
        <v>74835.539999999994</v>
      </c>
      <c r="J11" s="38"/>
    </row>
    <row r="12" spans="1:17">
      <c r="A12" s="1518">
        <f t="shared" si="0"/>
        <v>2.0399999999999991</v>
      </c>
      <c r="B12" s="38" t="s">
        <v>230</v>
      </c>
      <c r="C12" s="38"/>
      <c r="D12" s="1538">
        <v>0.200000011792028</v>
      </c>
      <c r="E12" s="1618">
        <v>1251380.71</v>
      </c>
      <c r="J12" s="38"/>
    </row>
    <row r="13" spans="1:17">
      <c r="A13" s="1518">
        <f t="shared" si="0"/>
        <v>2.0499999999999989</v>
      </c>
      <c r="B13" s="38" t="s">
        <v>231</v>
      </c>
      <c r="C13" s="38"/>
      <c r="D13" s="1538">
        <v>6.6699956984376099E-2</v>
      </c>
      <c r="E13" s="1618">
        <v>65846.149999999994</v>
      </c>
      <c r="J13" s="38"/>
    </row>
    <row r="14" spans="1:17">
      <c r="A14" s="1518">
        <f t="shared" si="0"/>
        <v>2.0599999999999987</v>
      </c>
      <c r="B14" s="38" t="s">
        <v>232</v>
      </c>
      <c r="C14" s="38"/>
      <c r="D14" s="1538">
        <v>0.12</v>
      </c>
      <c r="E14" s="1618">
        <v>0</v>
      </c>
      <c r="J14" s="38"/>
    </row>
    <row r="15" spans="1:17">
      <c r="A15" s="1518">
        <f t="shared" si="0"/>
        <v>2.0699999999999985</v>
      </c>
      <c r="B15" s="38" t="s">
        <v>233</v>
      </c>
      <c r="C15" s="38"/>
      <c r="D15" s="1538">
        <v>6.6700160121179505E-2</v>
      </c>
      <c r="E15" s="1618">
        <v>73859.64</v>
      </c>
      <c r="J15" s="38"/>
    </row>
    <row r="16" spans="1:17">
      <c r="A16" s="1518">
        <f t="shared" si="0"/>
        <v>2.0799999999999983</v>
      </c>
      <c r="B16" s="38" t="s">
        <v>234</v>
      </c>
      <c r="C16" s="38"/>
      <c r="D16" s="1538">
        <v>6.6699942950995794E-2</v>
      </c>
      <c r="E16" s="1618">
        <v>561894.71</v>
      </c>
      <c r="J16" s="38"/>
    </row>
    <row r="17" spans="1:10">
      <c r="A17" s="1518">
        <f t="shared" si="0"/>
        <v>2.0899999999999981</v>
      </c>
      <c r="B17" s="38" t="s">
        <v>235</v>
      </c>
      <c r="C17" s="38"/>
      <c r="D17" s="1538">
        <v>9.9999955970960203E-2</v>
      </c>
      <c r="E17" s="1618">
        <v>0</v>
      </c>
      <c r="J17" s="38"/>
    </row>
    <row r="18" spans="1:10">
      <c r="A18" s="834">
        <f t="shared" si="0"/>
        <v>2.0999999999999979</v>
      </c>
      <c r="B18" s="38" t="s">
        <v>236</v>
      </c>
      <c r="C18" s="38"/>
      <c r="D18" s="1538">
        <v>6.6699677414518294E-2</v>
      </c>
      <c r="E18" s="1618">
        <v>9653.1299999999992</v>
      </c>
      <c r="J18" s="38"/>
    </row>
    <row r="19" spans="1:10">
      <c r="A19" s="1518">
        <f t="shared" si="0"/>
        <v>2.1099999999999977</v>
      </c>
      <c r="B19" s="38" t="s">
        <v>237</v>
      </c>
      <c r="C19" s="38"/>
      <c r="D19" s="1538">
        <v>0.100000296042594</v>
      </c>
      <c r="E19" s="1618">
        <v>1004591.6</v>
      </c>
      <c r="J19" s="38"/>
    </row>
    <row r="20" spans="1:10">
      <c r="A20" s="1518">
        <f t="shared" si="0"/>
        <v>2.1199999999999974</v>
      </c>
      <c r="B20" s="38" t="s">
        <v>238</v>
      </c>
      <c r="C20" s="38"/>
      <c r="D20" s="1538">
        <v>9.9999988693228903E-2</v>
      </c>
      <c r="E20" s="1618">
        <v>1187247.82</v>
      </c>
      <c r="J20" s="38"/>
    </row>
    <row r="21" spans="1:10">
      <c r="A21" s="1518">
        <f t="shared" si="0"/>
        <v>2.1299999999999972</v>
      </c>
      <c r="B21" s="38" t="s">
        <v>239</v>
      </c>
      <c r="C21" s="38"/>
      <c r="D21" s="1538">
        <v>0.100000012281594</v>
      </c>
      <c r="E21" s="1619">
        <v>151076.62</v>
      </c>
      <c r="J21" s="38"/>
    </row>
    <row r="22" spans="1:10">
      <c r="A22" s="1518">
        <f>+A21+0.01</f>
        <v>2.139999999999997</v>
      </c>
      <c r="B22" s="539" t="str">
        <f>+"Total "&amp;B8</f>
        <v>Total General Plant</v>
      </c>
      <c r="C22" s="539"/>
      <c r="D22" s="467"/>
      <c r="E22" s="757">
        <f>SUM(E9:E21)</f>
        <v>5121017.7499999991</v>
      </c>
      <c r="J22" s="38"/>
    </row>
    <row r="23" spans="1:10">
      <c r="A23" s="1518">
        <f>+A8+1</f>
        <v>3</v>
      </c>
      <c r="B23" s="38"/>
      <c r="C23" s="38"/>
      <c r="D23" s="467"/>
      <c r="E23" s="757"/>
      <c r="J23" s="38"/>
    </row>
    <row r="24" spans="1:10" ht="15">
      <c r="A24" s="1518">
        <f>+A23+1</f>
        <v>4</v>
      </c>
      <c r="B24" s="1844" t="s">
        <v>495</v>
      </c>
      <c r="C24" s="1845"/>
      <c r="D24" s="1539"/>
      <c r="E24" s="1499"/>
      <c r="J24" s="38"/>
    </row>
    <row r="25" spans="1:10">
      <c r="A25" s="1518">
        <f>+A24+0.01</f>
        <v>4.01</v>
      </c>
      <c r="B25" s="38" t="s">
        <v>268</v>
      </c>
      <c r="C25" s="38"/>
      <c r="D25" s="1537"/>
      <c r="E25" s="1618">
        <v>0</v>
      </c>
      <c r="J25" s="38"/>
    </row>
    <row r="26" spans="1:10">
      <c r="A26" s="1518">
        <f t="shared" ref="A26:A34" si="1">+A25+0.01</f>
        <v>4.0199999999999996</v>
      </c>
      <c r="B26" s="38" t="s">
        <v>269</v>
      </c>
      <c r="C26" s="38"/>
      <c r="D26" s="1537"/>
      <c r="E26" s="1618">
        <v>0</v>
      </c>
      <c r="J26" s="38"/>
    </row>
    <row r="27" spans="1:10">
      <c r="A27" s="1518">
        <f t="shared" si="1"/>
        <v>4.0299999999999994</v>
      </c>
      <c r="B27" s="38" t="s">
        <v>270</v>
      </c>
      <c r="C27" s="38"/>
      <c r="D27" s="1537"/>
      <c r="E27" s="1618">
        <v>0</v>
      </c>
      <c r="J27" s="38"/>
    </row>
    <row r="28" spans="1:10">
      <c r="A28" s="1518">
        <f t="shared" si="1"/>
        <v>4.0399999999999991</v>
      </c>
      <c r="B28" s="38" t="s">
        <v>271</v>
      </c>
      <c r="C28" s="38"/>
      <c r="D28" s="1537"/>
      <c r="E28" s="1618">
        <v>0</v>
      </c>
      <c r="J28" s="38"/>
    </row>
    <row r="29" spans="1:10">
      <c r="A29" s="1518">
        <f t="shared" si="1"/>
        <v>4.0499999999999989</v>
      </c>
      <c r="B29" s="38" t="s">
        <v>272</v>
      </c>
      <c r="C29" s="38"/>
      <c r="D29" s="1387">
        <v>0.2</v>
      </c>
      <c r="E29" s="1618">
        <v>4722990</v>
      </c>
      <c r="J29" s="38"/>
    </row>
    <row r="30" spans="1:10">
      <c r="A30" s="1518">
        <f t="shared" si="1"/>
        <v>4.0599999999999987</v>
      </c>
      <c r="B30" s="38" t="s">
        <v>273</v>
      </c>
      <c r="C30" s="38"/>
      <c r="D30" s="1387">
        <v>0.1</v>
      </c>
      <c r="E30" s="1618">
        <v>749809.26</v>
      </c>
      <c r="J30" s="38"/>
    </row>
    <row r="31" spans="1:10">
      <c r="A31" s="834">
        <f t="shared" si="1"/>
        <v>4.0699999999999985</v>
      </c>
      <c r="B31" s="38" t="s">
        <v>1387</v>
      </c>
      <c r="C31" s="38"/>
      <c r="D31" s="1540">
        <v>6.6699999999999995E-2</v>
      </c>
      <c r="E31" s="1618">
        <v>490940.85</v>
      </c>
      <c r="J31" s="38"/>
    </row>
    <row r="32" spans="1:10">
      <c r="A32" s="834">
        <f t="shared" si="1"/>
        <v>4.0799999999999983</v>
      </c>
      <c r="B32" s="38" t="s">
        <v>1388</v>
      </c>
      <c r="C32" s="38"/>
      <c r="D32" s="1540">
        <v>0.05</v>
      </c>
      <c r="E32" s="1618">
        <v>413574.93</v>
      </c>
      <c r="J32" s="38"/>
    </row>
    <row r="33" spans="1:10">
      <c r="A33" s="834">
        <f t="shared" si="1"/>
        <v>4.0899999999999981</v>
      </c>
      <c r="B33" s="1846" t="s">
        <v>1517</v>
      </c>
      <c r="C33" s="1847" t="s">
        <v>316</v>
      </c>
      <c r="D33" s="1540">
        <v>2.92E-2</v>
      </c>
      <c r="E33" s="1618">
        <v>-6810.99</v>
      </c>
      <c r="G33" s="38" t="s">
        <v>1590</v>
      </c>
      <c r="H33" s="38" t="s">
        <v>1584</v>
      </c>
      <c r="J33" s="1848"/>
    </row>
    <row r="34" spans="1:10">
      <c r="A34" s="834">
        <f t="shared" si="1"/>
        <v>4.0999999999999979</v>
      </c>
      <c r="B34" s="38" t="s">
        <v>1518</v>
      </c>
      <c r="C34" s="1818" t="s">
        <v>317</v>
      </c>
      <c r="D34" s="1540" t="s">
        <v>1389</v>
      </c>
      <c r="E34" s="1619">
        <v>-117484.83</v>
      </c>
      <c r="G34" s="38" t="s">
        <v>1590</v>
      </c>
      <c r="H34" s="38" t="s">
        <v>1584</v>
      </c>
      <c r="J34" s="1848"/>
    </row>
    <row r="35" spans="1:10">
      <c r="A35" s="834">
        <f>+A34+0.01</f>
        <v>4.1099999999999977</v>
      </c>
      <c r="B35" s="539" t="str">
        <f>+"Total "&amp;B24</f>
        <v>Total Intangibles</v>
      </c>
      <c r="C35" s="539"/>
      <c r="D35" s="1537"/>
      <c r="E35" s="810">
        <f>SUM(E29:E34)</f>
        <v>6253019.2199999988</v>
      </c>
      <c r="J35" s="38"/>
    </row>
    <row r="36" spans="1:10">
      <c r="A36" s="1518">
        <f>+A24+1</f>
        <v>5</v>
      </c>
      <c r="B36" s="1388"/>
      <c r="C36" s="1388"/>
      <c r="D36" s="1388"/>
      <c r="J36" s="38"/>
    </row>
    <row r="37" spans="1:10" ht="15">
      <c r="A37" s="1518">
        <f>+A36+1</f>
        <v>6</v>
      </c>
      <c r="B37" s="1844" t="s">
        <v>136</v>
      </c>
      <c r="C37" s="1845"/>
      <c r="D37" s="164"/>
      <c r="J37" s="38"/>
    </row>
    <row r="38" spans="1:10">
      <c r="A38" s="1518">
        <f>+A37+0.01</f>
        <v>6.01</v>
      </c>
      <c r="B38" s="38" t="s">
        <v>240</v>
      </c>
      <c r="C38" s="38"/>
      <c r="D38" s="467"/>
      <c r="E38" s="1618">
        <v>0</v>
      </c>
      <c r="J38" s="38"/>
    </row>
    <row r="39" spans="1:10">
      <c r="A39" s="1518">
        <f t="shared" ref="A39:A51" si="2">+A38+0.01</f>
        <v>6.02</v>
      </c>
      <c r="B39" s="38" t="s">
        <v>241</v>
      </c>
      <c r="C39" s="38"/>
      <c r="D39" s="1538">
        <v>1.39174224440284E-2</v>
      </c>
      <c r="E39" s="1617">
        <v>228459.08</v>
      </c>
      <c r="J39" s="38"/>
    </row>
    <row r="40" spans="1:10">
      <c r="A40" s="1518">
        <f t="shared" si="2"/>
        <v>6.0299999999999994</v>
      </c>
      <c r="B40" s="38" t="s">
        <v>242</v>
      </c>
      <c r="C40" s="38"/>
      <c r="D40" s="1538">
        <v>1.39174224440284E-2</v>
      </c>
      <c r="E40" s="1617">
        <v>287670.59999999998</v>
      </c>
      <c r="J40" s="38"/>
    </row>
    <row r="41" spans="1:10">
      <c r="A41" s="1518">
        <f t="shared" si="2"/>
        <v>6.0399999999999991</v>
      </c>
      <c r="B41" s="38" t="s">
        <v>243</v>
      </c>
      <c r="C41" s="38"/>
      <c r="D41" s="1538">
        <v>1.4535409927150401E-2</v>
      </c>
      <c r="E41" s="1617">
        <v>425110.53</v>
      </c>
      <c r="J41" s="38"/>
    </row>
    <row r="42" spans="1:10">
      <c r="A42" s="1518">
        <f t="shared" si="2"/>
        <v>6.0499999999999989</v>
      </c>
      <c r="B42" s="38" t="s">
        <v>244</v>
      </c>
      <c r="C42" s="38"/>
      <c r="D42" s="1538">
        <v>1.67652580341539E-2</v>
      </c>
      <c r="E42" s="1617">
        <v>8760221.8201846406</v>
      </c>
      <c r="J42" s="38"/>
    </row>
    <row r="43" spans="1:10">
      <c r="A43" s="1518">
        <f t="shared" si="2"/>
        <v>6.0599999999999987</v>
      </c>
      <c r="B43" s="38" t="s">
        <v>245</v>
      </c>
      <c r="C43" s="38"/>
      <c r="D43" s="1538">
        <v>2.6056154172045001E-2</v>
      </c>
      <c r="E43" s="1617">
        <v>709662.32345600403</v>
      </c>
      <c r="J43" s="38"/>
    </row>
    <row r="44" spans="1:10">
      <c r="A44" s="1518">
        <f t="shared" si="2"/>
        <v>6.0699999999999985</v>
      </c>
      <c r="B44" s="38" t="s">
        <v>246</v>
      </c>
      <c r="C44" s="38"/>
      <c r="D44" s="1538">
        <v>2.47235904499533E-2</v>
      </c>
      <c r="E44" s="1617">
        <v>6611005.0532658296</v>
      </c>
      <c r="J44" s="38"/>
    </row>
    <row r="45" spans="1:10">
      <c r="A45" s="1518">
        <f t="shared" si="2"/>
        <v>6.0799999999999983</v>
      </c>
      <c r="B45" s="38" t="s">
        <v>247</v>
      </c>
      <c r="C45" s="38"/>
      <c r="D45" s="1538">
        <v>2.0029249313738E-2</v>
      </c>
      <c r="E45" s="1617">
        <v>3991691.9031170998</v>
      </c>
      <c r="J45" s="38"/>
    </row>
    <row r="46" spans="1:10">
      <c r="A46" s="1518">
        <f t="shared" si="2"/>
        <v>6.0899999999999981</v>
      </c>
      <c r="B46" s="38" t="s">
        <v>248</v>
      </c>
      <c r="C46" s="38"/>
      <c r="D46" s="1538">
        <v>2.0029249313738E-2</v>
      </c>
      <c r="E46" s="1617">
        <v>37161.94</v>
      </c>
      <c r="J46" s="38"/>
    </row>
    <row r="47" spans="1:10">
      <c r="A47" s="834">
        <f t="shared" si="2"/>
        <v>6.0999999999999979</v>
      </c>
      <c r="B47" s="38" t="s">
        <v>249</v>
      </c>
      <c r="C47" s="38"/>
      <c r="D47" s="1538">
        <v>2.0029249313738E-2</v>
      </c>
      <c r="E47" s="1617">
        <v>367507.83</v>
      </c>
      <c r="J47" s="38"/>
    </row>
    <row r="48" spans="1:10">
      <c r="A48" s="1518">
        <f t="shared" si="2"/>
        <v>6.1099999999999977</v>
      </c>
      <c r="B48" s="38" t="s">
        <v>250</v>
      </c>
      <c r="C48" s="38"/>
      <c r="D48" s="1538"/>
      <c r="E48" s="1617">
        <v>0</v>
      </c>
      <c r="J48" s="38"/>
    </row>
    <row r="49" spans="1:10">
      <c r="A49" s="1518">
        <f t="shared" si="2"/>
        <v>6.1199999999999974</v>
      </c>
      <c r="B49" s="38" t="s">
        <v>251</v>
      </c>
      <c r="C49" s="38"/>
      <c r="D49" s="1536">
        <v>2.0706819057530801E-2</v>
      </c>
      <c r="E49" s="1617">
        <v>6661.68</v>
      </c>
      <c r="J49" s="38"/>
    </row>
    <row r="50" spans="1:10">
      <c r="A50" s="1518">
        <f t="shared" si="2"/>
        <v>6.1299999999999972</v>
      </c>
      <c r="B50" s="38" t="s">
        <v>252</v>
      </c>
      <c r="C50" s="38"/>
      <c r="D50" s="1536">
        <v>1.1671743231739201E-2</v>
      </c>
      <c r="E50" s="1620">
        <v>2366.88</v>
      </c>
      <c r="J50" s="38"/>
    </row>
    <row r="51" spans="1:10" ht="13.2" customHeight="1">
      <c r="A51" s="834">
        <f t="shared" si="2"/>
        <v>6.139999999999997</v>
      </c>
      <c r="B51" s="539" t="str">
        <f>+"Total "&amp;B37</f>
        <v>Total Transmission</v>
      </c>
      <c r="C51" s="539"/>
      <c r="D51" s="1536"/>
      <c r="E51" s="1541">
        <f>SUM(E38:E50)</f>
        <v>21427519.640023574</v>
      </c>
      <c r="G51" s="39"/>
      <c r="H51" s="39"/>
      <c r="I51" s="39"/>
    </row>
    <row r="52" spans="1:10" ht="13.2" customHeight="1">
      <c r="A52" s="1516"/>
      <c r="B52" s="38"/>
      <c r="C52" s="38"/>
      <c r="D52" s="38"/>
      <c r="E52" s="757"/>
      <c r="G52" s="39"/>
      <c r="H52" s="39"/>
      <c r="I52" s="39"/>
    </row>
    <row r="53" spans="1:10">
      <c r="A53" s="38" t="s">
        <v>295</v>
      </c>
      <c r="B53" s="38"/>
      <c r="C53" s="38"/>
      <c r="D53" s="38"/>
      <c r="G53" s="39"/>
      <c r="H53" s="39"/>
      <c r="I53" s="39"/>
    </row>
    <row r="54" spans="1:10" ht="109.8" customHeight="1">
      <c r="A54" s="835" t="s">
        <v>170</v>
      </c>
      <c r="B54" s="1697" t="s">
        <v>1457</v>
      </c>
      <c r="C54" s="1697"/>
      <c r="D54" s="1697"/>
      <c r="E54" s="1697"/>
      <c r="F54" s="1697"/>
      <c r="J54" s="38"/>
    </row>
    <row r="55" spans="1:10" ht="25.8" customHeight="1">
      <c r="A55" s="835" t="s">
        <v>316</v>
      </c>
      <c r="B55" s="1771" t="s">
        <v>1390</v>
      </c>
      <c r="C55" s="1771"/>
      <c r="D55" s="1771"/>
      <c r="E55" s="1771"/>
      <c r="F55" s="1771"/>
      <c r="J55" s="38"/>
    </row>
    <row r="56" spans="1:10" ht="27" customHeight="1">
      <c r="A56" s="835" t="s">
        <v>317</v>
      </c>
      <c r="B56" s="1772" t="s">
        <v>1391</v>
      </c>
      <c r="C56" s="1772"/>
      <c r="D56" s="1772"/>
      <c r="E56" s="1772"/>
      <c r="F56" s="1772"/>
      <c r="J56" s="38"/>
    </row>
  </sheetData>
  <mergeCells count="7">
    <mergeCell ref="B55:F55"/>
    <mergeCell ref="B56:F56"/>
    <mergeCell ref="D6:E6"/>
    <mergeCell ref="B54:F54"/>
    <mergeCell ref="A1:F1"/>
    <mergeCell ref="A2:F2"/>
    <mergeCell ref="A3:F3"/>
  </mergeCells>
  <printOptions horizontalCentered="1"/>
  <pageMargins left="0.7" right="0.7" top="0.5" bottom="0.5" header="0.3" footer="0.5"/>
  <pageSetup scale="85" orientation="portrait" r:id="rId1"/>
  <headerFooter>
    <oddFooter>&amp;R&amp;A</oddFooter>
  </headerFooter>
  <ignoredErrors>
    <ignoredError sqref="A54:A56" numberStoredAsText="1"/>
    <ignoredError sqref="E35" formulaRange="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workbookViewId="0">
      <selection activeCell="A9" sqref="A9"/>
    </sheetView>
  </sheetViews>
  <sheetFormatPr defaultColWidth="8.88671875" defaultRowHeight="13.2"/>
  <cols>
    <col min="1" max="1" width="7.6640625" style="39" customWidth="1"/>
    <col min="2" max="2" width="47.44140625" style="39" customWidth="1"/>
    <col min="3" max="4" width="12.77734375" style="39" customWidth="1"/>
    <col min="5" max="6" width="8.88671875" style="38"/>
    <col min="7" max="16384" width="8.88671875" style="39"/>
  </cols>
  <sheetData>
    <row r="1" spans="1:14">
      <c r="A1" s="1774" t="s">
        <v>933</v>
      </c>
      <c r="B1" s="1774"/>
      <c r="C1" s="1774"/>
      <c r="D1" s="1774"/>
    </row>
    <row r="2" spans="1:14" ht="26.4" customHeight="1">
      <c r="A2" s="1777" t="s">
        <v>1625</v>
      </c>
      <c r="B2" s="1775"/>
      <c r="C2" s="1775"/>
      <c r="D2" s="1775"/>
      <c r="E2" s="39"/>
      <c r="F2" s="39"/>
    </row>
    <row r="3" spans="1:14">
      <c r="A3" s="1776" t="s">
        <v>1383</v>
      </c>
      <c r="B3" s="1776"/>
      <c r="C3" s="1776"/>
      <c r="D3" s="1776"/>
      <c r="E3" s="765"/>
      <c r="F3" s="765"/>
    </row>
    <row r="4" spans="1:14">
      <c r="A4" s="38"/>
      <c r="B4" s="527"/>
      <c r="C4" s="527"/>
      <c r="D4" s="38"/>
    </row>
    <row r="5" spans="1:14">
      <c r="A5" s="1642" t="s">
        <v>277</v>
      </c>
      <c r="B5" s="1615" t="s">
        <v>67</v>
      </c>
      <c r="C5" s="1615" t="s">
        <v>114</v>
      </c>
      <c r="D5" s="1615" t="s">
        <v>55</v>
      </c>
    </row>
    <row r="6" spans="1:14">
      <c r="A6" s="1642"/>
      <c r="C6" s="1778" t="s">
        <v>1645</v>
      </c>
      <c r="D6" s="1778"/>
    </row>
    <row r="7" spans="1:14">
      <c r="A7" s="1647">
        <v>1</v>
      </c>
      <c r="B7" s="1658" t="s">
        <v>253</v>
      </c>
      <c r="C7" s="1621" t="s">
        <v>1455</v>
      </c>
      <c r="D7" s="1621" t="s">
        <v>1386</v>
      </c>
    </row>
    <row r="8" spans="1:14" ht="15">
      <c r="A8" s="1647">
        <f>+A7+1</f>
        <v>2</v>
      </c>
      <c r="B8" s="1616" t="s">
        <v>1626</v>
      </c>
      <c r="C8" s="1643"/>
    </row>
    <row r="9" spans="1:14">
      <c r="A9" s="1647">
        <f>+A8+0.01</f>
        <v>2.0099999999999998</v>
      </c>
      <c r="B9" t="s">
        <v>1627</v>
      </c>
      <c r="C9" s="1659">
        <v>0</v>
      </c>
      <c r="D9" s="1500">
        <v>0</v>
      </c>
      <c r="G9" s="38"/>
      <c r="H9" s="38"/>
      <c r="I9" s="38"/>
      <c r="J9" s="38"/>
      <c r="K9" s="38"/>
      <c r="L9" s="38"/>
      <c r="M9" s="38"/>
      <c r="N9" s="38"/>
    </row>
    <row r="10" spans="1:14">
      <c r="A10" s="1647">
        <f t="shared" ref="A10:A26" si="0">+A9+0.01</f>
        <v>2.0199999999999996</v>
      </c>
      <c r="B10" t="s">
        <v>1628</v>
      </c>
      <c r="C10" s="1659">
        <v>2.0490000000000001E-2</v>
      </c>
      <c r="D10" s="1500">
        <v>261102.35000000003</v>
      </c>
      <c r="G10" s="38"/>
    </row>
    <row r="11" spans="1:14">
      <c r="A11" s="1647">
        <f t="shared" si="0"/>
        <v>2.0299999999999994</v>
      </c>
      <c r="B11" t="s">
        <v>1629</v>
      </c>
      <c r="C11" s="1659">
        <v>1.5559999999999999E-2</v>
      </c>
      <c r="D11" s="1500">
        <v>226250.76</v>
      </c>
      <c r="G11" s="38"/>
    </row>
    <row r="12" spans="1:14">
      <c r="A12" s="1647">
        <f t="shared" si="0"/>
        <v>2.0399999999999991</v>
      </c>
      <c r="B12" t="s">
        <v>1630</v>
      </c>
      <c r="C12" s="1659">
        <v>2.1920000000000002E-2</v>
      </c>
      <c r="D12" s="1500">
        <v>4512379.37</v>
      </c>
      <c r="G12" s="38"/>
    </row>
    <row r="13" spans="1:14">
      <c r="A13" s="1647">
        <f t="shared" si="0"/>
        <v>2.0499999999999989</v>
      </c>
      <c r="B13" t="s">
        <v>1631</v>
      </c>
      <c r="C13" s="1659">
        <v>3.168E-2</v>
      </c>
      <c r="D13" s="1500">
        <v>8750458.2999999989</v>
      </c>
      <c r="G13" s="38"/>
    </row>
    <row r="14" spans="1:14">
      <c r="A14" s="1647">
        <f t="shared" si="0"/>
        <v>2.0599999999999987</v>
      </c>
      <c r="B14" t="s">
        <v>1632</v>
      </c>
      <c r="C14" s="1659">
        <v>1.7399999999999999E-2</v>
      </c>
      <c r="D14" s="1500">
        <v>4180021.2900000005</v>
      </c>
      <c r="G14" s="38"/>
    </row>
    <row r="15" spans="1:14">
      <c r="A15" s="1647">
        <f t="shared" si="0"/>
        <v>2.0699999999999985</v>
      </c>
      <c r="B15" t="s">
        <v>1633</v>
      </c>
      <c r="C15" s="1659">
        <v>1.7399999999999999E-2</v>
      </c>
      <c r="D15" s="1500">
        <v>1004804.28</v>
      </c>
      <c r="G15" s="38"/>
    </row>
    <row r="16" spans="1:14">
      <c r="A16" s="1647">
        <f t="shared" si="0"/>
        <v>2.0799999999999983</v>
      </c>
      <c r="B16" t="s">
        <v>1634</v>
      </c>
      <c r="C16" s="1659">
        <v>1.537E-2</v>
      </c>
      <c r="D16" s="1500">
        <v>723776.50999999978</v>
      </c>
      <c r="G16" s="38"/>
    </row>
    <row r="17" spans="1:7">
      <c r="A17" s="1647">
        <f t="shared" si="0"/>
        <v>2.0899999999999981</v>
      </c>
      <c r="B17" t="s">
        <v>1635</v>
      </c>
      <c r="C17" s="1659">
        <v>2.5589999999999998E-2</v>
      </c>
      <c r="D17" s="1500">
        <v>3470853.4699999997</v>
      </c>
      <c r="G17" s="38"/>
    </row>
    <row r="18" spans="1:7">
      <c r="A18" s="834">
        <f t="shared" si="0"/>
        <v>2.0999999999999979</v>
      </c>
      <c r="B18" t="s">
        <v>1636</v>
      </c>
      <c r="C18" s="1659">
        <v>3.0429999999999999E-2</v>
      </c>
      <c r="D18" s="1500">
        <v>13889788.119999997</v>
      </c>
      <c r="G18" s="38"/>
    </row>
    <row r="19" spans="1:7">
      <c r="A19" s="1647">
        <f t="shared" si="0"/>
        <v>2.1099999999999977</v>
      </c>
      <c r="B19" t="s">
        <v>1637</v>
      </c>
      <c r="C19" s="1659">
        <v>2.9650000000000003E-2</v>
      </c>
      <c r="D19" s="1500">
        <v>2809721.5600000005</v>
      </c>
      <c r="G19" s="38"/>
    </row>
    <row r="20" spans="1:7">
      <c r="A20" s="1647">
        <f t="shared" si="0"/>
        <v>2.1199999999999974</v>
      </c>
      <c r="B20" t="s">
        <v>1638</v>
      </c>
      <c r="C20" s="1659">
        <v>2.9650000000000003E-2</v>
      </c>
      <c r="D20" s="1500">
        <v>2110016.06</v>
      </c>
      <c r="G20" s="38"/>
    </row>
    <row r="21" spans="1:7">
      <c r="A21" s="1647">
        <f t="shared" si="0"/>
        <v>2.1299999999999972</v>
      </c>
      <c r="B21" t="s">
        <v>1639</v>
      </c>
      <c r="C21" s="1659">
        <v>3.124E-2</v>
      </c>
      <c r="D21" s="1500">
        <v>1521713.3199999998</v>
      </c>
      <c r="G21" s="38"/>
    </row>
    <row r="22" spans="1:7">
      <c r="A22" s="1647">
        <f t="shared" si="0"/>
        <v>2.139999999999997</v>
      </c>
      <c r="B22" t="s">
        <v>1640</v>
      </c>
      <c r="C22" s="1659">
        <v>3.124E-2</v>
      </c>
      <c r="D22" s="1500">
        <v>15381.48</v>
      </c>
      <c r="G22" s="38"/>
    </row>
    <row r="23" spans="1:7">
      <c r="A23" s="1647">
        <f t="shared" si="0"/>
        <v>2.1499999999999968</v>
      </c>
      <c r="B23" t="s">
        <v>1641</v>
      </c>
      <c r="C23" s="1659">
        <v>2.5680000000000001E-2</v>
      </c>
      <c r="D23" s="1500">
        <v>838356.22999999986</v>
      </c>
      <c r="G23" s="38"/>
    </row>
    <row r="24" spans="1:7">
      <c r="A24" s="1647">
        <f t="shared" si="0"/>
        <v>2.1599999999999966</v>
      </c>
      <c r="B24" t="s">
        <v>1642</v>
      </c>
      <c r="C24" s="1659">
        <v>1.001E-2</v>
      </c>
      <c r="D24" s="1500">
        <v>200343.51</v>
      </c>
      <c r="G24" s="38"/>
    </row>
    <row r="25" spans="1:7">
      <c r="A25" s="1647">
        <f t="shared" si="0"/>
        <v>2.1699999999999964</v>
      </c>
      <c r="B25" t="s">
        <v>1643</v>
      </c>
      <c r="C25" s="1659">
        <v>1.001E-2</v>
      </c>
      <c r="D25" s="1513">
        <v>-3.0400000000000063</v>
      </c>
      <c r="F25" s="38" t="s">
        <v>1644</v>
      </c>
      <c r="G25" s="38"/>
    </row>
    <row r="26" spans="1:7">
      <c r="A26" s="1647">
        <f t="shared" si="0"/>
        <v>2.1799999999999962</v>
      </c>
      <c r="B26" s="1656" t="str">
        <f>+"Total "&amp;B8</f>
        <v>Total Distribution Plant</v>
      </c>
      <c r="C26" s="1660"/>
      <c r="D26" s="757">
        <f>SUM(D9:D25)</f>
        <v>44514963.569999993</v>
      </c>
      <c r="F26" s="810">
        <f>D26-'WP04 Support'!D11</f>
        <v>-7.4505805969238281E-8</v>
      </c>
      <c r="G26" s="38"/>
    </row>
    <row r="27" spans="1:7">
      <c r="A27" s="1647">
        <f>+A8+1</f>
        <v>3</v>
      </c>
      <c r="C27" s="467"/>
      <c r="D27" s="757"/>
      <c r="E27" s="39"/>
      <c r="F27" s="39"/>
    </row>
  </sheetData>
  <mergeCells count="4">
    <mergeCell ref="A1:D1"/>
    <mergeCell ref="A2:D2"/>
    <mergeCell ref="A3:D3"/>
    <mergeCell ref="C6:D6"/>
  </mergeCells>
  <printOptions horizontalCentered="1"/>
  <pageMargins left="0.7" right="0.7" top="0.5" bottom="0.5" header="0.3" footer="0.5"/>
  <pageSetup orientation="portrait" r:id="rId1"/>
  <headerFooter>
    <oddFooter>&amp;R&amp;A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U58"/>
  <sheetViews>
    <sheetView zoomScale="88" zoomScaleNormal="88" workbookViewId="0">
      <selection activeCell="A9" sqref="A9"/>
    </sheetView>
  </sheetViews>
  <sheetFormatPr defaultColWidth="9.109375" defaultRowHeight="13.2"/>
  <cols>
    <col min="1" max="1" width="7" style="768" bestFit="1" customWidth="1"/>
    <col min="2" max="2" width="28.5546875" style="489" customWidth="1"/>
    <col min="3" max="9" width="11.33203125" style="489" bestFit="1" customWidth="1"/>
    <col min="10" max="14" width="11.88671875" style="489" bestFit="1" customWidth="1"/>
    <col min="15" max="15" width="11.33203125" style="489" bestFit="1" customWidth="1"/>
    <col min="16" max="16" width="18.6640625" style="766" customWidth="1"/>
    <col min="17" max="17" width="9.33203125" style="489" bestFit="1" customWidth="1"/>
    <col min="18" max="18" width="13" style="489" bestFit="1" customWidth="1"/>
    <col min="19" max="16384" width="9.109375" style="489"/>
  </cols>
  <sheetData>
    <row r="1" spans="1:18">
      <c r="A1" s="1780" t="str">
        <f>+'MISO Cover'!C6</f>
        <v>Entergy Texas, Inc.</v>
      </c>
      <c r="B1" s="1780"/>
      <c r="C1" s="1780"/>
      <c r="D1" s="1780"/>
      <c r="E1" s="1780"/>
      <c r="F1" s="1780"/>
      <c r="G1" s="1780"/>
      <c r="H1" s="1780"/>
      <c r="I1" s="1780"/>
      <c r="J1" s="1780"/>
      <c r="K1" s="1780"/>
      <c r="L1" s="1780"/>
      <c r="M1" s="1780"/>
      <c r="N1" s="1780"/>
      <c r="O1" s="1780"/>
      <c r="P1" s="1552"/>
    </row>
    <row r="2" spans="1:18">
      <c r="A2" s="1715" t="s">
        <v>867</v>
      </c>
      <c r="B2" s="1715"/>
      <c r="C2" s="1715"/>
      <c r="D2" s="1715"/>
      <c r="E2" s="1715"/>
      <c r="F2" s="1715"/>
      <c r="G2" s="1715"/>
      <c r="H2" s="1715"/>
      <c r="I2" s="1715"/>
      <c r="J2" s="1715"/>
      <c r="K2" s="1715"/>
      <c r="L2" s="1715"/>
      <c r="M2" s="1715"/>
      <c r="N2" s="1715"/>
      <c r="O2" s="1715"/>
      <c r="P2" s="1562"/>
    </row>
    <row r="3" spans="1:18">
      <c r="A3" s="1716" t="str">
        <f>+'MISO Cover'!K4</f>
        <v>For  the 12 Months Ended 12/31/2016</v>
      </c>
      <c r="B3" s="1716"/>
      <c r="C3" s="1716"/>
      <c r="D3" s="1716"/>
      <c r="E3" s="1716"/>
      <c r="F3" s="1716"/>
      <c r="G3" s="1716"/>
      <c r="H3" s="1716"/>
      <c r="I3" s="1716"/>
      <c r="J3" s="1716"/>
      <c r="K3" s="1716"/>
      <c r="L3" s="1716"/>
      <c r="M3" s="1716"/>
      <c r="N3" s="1716"/>
      <c r="O3" s="1716"/>
      <c r="P3" s="888"/>
      <c r="Q3" s="163"/>
      <c r="R3" s="163"/>
    </row>
    <row r="4" spans="1:18">
      <c r="B4" s="718"/>
      <c r="C4" s="718"/>
      <c r="D4" s="718"/>
      <c r="E4" s="718"/>
      <c r="F4" s="718"/>
      <c r="G4" s="718"/>
      <c r="H4" s="718"/>
      <c r="I4" s="718"/>
      <c r="J4" s="718"/>
      <c r="K4" s="718"/>
      <c r="L4" s="718"/>
      <c r="M4" s="718"/>
      <c r="N4" s="718"/>
      <c r="O4" s="718"/>
      <c r="P4" s="767"/>
      <c r="Q4" s="163"/>
      <c r="R4" s="163"/>
    </row>
    <row r="5" spans="1:18">
      <c r="A5" s="768" t="s">
        <v>277</v>
      </c>
      <c r="B5" s="1117" t="s">
        <v>67</v>
      </c>
      <c r="C5" s="1117" t="s">
        <v>114</v>
      </c>
      <c r="D5" s="1117" t="s">
        <v>55</v>
      </c>
      <c r="E5" s="1117" t="s">
        <v>68</v>
      </c>
      <c r="F5" s="1117" t="s">
        <v>66</v>
      </c>
      <c r="G5" s="1117" t="s">
        <v>156</v>
      </c>
      <c r="H5" s="1117" t="s">
        <v>69</v>
      </c>
      <c r="I5" s="1117" t="s">
        <v>169</v>
      </c>
      <c r="J5" s="1117" t="s">
        <v>440</v>
      </c>
      <c r="K5" s="1117" t="s">
        <v>441</v>
      </c>
      <c r="L5" s="1117" t="s">
        <v>442</v>
      </c>
      <c r="M5" s="1117" t="s">
        <v>443</v>
      </c>
      <c r="N5" s="1117" t="s">
        <v>444</v>
      </c>
      <c r="O5" s="1117" t="s">
        <v>445</v>
      </c>
      <c r="P5" s="163"/>
      <c r="Q5" s="163"/>
    </row>
    <row r="6" spans="1:18">
      <c r="A6" s="917"/>
      <c r="P6" s="163"/>
      <c r="Q6" s="163"/>
    </row>
    <row r="7" spans="1:18" ht="13.2" customHeight="1">
      <c r="A7" s="917">
        <v>1</v>
      </c>
      <c r="B7" s="39" t="s">
        <v>25</v>
      </c>
      <c r="C7" s="1257" t="s">
        <v>1569</v>
      </c>
      <c r="D7" s="39"/>
      <c r="E7" s="39"/>
      <c r="F7" s="39"/>
      <c r="G7" s="39"/>
      <c r="H7" s="39"/>
      <c r="I7" s="39"/>
      <c r="J7" s="39"/>
      <c r="K7" s="39"/>
      <c r="L7" s="39"/>
      <c r="M7" s="39"/>
      <c r="N7" s="39"/>
      <c r="O7" s="39"/>
      <c r="P7" s="489"/>
    </row>
    <row r="8" spans="1:18" ht="13.2" customHeight="1">
      <c r="A8" s="917">
        <f>+A7+1</f>
        <v>2</v>
      </c>
      <c r="B8" s="39" t="s">
        <v>432</v>
      </c>
      <c r="C8" s="1118" t="s">
        <v>934</v>
      </c>
      <c r="D8" s="38"/>
      <c r="E8" s="38"/>
      <c r="F8" s="38"/>
      <c r="G8" s="38"/>
      <c r="H8" s="38"/>
      <c r="I8" s="38"/>
      <c r="J8" s="38"/>
      <c r="K8" s="38"/>
      <c r="L8" s="38"/>
      <c r="M8" s="38"/>
      <c r="N8" s="38"/>
      <c r="O8" s="38"/>
      <c r="P8" s="489"/>
    </row>
    <row r="9" spans="1:18">
      <c r="A9" s="917">
        <f t="shared" ref="A9:A46" si="0">+A8+1</f>
        <v>3</v>
      </c>
      <c r="B9" s="39"/>
      <c r="C9" s="1779"/>
      <c r="D9" s="1779"/>
      <c r="E9" s="1779"/>
      <c r="F9" s="1779"/>
      <c r="G9" s="1779"/>
      <c r="H9" s="1779"/>
      <c r="I9" s="1779"/>
      <c r="J9" s="1779"/>
      <c r="K9" s="1779"/>
      <c r="L9" s="1779"/>
      <c r="M9" s="1779"/>
      <c r="N9" s="1779"/>
      <c r="O9" s="39"/>
      <c r="P9" s="489"/>
    </row>
    <row r="10" spans="1:18">
      <c r="A10" s="917">
        <f t="shared" si="0"/>
        <v>4</v>
      </c>
      <c r="B10" s="72"/>
      <c r="C10" s="1121" t="s">
        <v>27</v>
      </c>
      <c r="D10" s="1121" t="s">
        <v>28</v>
      </c>
      <c r="E10" s="1121" t="s">
        <v>29</v>
      </c>
      <c r="F10" s="1121" t="s">
        <v>30</v>
      </c>
      <c r="G10" s="1121" t="s">
        <v>26</v>
      </c>
      <c r="H10" s="1121" t="s">
        <v>31</v>
      </c>
      <c r="I10" s="1121" t="s">
        <v>32</v>
      </c>
      <c r="J10" s="1121" t="s">
        <v>33</v>
      </c>
      <c r="K10" s="1121" t="s">
        <v>34</v>
      </c>
      <c r="L10" s="1121" t="s">
        <v>35</v>
      </c>
      <c r="M10" s="1121" t="s">
        <v>36</v>
      </c>
      <c r="N10" s="1121" t="s">
        <v>37</v>
      </c>
      <c r="O10" s="1121" t="s">
        <v>433</v>
      </c>
      <c r="P10" s="489"/>
    </row>
    <row r="11" spans="1:18">
      <c r="A11" s="917">
        <f t="shared" si="0"/>
        <v>5</v>
      </c>
      <c r="B11" s="72" t="s">
        <v>434</v>
      </c>
      <c r="C11" s="1239">
        <v>28</v>
      </c>
      <c r="D11" s="1239">
        <v>5</v>
      </c>
      <c r="E11" s="1239">
        <v>14</v>
      </c>
      <c r="F11" s="1239">
        <v>28</v>
      </c>
      <c r="G11" s="1239">
        <v>11</v>
      </c>
      <c r="H11" s="1239">
        <v>27</v>
      </c>
      <c r="I11" s="1239">
        <v>14</v>
      </c>
      <c r="J11" s="1239">
        <v>11</v>
      </c>
      <c r="K11" s="1239">
        <v>7</v>
      </c>
      <c r="L11" s="1239">
        <v>18</v>
      </c>
      <c r="M11" s="1239">
        <v>2</v>
      </c>
      <c r="N11" s="1239">
        <v>19</v>
      </c>
      <c r="O11" s="528"/>
      <c r="P11" s="489"/>
    </row>
    <row r="12" spans="1:18">
      <c r="A12" s="917">
        <f t="shared" si="0"/>
        <v>6</v>
      </c>
      <c r="B12" s="72" t="s">
        <v>435</v>
      </c>
      <c r="C12" s="1239">
        <v>900</v>
      </c>
      <c r="D12" s="1239">
        <v>900</v>
      </c>
      <c r="E12" s="1239">
        <v>1700</v>
      </c>
      <c r="F12" s="1239">
        <v>1700</v>
      </c>
      <c r="G12" s="1239">
        <v>1800</v>
      </c>
      <c r="H12" s="1239">
        <v>1600</v>
      </c>
      <c r="I12" s="1239">
        <v>1700</v>
      </c>
      <c r="J12" s="1239">
        <v>1600</v>
      </c>
      <c r="K12" s="1239">
        <v>1700</v>
      </c>
      <c r="L12" s="1239">
        <v>1600</v>
      </c>
      <c r="M12" s="1239">
        <v>1600</v>
      </c>
      <c r="N12" s="1239">
        <v>1000</v>
      </c>
      <c r="O12" s="528"/>
      <c r="P12" s="489"/>
    </row>
    <row r="13" spans="1:18">
      <c r="A13" s="917">
        <f t="shared" si="0"/>
        <v>7</v>
      </c>
      <c r="B13" s="72"/>
      <c r="C13" s="528"/>
      <c r="D13" s="528"/>
      <c r="E13" s="528"/>
      <c r="F13" s="528"/>
      <c r="G13" s="528"/>
      <c r="H13" s="528"/>
      <c r="I13" s="528"/>
      <c r="J13" s="528"/>
      <c r="K13" s="528"/>
      <c r="L13" s="528"/>
      <c r="M13" s="528"/>
      <c r="N13" s="528"/>
      <c r="O13" s="528"/>
      <c r="P13" s="489"/>
    </row>
    <row r="14" spans="1:18">
      <c r="A14" s="917">
        <f t="shared" si="0"/>
        <v>8</v>
      </c>
      <c r="B14" s="1122" t="s">
        <v>436</v>
      </c>
      <c r="C14" s="528"/>
      <c r="D14" s="528"/>
      <c r="E14" s="528"/>
      <c r="F14" s="528"/>
      <c r="G14" s="528"/>
      <c r="H14" s="528"/>
      <c r="I14" s="528"/>
      <c r="J14" s="528"/>
      <c r="K14" s="528"/>
      <c r="L14" s="528"/>
      <c r="M14" s="528"/>
      <c r="N14" s="528"/>
      <c r="O14" s="528"/>
      <c r="P14" s="489"/>
    </row>
    <row r="15" spans="1:18">
      <c r="A15" s="975">
        <f t="shared" ref="A15:A21" si="1">+A14+0.01</f>
        <v>8.01</v>
      </c>
      <c r="B15" s="528" t="s">
        <v>1091</v>
      </c>
      <c r="C15" s="1239">
        <v>82.620999999999995</v>
      </c>
      <c r="D15" s="1239">
        <v>78.938999999999993</v>
      </c>
      <c r="E15" s="1239">
        <v>51.793999999999997</v>
      </c>
      <c r="F15" s="1239">
        <v>70.097999999999999</v>
      </c>
      <c r="G15" s="1239">
        <v>68.111999999999995</v>
      </c>
      <c r="H15" s="1239">
        <v>94.983000000000004</v>
      </c>
      <c r="I15" s="1239">
        <v>104.449</v>
      </c>
      <c r="J15" s="1239">
        <v>104.762</v>
      </c>
      <c r="K15" s="1239">
        <v>92.816999999999993</v>
      </c>
      <c r="L15" s="1239">
        <v>82.706999999999994</v>
      </c>
      <c r="M15" s="1239">
        <v>67.438000000000002</v>
      </c>
      <c r="N15" s="1239">
        <v>94.603999999999999</v>
      </c>
      <c r="O15" s="921">
        <f>+SUM(C15:N15)/12</f>
        <v>82.777000000000001</v>
      </c>
      <c r="P15" s="489"/>
    </row>
    <row r="16" spans="1:18">
      <c r="A16" s="975">
        <f t="shared" si="1"/>
        <v>8.02</v>
      </c>
      <c r="B16" s="528" t="s">
        <v>1376</v>
      </c>
      <c r="C16" s="1239">
        <v>8.8239999999999998</v>
      </c>
      <c r="D16" s="1239">
        <v>8.5660000000000007</v>
      </c>
      <c r="E16" s="1239">
        <v>7.2560000000000002</v>
      </c>
      <c r="F16" s="1239">
        <v>9.1489999999999991</v>
      </c>
      <c r="G16" s="1239">
        <v>9.2680000000000007</v>
      </c>
      <c r="H16" s="1239">
        <v>11.943</v>
      </c>
      <c r="I16" s="1239">
        <v>12.58</v>
      </c>
      <c r="J16" s="1239">
        <v>13.468999999999999</v>
      </c>
      <c r="K16" s="1239">
        <v>11.948</v>
      </c>
      <c r="L16" s="1239">
        <v>10.286</v>
      </c>
      <c r="M16" s="1239">
        <v>9.0109999999999992</v>
      </c>
      <c r="N16" s="1239">
        <v>10.196</v>
      </c>
      <c r="O16" s="921">
        <f t="shared" ref="O16:O23" si="2">+SUM(C16:N16)/12</f>
        <v>10.207999999999998</v>
      </c>
      <c r="P16" s="489"/>
    </row>
    <row r="17" spans="1:21">
      <c r="A17" s="975">
        <f t="shared" si="1"/>
        <v>8.0299999999999994</v>
      </c>
      <c r="B17" s="528" t="s">
        <v>1092</v>
      </c>
      <c r="C17" s="1239">
        <v>470.15100000000001</v>
      </c>
      <c r="D17" s="1239">
        <v>463.27199999999999</v>
      </c>
      <c r="E17" s="1239">
        <v>296.21899999999999</v>
      </c>
      <c r="F17" s="1239">
        <v>425.66199999999998</v>
      </c>
      <c r="G17" s="1239">
        <v>295.60599999999999</v>
      </c>
      <c r="H17" s="1239">
        <v>393.46800000000002</v>
      </c>
      <c r="I17" s="1239">
        <v>439.464</v>
      </c>
      <c r="J17" s="1239">
        <v>431.69299999999998</v>
      </c>
      <c r="K17" s="1239">
        <v>387.29</v>
      </c>
      <c r="L17" s="1239">
        <v>352.577</v>
      </c>
      <c r="M17" s="1239">
        <v>261.529</v>
      </c>
      <c r="N17" s="1239">
        <v>525.13199999999995</v>
      </c>
      <c r="O17" s="921">
        <f t="shared" si="2"/>
        <v>395.17191666666668</v>
      </c>
      <c r="P17" s="489"/>
    </row>
    <row r="18" spans="1:21">
      <c r="A18" s="975">
        <f t="shared" si="1"/>
        <v>8.0399999999999991</v>
      </c>
      <c r="B18" s="528" t="s">
        <v>1093</v>
      </c>
      <c r="C18" s="1239">
        <v>57.104999999999997</v>
      </c>
      <c r="D18" s="1239">
        <v>52.661999999999999</v>
      </c>
      <c r="E18" s="1239">
        <v>42.472999999999999</v>
      </c>
      <c r="F18" s="1239">
        <v>56.823999999999998</v>
      </c>
      <c r="G18" s="1239">
        <v>49.774999999999999</v>
      </c>
      <c r="H18" s="1239">
        <v>71.543999999999997</v>
      </c>
      <c r="I18" s="1239">
        <v>83.385999999999996</v>
      </c>
      <c r="J18" s="1239">
        <v>87.045000000000002</v>
      </c>
      <c r="K18" s="1239">
        <v>66.034999999999997</v>
      </c>
      <c r="L18" s="1239">
        <v>65.941000000000003</v>
      </c>
      <c r="M18" s="1239">
        <v>59.301000000000002</v>
      </c>
      <c r="N18" s="1239">
        <v>66.186000000000007</v>
      </c>
      <c r="O18" s="921">
        <f t="shared" si="2"/>
        <v>63.189750000000011</v>
      </c>
      <c r="P18" s="489"/>
    </row>
    <row r="19" spans="1:21">
      <c r="A19" s="975">
        <f t="shared" si="1"/>
        <v>8.0499999999999989</v>
      </c>
      <c r="B19" s="528" t="s">
        <v>1094</v>
      </c>
      <c r="C19" s="1239">
        <v>3.9849999999999999</v>
      </c>
      <c r="D19" s="1239">
        <v>4.0549999999999997</v>
      </c>
      <c r="E19" s="1239">
        <v>1.4810000000000001</v>
      </c>
      <c r="F19" s="1239">
        <v>3.9020000000000001</v>
      </c>
      <c r="G19" s="1239">
        <v>2.8090000000000002</v>
      </c>
      <c r="H19" s="1239">
        <v>0.89400000000000002</v>
      </c>
      <c r="I19" s="1239">
        <v>4.0830000000000002</v>
      </c>
      <c r="J19" s="1239">
        <v>4.0570000000000004</v>
      </c>
      <c r="K19" s="1239">
        <v>4.1289999999999996</v>
      </c>
      <c r="L19" s="1239">
        <v>3.9449999999999998</v>
      </c>
      <c r="M19" s="1239">
        <v>2.7149999999999999</v>
      </c>
      <c r="N19" s="1239">
        <v>3.786</v>
      </c>
      <c r="O19" s="921">
        <f t="shared" si="2"/>
        <v>3.3200833333333328</v>
      </c>
      <c r="P19" s="489"/>
    </row>
    <row r="20" spans="1:21">
      <c r="A20" s="975">
        <f t="shared" si="1"/>
        <v>8.0599999999999987</v>
      </c>
      <c r="B20" s="528" t="s">
        <v>1095</v>
      </c>
      <c r="C20" s="1239">
        <v>4.7140000000000004</v>
      </c>
      <c r="D20" s="1239">
        <v>4.5460000000000003</v>
      </c>
      <c r="E20" s="1239">
        <v>3.05</v>
      </c>
      <c r="F20" s="1239">
        <v>3.8290000000000002</v>
      </c>
      <c r="G20" s="1239">
        <v>3.32</v>
      </c>
      <c r="H20" s="1239">
        <v>4.0830000000000002</v>
      </c>
      <c r="I20" s="1239">
        <v>5.1040000000000001</v>
      </c>
      <c r="J20" s="1239">
        <v>5.1040000000000001</v>
      </c>
      <c r="K20" s="1239">
        <v>5.1040000000000001</v>
      </c>
      <c r="L20" s="1239">
        <v>4.0830000000000002</v>
      </c>
      <c r="M20" s="1239">
        <v>4.0830000000000002</v>
      </c>
      <c r="N20" s="1239">
        <v>5.1040000000000001</v>
      </c>
      <c r="O20" s="921">
        <f t="shared" si="2"/>
        <v>4.3436666666666666</v>
      </c>
      <c r="P20" s="489"/>
    </row>
    <row r="21" spans="1:21">
      <c r="A21" s="1245">
        <f t="shared" si="1"/>
        <v>8.0699999999999985</v>
      </c>
      <c r="B21" s="1239" t="s">
        <v>913</v>
      </c>
      <c r="C21" s="1240"/>
      <c r="D21" s="1241"/>
      <c r="E21" s="1241"/>
      <c r="F21" s="1241"/>
      <c r="G21" s="1241"/>
      <c r="H21" s="1241"/>
      <c r="I21" s="1241"/>
      <c r="J21" s="1241"/>
      <c r="K21" s="1240"/>
      <c r="L21" s="1241"/>
      <c r="M21" s="1241"/>
      <c r="N21" s="1241"/>
      <c r="O21" s="921">
        <f t="shared" si="2"/>
        <v>0</v>
      </c>
      <c r="P21" s="489"/>
    </row>
    <row r="22" spans="1:21" ht="13.5" customHeight="1">
      <c r="A22" s="1245" t="s">
        <v>904</v>
      </c>
      <c r="B22" s="1239" t="s">
        <v>913</v>
      </c>
      <c r="C22" s="1242"/>
      <c r="D22" s="1242"/>
      <c r="E22" s="1242"/>
      <c r="F22" s="1242"/>
      <c r="G22" s="1242"/>
      <c r="H22" s="1242"/>
      <c r="I22" s="1242"/>
      <c r="J22" s="1242"/>
      <c r="K22" s="1242"/>
      <c r="L22" s="1242"/>
      <c r="M22" s="1242"/>
      <c r="N22" s="1242"/>
      <c r="O22" s="921">
        <f t="shared" si="2"/>
        <v>0</v>
      </c>
      <c r="P22" s="489"/>
    </row>
    <row r="23" spans="1:21" ht="13.8" thickBot="1">
      <c r="A23" s="1245" t="s">
        <v>910</v>
      </c>
      <c r="B23" s="1246" t="s">
        <v>913</v>
      </c>
      <c r="C23" s="1243"/>
      <c r="D23" s="1244"/>
      <c r="E23" s="1244"/>
      <c r="F23" s="1244"/>
      <c r="G23" s="1244"/>
      <c r="H23" s="1244"/>
      <c r="I23" s="1244"/>
      <c r="J23" s="1244"/>
      <c r="K23" s="1243"/>
      <c r="L23" s="1244"/>
      <c r="M23" s="1244"/>
      <c r="N23" s="1244"/>
      <c r="O23" s="1281">
        <f t="shared" si="2"/>
        <v>0</v>
      </c>
      <c r="P23" s="489"/>
    </row>
    <row r="24" spans="1:21" ht="13.8" thickTop="1">
      <c r="A24" s="917">
        <f>+A14+1</f>
        <v>9</v>
      </c>
      <c r="B24" s="770" t="str">
        <f>+"Total "&amp;B14&amp;"  "&amp;A50</f>
        <v>Total Network Customers  (1)</v>
      </c>
      <c r="C24" s="1123">
        <f t="shared" ref="C24:O24" si="3">SUM(C15:C23)</f>
        <v>627.40000000000009</v>
      </c>
      <c r="D24" s="1123">
        <f t="shared" si="3"/>
        <v>612.04000000000008</v>
      </c>
      <c r="E24" s="1123">
        <f t="shared" si="3"/>
        <v>402.27300000000002</v>
      </c>
      <c r="F24" s="1123">
        <f t="shared" si="3"/>
        <v>569.46399999999994</v>
      </c>
      <c r="G24" s="1123">
        <f t="shared" si="3"/>
        <v>428.89</v>
      </c>
      <c r="H24" s="1123">
        <f t="shared" si="3"/>
        <v>576.91499999999996</v>
      </c>
      <c r="I24" s="1123">
        <f t="shared" si="3"/>
        <v>649.06599999999992</v>
      </c>
      <c r="J24" s="1123">
        <f t="shared" si="3"/>
        <v>646.13</v>
      </c>
      <c r="K24" s="1123">
        <f t="shared" si="3"/>
        <v>567.32300000000009</v>
      </c>
      <c r="L24" s="1123">
        <f t="shared" si="3"/>
        <v>519.53899999999999</v>
      </c>
      <c r="M24" s="1123">
        <f t="shared" si="3"/>
        <v>404.077</v>
      </c>
      <c r="N24" s="1123">
        <f t="shared" si="3"/>
        <v>705.00799999999992</v>
      </c>
      <c r="O24" s="1123">
        <f t="shared" si="3"/>
        <v>559.01041666666663</v>
      </c>
      <c r="P24" s="489"/>
    </row>
    <row r="25" spans="1:21">
      <c r="A25" s="917">
        <f t="shared" si="0"/>
        <v>10</v>
      </c>
      <c r="B25" s="769"/>
      <c r="C25" s="1123"/>
      <c r="D25" s="1123"/>
      <c r="E25" s="1123"/>
      <c r="F25" s="1123"/>
      <c r="G25" s="1123"/>
      <c r="H25" s="1123"/>
      <c r="I25" s="1123"/>
      <c r="J25" s="1123"/>
      <c r="K25" s="1123"/>
      <c r="L25" s="1123"/>
      <c r="M25" s="1123"/>
      <c r="N25" s="1123"/>
      <c r="O25" s="1123"/>
      <c r="P25" s="489"/>
    </row>
    <row r="26" spans="1:21">
      <c r="A26" s="917">
        <f t="shared" si="0"/>
        <v>11</v>
      </c>
      <c r="B26" s="1124" t="str">
        <f>+"Grandfathered Contracts "&amp;A51</f>
        <v>Grandfathered Contracts (2)</v>
      </c>
      <c r="C26" s="922"/>
      <c r="D26" s="921"/>
      <c r="E26" s="921"/>
      <c r="F26" s="921"/>
      <c r="G26" s="921"/>
      <c r="H26" s="921"/>
      <c r="I26" s="921"/>
      <c r="J26" s="921"/>
      <c r="K26" s="922"/>
      <c r="L26" s="921"/>
      <c r="M26" s="921"/>
      <c r="N26" s="921"/>
      <c r="O26" s="921"/>
      <c r="P26" s="163"/>
      <c r="R26" s="163"/>
      <c r="S26" s="163"/>
      <c r="T26" s="163"/>
      <c r="U26" s="163"/>
    </row>
    <row r="27" spans="1:21">
      <c r="A27" s="1245">
        <f>+A26+0.01</f>
        <v>11.01</v>
      </c>
      <c r="B27" s="1239" t="s">
        <v>913</v>
      </c>
      <c r="C27" s="1240"/>
      <c r="D27" s="1241"/>
      <c r="E27" s="1241"/>
      <c r="F27" s="1241"/>
      <c r="G27" s="1241"/>
      <c r="H27" s="1241"/>
      <c r="I27" s="1241"/>
      <c r="J27" s="1241"/>
      <c r="K27" s="1240"/>
      <c r="L27" s="1241"/>
      <c r="M27" s="1241"/>
      <c r="N27" s="1241"/>
      <c r="O27" s="921">
        <f>+SUM(C27:N27)/12</f>
        <v>0</v>
      </c>
      <c r="P27" s="163"/>
      <c r="R27" s="163"/>
      <c r="S27" s="163"/>
      <c r="T27" s="163"/>
      <c r="U27" s="163"/>
    </row>
    <row r="28" spans="1:21">
      <c r="A28" s="1245" t="s">
        <v>903</v>
      </c>
      <c r="B28" s="1239" t="s">
        <v>913</v>
      </c>
      <c r="C28" s="1240"/>
      <c r="D28" s="1241"/>
      <c r="E28" s="1241"/>
      <c r="F28" s="1241"/>
      <c r="G28" s="1241"/>
      <c r="H28" s="1241"/>
      <c r="I28" s="1241"/>
      <c r="J28" s="1241"/>
      <c r="K28" s="1240"/>
      <c r="L28" s="1241"/>
      <c r="M28" s="1241"/>
      <c r="N28" s="1241"/>
      <c r="O28" s="921">
        <f>+SUM(C28:N28)/12</f>
        <v>0</v>
      </c>
      <c r="P28" s="163"/>
      <c r="R28" s="163"/>
      <c r="S28" s="163"/>
      <c r="T28" s="163"/>
      <c r="U28" s="163"/>
    </row>
    <row r="29" spans="1:21" ht="13.8" thickBot="1">
      <c r="A29" s="1245" t="s">
        <v>911</v>
      </c>
      <c r="B29" s="1246" t="s">
        <v>913</v>
      </c>
      <c r="C29" s="1243"/>
      <c r="D29" s="1244"/>
      <c r="E29" s="1244"/>
      <c r="F29" s="1244"/>
      <c r="G29" s="1244"/>
      <c r="H29" s="1244"/>
      <c r="I29" s="1244"/>
      <c r="J29" s="1244"/>
      <c r="K29" s="1243"/>
      <c r="L29" s="1244"/>
      <c r="M29" s="1244"/>
      <c r="N29" s="1244"/>
      <c r="O29" s="1281">
        <f>+SUM(C29:N29)/12</f>
        <v>0</v>
      </c>
      <c r="P29" s="163"/>
      <c r="R29" s="163"/>
      <c r="S29" s="163"/>
      <c r="T29" s="163"/>
      <c r="U29" s="163"/>
    </row>
    <row r="30" spans="1:21" ht="13.8" thickTop="1">
      <c r="A30" s="917">
        <f>+A26+1</f>
        <v>12</v>
      </c>
      <c r="B30" s="770" t="str">
        <f>+"Total Grandfathered Contracts"&amp;"  "&amp;A52</f>
        <v>Total Grandfathered Contracts  (3)</v>
      </c>
      <c r="C30" s="1123">
        <f t="shared" ref="C30:O30" si="4">SUM(C27:C29)</f>
        <v>0</v>
      </c>
      <c r="D30" s="1123">
        <f t="shared" si="4"/>
        <v>0</v>
      </c>
      <c r="E30" s="1123">
        <f t="shared" si="4"/>
        <v>0</v>
      </c>
      <c r="F30" s="1123">
        <f t="shared" si="4"/>
        <v>0</v>
      </c>
      <c r="G30" s="1123">
        <f t="shared" si="4"/>
        <v>0</v>
      </c>
      <c r="H30" s="1123">
        <f t="shared" si="4"/>
        <v>0</v>
      </c>
      <c r="I30" s="1123">
        <f t="shared" si="4"/>
        <v>0</v>
      </c>
      <c r="J30" s="1123">
        <f t="shared" si="4"/>
        <v>0</v>
      </c>
      <c r="K30" s="1123">
        <f t="shared" si="4"/>
        <v>0</v>
      </c>
      <c r="L30" s="1123">
        <f t="shared" si="4"/>
        <v>0</v>
      </c>
      <c r="M30" s="1123">
        <f t="shared" si="4"/>
        <v>0</v>
      </c>
      <c r="N30" s="1123">
        <f t="shared" si="4"/>
        <v>0</v>
      </c>
      <c r="O30" s="1123">
        <f t="shared" si="4"/>
        <v>0</v>
      </c>
      <c r="P30" s="163"/>
      <c r="R30" s="163"/>
      <c r="S30" s="163"/>
      <c r="T30" s="163"/>
      <c r="U30" s="163"/>
    </row>
    <row r="31" spans="1:21">
      <c r="A31" s="917">
        <f t="shared" si="0"/>
        <v>13</v>
      </c>
      <c r="B31" s="769"/>
      <c r="C31" s="1123"/>
      <c r="D31" s="1123"/>
      <c r="E31" s="1123"/>
      <c r="F31" s="1123"/>
      <c r="G31" s="1123"/>
      <c r="H31" s="1123"/>
      <c r="I31" s="1123"/>
      <c r="J31" s="1123"/>
      <c r="K31" s="1123"/>
      <c r="L31" s="1123"/>
      <c r="M31" s="1123"/>
      <c r="N31" s="1123"/>
      <c r="O31" s="1123"/>
      <c r="P31" s="489"/>
    </row>
    <row r="32" spans="1:21">
      <c r="A32" s="917">
        <f t="shared" si="0"/>
        <v>14</v>
      </c>
      <c r="B32" s="1122" t="s">
        <v>437</v>
      </c>
      <c r="C32" s="922"/>
      <c r="D32" s="921"/>
      <c r="E32" s="921"/>
      <c r="F32" s="921"/>
      <c r="G32" s="921"/>
      <c r="H32" s="921"/>
      <c r="I32" s="921"/>
      <c r="J32" s="921"/>
      <c r="K32" s="922"/>
      <c r="L32" s="921"/>
      <c r="M32" s="921"/>
      <c r="N32" s="921"/>
      <c r="O32" s="921"/>
      <c r="P32" s="489"/>
    </row>
    <row r="33" spans="1:17">
      <c r="A33" s="1247">
        <f>+A32+0.01</f>
        <v>14.01</v>
      </c>
      <c r="B33" s="1239" t="s">
        <v>913</v>
      </c>
      <c r="C33" s="1240"/>
      <c r="D33" s="1241"/>
      <c r="E33" s="1241"/>
      <c r="F33" s="1241"/>
      <c r="G33" s="1241"/>
      <c r="H33" s="1241"/>
      <c r="I33" s="1241"/>
      <c r="J33" s="1241"/>
      <c r="K33" s="1240"/>
      <c r="L33" s="1241"/>
      <c r="M33" s="1241"/>
      <c r="N33" s="1241"/>
      <c r="O33" s="921">
        <f>+SUM(C33:N33)/12</f>
        <v>0</v>
      </c>
      <c r="P33" s="489"/>
    </row>
    <row r="34" spans="1:17">
      <c r="A34" s="1247" t="s">
        <v>903</v>
      </c>
      <c r="B34" s="1239" t="s">
        <v>913</v>
      </c>
      <c r="C34" s="1240"/>
      <c r="D34" s="1241"/>
      <c r="E34" s="1241"/>
      <c r="F34" s="1241"/>
      <c r="G34" s="1241"/>
      <c r="H34" s="1241"/>
      <c r="I34" s="1241"/>
      <c r="J34" s="1241"/>
      <c r="K34" s="1240"/>
      <c r="L34" s="1241"/>
      <c r="M34" s="1241"/>
      <c r="N34" s="1241"/>
      <c r="O34" s="921">
        <f>+SUM(C34:N34)/12</f>
        <v>0</v>
      </c>
      <c r="P34" s="489"/>
    </row>
    <row r="35" spans="1:17" ht="13.8" thickBot="1">
      <c r="A35" s="1247" t="s">
        <v>912</v>
      </c>
      <c r="B35" s="1246" t="s">
        <v>913</v>
      </c>
      <c r="C35" s="1243"/>
      <c r="D35" s="1244"/>
      <c r="E35" s="1244"/>
      <c r="F35" s="1244"/>
      <c r="G35" s="1244"/>
      <c r="H35" s="1244"/>
      <c r="I35" s="1244"/>
      <c r="J35" s="1244"/>
      <c r="K35" s="1243"/>
      <c r="L35" s="1244"/>
      <c r="M35" s="1244"/>
      <c r="N35" s="1244"/>
      <c r="O35" s="1281">
        <f>+SUM(C35:N35)/12</f>
        <v>0</v>
      </c>
      <c r="P35" s="489"/>
    </row>
    <row r="36" spans="1:17" ht="13.8" thickTop="1">
      <c r="A36" s="917">
        <f>+A32+1</f>
        <v>15</v>
      </c>
      <c r="B36" s="770" t="str">
        <f>+"Total "&amp;B32&amp;"  "&amp;A53</f>
        <v>Total Long Term Firm PTP  (4)</v>
      </c>
      <c r="C36" s="1125">
        <f t="shared" ref="C36:O36" si="5">SUM(C33:C35)</f>
        <v>0</v>
      </c>
      <c r="D36" s="1125">
        <f t="shared" si="5"/>
        <v>0</v>
      </c>
      <c r="E36" s="1125">
        <f t="shared" si="5"/>
        <v>0</v>
      </c>
      <c r="F36" s="1125">
        <f t="shared" si="5"/>
        <v>0</v>
      </c>
      <c r="G36" s="1125">
        <f t="shared" si="5"/>
        <v>0</v>
      </c>
      <c r="H36" s="1125">
        <f t="shared" si="5"/>
        <v>0</v>
      </c>
      <c r="I36" s="1125">
        <f t="shared" si="5"/>
        <v>0</v>
      </c>
      <c r="J36" s="1125">
        <f t="shared" si="5"/>
        <v>0</v>
      </c>
      <c r="K36" s="1125">
        <f t="shared" si="5"/>
        <v>0</v>
      </c>
      <c r="L36" s="1125">
        <f t="shared" si="5"/>
        <v>0</v>
      </c>
      <c r="M36" s="1125">
        <f t="shared" si="5"/>
        <v>0</v>
      </c>
      <c r="N36" s="1125">
        <f t="shared" si="5"/>
        <v>0</v>
      </c>
      <c r="O36" s="1125">
        <f t="shared" si="5"/>
        <v>0</v>
      </c>
      <c r="P36" s="489"/>
    </row>
    <row r="37" spans="1:17">
      <c r="A37" s="917">
        <f t="shared" si="0"/>
        <v>16</v>
      </c>
      <c r="B37" s="769"/>
      <c r="C37" s="923"/>
      <c r="D37" s="923"/>
      <c r="E37" s="923"/>
      <c r="F37" s="923"/>
      <c r="G37" s="923"/>
      <c r="H37" s="923"/>
      <c r="I37" s="924"/>
      <c r="J37" s="924"/>
      <c r="K37" s="923"/>
      <c r="L37" s="924"/>
      <c r="M37" s="924"/>
      <c r="N37" s="924"/>
      <c r="O37" s="924"/>
      <c r="P37" s="489"/>
    </row>
    <row r="38" spans="1:17">
      <c r="A38" s="917">
        <f t="shared" si="0"/>
        <v>17</v>
      </c>
      <c r="B38" s="1122" t="s">
        <v>438</v>
      </c>
      <c r="C38" s="922"/>
      <c r="D38" s="921"/>
      <c r="E38" s="921"/>
      <c r="F38" s="921"/>
      <c r="G38" s="921"/>
      <c r="H38" s="921"/>
      <c r="I38" s="921"/>
      <c r="J38" s="921"/>
      <c r="K38" s="922"/>
      <c r="L38" s="921"/>
      <c r="M38" s="921"/>
      <c r="N38" s="921"/>
      <c r="O38" s="921"/>
      <c r="P38" s="489"/>
    </row>
    <row r="39" spans="1:17">
      <c r="A39" s="917">
        <f t="shared" si="0"/>
        <v>18</v>
      </c>
      <c r="B39" s="72" t="s">
        <v>935</v>
      </c>
      <c r="C39" s="1248">
        <v>2718.6</v>
      </c>
      <c r="D39" s="1248">
        <v>2699.96</v>
      </c>
      <c r="E39" s="1248">
        <v>2426.7269999999999</v>
      </c>
      <c r="F39" s="1248">
        <v>2644.5360000000001</v>
      </c>
      <c r="G39" s="1248">
        <v>2423.11</v>
      </c>
      <c r="H39" s="1248">
        <v>2913.085</v>
      </c>
      <c r="I39" s="1248">
        <v>3066.9340000000002</v>
      </c>
      <c r="J39" s="1248">
        <v>3305.87</v>
      </c>
      <c r="K39" s="1248">
        <v>3091.6770000000001</v>
      </c>
      <c r="L39" s="1248">
        <v>2730.4609999999998</v>
      </c>
      <c r="M39" s="1248">
        <v>2521.9229999999998</v>
      </c>
      <c r="N39" s="1248">
        <v>2785.9920000000002</v>
      </c>
      <c r="O39" s="1282">
        <f>+SUM(C39:N39)/12</f>
        <v>2777.40625</v>
      </c>
      <c r="P39" s="489"/>
    </row>
    <row r="40" spans="1:17">
      <c r="A40" s="917">
        <f t="shared" si="0"/>
        <v>19</v>
      </c>
      <c r="B40" s="72"/>
      <c r="C40" s="925"/>
      <c r="D40" s="926"/>
      <c r="E40" s="921"/>
      <c r="F40" s="921"/>
      <c r="G40" s="921"/>
      <c r="H40" s="921"/>
      <c r="I40" s="921"/>
      <c r="J40" s="921"/>
      <c r="K40" s="922"/>
      <c r="L40" s="921"/>
      <c r="M40" s="921"/>
      <c r="N40" s="921"/>
      <c r="O40" s="921"/>
      <c r="P40" s="489"/>
    </row>
    <row r="41" spans="1:17" ht="14.4" customHeight="1">
      <c r="A41" s="917">
        <f t="shared" si="0"/>
        <v>20</v>
      </c>
      <c r="B41" s="1122" t="s">
        <v>439</v>
      </c>
      <c r="C41" s="925"/>
      <c r="D41" s="925"/>
      <c r="E41" s="925"/>
      <c r="F41" s="925"/>
      <c r="G41" s="925"/>
      <c r="H41" s="925"/>
      <c r="I41" s="925"/>
      <c r="J41" s="925"/>
      <c r="K41" s="925"/>
      <c r="L41" s="925"/>
      <c r="M41" s="925"/>
      <c r="N41" s="925"/>
      <c r="O41" s="922"/>
      <c r="P41" s="489"/>
    </row>
    <row r="42" spans="1:17">
      <c r="A42" s="917">
        <f t="shared" si="0"/>
        <v>21</v>
      </c>
      <c r="B42" s="1124" t="str">
        <f>+"EATO  "&amp;A54</f>
        <v>EATO  (5)</v>
      </c>
      <c r="C42" s="1126">
        <f>C24+C30+C36+C39</f>
        <v>3346</v>
      </c>
      <c r="D42" s="1126">
        <f t="shared" ref="D42:N42" si="6">D24+D30+D36+D39</f>
        <v>3312</v>
      </c>
      <c r="E42" s="1126">
        <f t="shared" si="6"/>
        <v>2829</v>
      </c>
      <c r="F42" s="1126">
        <f t="shared" si="6"/>
        <v>3214</v>
      </c>
      <c r="G42" s="1126">
        <f t="shared" si="6"/>
        <v>2852</v>
      </c>
      <c r="H42" s="1126">
        <f t="shared" si="6"/>
        <v>3490</v>
      </c>
      <c r="I42" s="1126">
        <f t="shared" si="6"/>
        <v>3716</v>
      </c>
      <c r="J42" s="1126">
        <f t="shared" si="6"/>
        <v>3952</v>
      </c>
      <c r="K42" s="1126">
        <f t="shared" si="6"/>
        <v>3659</v>
      </c>
      <c r="L42" s="1126">
        <f t="shared" si="6"/>
        <v>3250</v>
      </c>
      <c r="M42" s="1126">
        <f t="shared" si="6"/>
        <v>2926</v>
      </c>
      <c r="N42" s="1126">
        <f t="shared" si="6"/>
        <v>3491</v>
      </c>
      <c r="O42" s="1126">
        <f>+SUM(C42:N42)/12</f>
        <v>3336.4166666666665</v>
      </c>
      <c r="P42" s="489"/>
    </row>
    <row r="43" spans="1:17">
      <c r="A43" s="917">
        <f t="shared" si="0"/>
        <v>22</v>
      </c>
      <c r="B43" s="769" t="str">
        <f>+"Reference  "&amp;A55</f>
        <v>Reference  (6)</v>
      </c>
      <c r="C43" s="923" t="s">
        <v>583</v>
      </c>
      <c r="D43" s="923" t="s">
        <v>584</v>
      </c>
      <c r="E43" s="923" t="s">
        <v>585</v>
      </c>
      <c r="F43" s="923" t="s">
        <v>586</v>
      </c>
      <c r="G43" s="923" t="s">
        <v>587</v>
      </c>
      <c r="H43" s="923" t="s">
        <v>588</v>
      </c>
      <c r="I43" s="924" t="s">
        <v>589</v>
      </c>
      <c r="J43" s="924" t="s">
        <v>590</v>
      </c>
      <c r="K43" s="923" t="s">
        <v>591</v>
      </c>
      <c r="L43" s="924" t="s">
        <v>592</v>
      </c>
      <c r="M43" s="924" t="s">
        <v>593</v>
      </c>
      <c r="N43" s="924" t="s">
        <v>594</v>
      </c>
      <c r="O43" s="924"/>
      <c r="P43" s="489"/>
    </row>
    <row r="44" spans="1:17">
      <c r="A44" s="917">
        <f t="shared" si="0"/>
        <v>23</v>
      </c>
      <c r="B44" s="770" t="s">
        <v>920</v>
      </c>
      <c r="C44" s="1242">
        <v>0</v>
      </c>
      <c r="D44" s="1242">
        <v>0</v>
      </c>
      <c r="E44" s="1242">
        <v>0</v>
      </c>
      <c r="F44" s="1242">
        <v>0</v>
      </c>
      <c r="G44" s="1242">
        <v>0</v>
      </c>
      <c r="H44" s="1242">
        <v>0</v>
      </c>
      <c r="I44" s="1242">
        <v>0</v>
      </c>
      <c r="J44" s="1242">
        <v>0</v>
      </c>
      <c r="K44" s="1242">
        <v>0</v>
      </c>
      <c r="L44" s="1242">
        <v>0</v>
      </c>
      <c r="M44" s="1242">
        <v>0</v>
      </c>
      <c r="N44" s="1242">
        <v>0</v>
      </c>
      <c r="O44" s="921">
        <f>+SUM(C44:N44)/12</f>
        <v>0</v>
      </c>
      <c r="P44" s="163"/>
      <c r="Q44" s="163"/>
    </row>
    <row r="45" spans="1:17">
      <c r="A45" s="917">
        <f t="shared" si="0"/>
        <v>24</v>
      </c>
      <c r="B45" s="769"/>
      <c r="C45" s="923">
        <v>0</v>
      </c>
      <c r="D45" s="923"/>
      <c r="E45" s="923"/>
      <c r="F45" s="923"/>
      <c r="G45" s="923"/>
      <c r="H45" s="923"/>
      <c r="I45" s="924"/>
      <c r="J45" s="924"/>
      <c r="K45" s="923"/>
      <c r="L45" s="924"/>
      <c r="M45" s="924"/>
      <c r="N45" s="924"/>
      <c r="O45" s="924"/>
      <c r="P45" s="163"/>
      <c r="Q45" s="163"/>
    </row>
    <row r="46" spans="1:17">
      <c r="A46" s="917">
        <f t="shared" si="0"/>
        <v>25</v>
      </c>
      <c r="B46" s="1124" t="str">
        <f>+"Load For Rate Development (8) "</f>
        <v xml:space="preserve">Load For Rate Development (8) </v>
      </c>
      <c r="C46" s="1126">
        <f>+C42+C44</f>
        <v>3346</v>
      </c>
      <c r="D46" s="1126">
        <f t="shared" ref="D46:N46" si="7">+D42+D44</f>
        <v>3312</v>
      </c>
      <c r="E46" s="1126">
        <f t="shared" si="7"/>
        <v>2829</v>
      </c>
      <c r="F46" s="1126">
        <f t="shared" si="7"/>
        <v>3214</v>
      </c>
      <c r="G46" s="1126">
        <f t="shared" si="7"/>
        <v>2852</v>
      </c>
      <c r="H46" s="1126">
        <f t="shared" si="7"/>
        <v>3490</v>
      </c>
      <c r="I46" s="1126">
        <f t="shared" si="7"/>
        <v>3716</v>
      </c>
      <c r="J46" s="1126">
        <f t="shared" si="7"/>
        <v>3952</v>
      </c>
      <c r="K46" s="1126">
        <f t="shared" si="7"/>
        <v>3659</v>
      </c>
      <c r="L46" s="1126">
        <f t="shared" si="7"/>
        <v>3250</v>
      </c>
      <c r="M46" s="1126">
        <f t="shared" si="7"/>
        <v>2926</v>
      </c>
      <c r="N46" s="1126">
        <f t="shared" si="7"/>
        <v>3491</v>
      </c>
      <c r="O46" s="1126">
        <f>+SUM(C46:N46)/12</f>
        <v>3336.4166666666665</v>
      </c>
      <c r="P46" s="489"/>
    </row>
    <row r="47" spans="1:17">
      <c r="A47" s="917"/>
      <c r="B47" s="38"/>
      <c r="C47" s="38"/>
      <c r="D47" s="38"/>
      <c r="E47" s="38"/>
      <c r="F47" s="38"/>
      <c r="G47" s="38"/>
      <c r="H47" s="38"/>
      <c r="I47" s="38"/>
      <c r="J47" s="38"/>
      <c r="K47" s="38"/>
      <c r="L47" s="38"/>
      <c r="M47" s="38"/>
      <c r="N47" s="38"/>
      <c r="O47" s="38"/>
      <c r="P47" s="489"/>
    </row>
    <row r="48" spans="1:17">
      <c r="A48" s="917"/>
      <c r="B48" s="38"/>
      <c r="C48" s="38"/>
      <c r="D48" s="38"/>
      <c r="E48" s="38"/>
      <c r="F48" s="38"/>
      <c r="G48" s="38"/>
      <c r="H48" s="38"/>
      <c r="I48" s="38"/>
      <c r="J48" s="38"/>
      <c r="K48" s="38"/>
      <c r="L48" s="38"/>
      <c r="M48" s="38"/>
      <c r="N48" s="38"/>
      <c r="O48" s="38"/>
      <c r="P48" s="489"/>
    </row>
    <row r="49" spans="1:16">
      <c r="A49" s="1118" t="s">
        <v>295</v>
      </c>
      <c r="B49" s="163"/>
      <c r="C49" s="38"/>
      <c r="D49" s="38"/>
      <c r="E49" s="38"/>
      <c r="F49" s="38"/>
      <c r="G49" s="38"/>
      <c r="H49" s="38"/>
      <c r="I49" s="38"/>
      <c r="J49" s="38"/>
      <c r="K49" s="38"/>
      <c r="L49" s="38"/>
      <c r="M49" s="38"/>
      <c r="N49" s="38"/>
      <c r="O49" s="38"/>
      <c r="P49" s="489"/>
    </row>
    <row r="50" spans="1:16">
      <c r="A50" s="809" t="s">
        <v>170</v>
      </c>
      <c r="B50" s="1234" t="str">
        <f>+"Sum (Ln "&amp;A14&amp;" Subparts)"</f>
        <v>Sum (Ln 8 Subparts)</v>
      </c>
      <c r="C50" s="38"/>
      <c r="D50" s="38"/>
      <c r="E50" s="38"/>
      <c r="F50" s="38"/>
      <c r="G50" s="38"/>
      <c r="H50" s="38"/>
      <c r="I50" s="38"/>
      <c r="J50" s="38"/>
      <c r="K50" s="38"/>
      <c r="L50" s="38"/>
      <c r="M50" s="38"/>
      <c r="N50" s="38"/>
      <c r="O50" s="38"/>
      <c r="P50" s="489"/>
    </row>
    <row r="51" spans="1:16" ht="12.75" customHeight="1">
      <c r="A51" s="809" t="s">
        <v>316</v>
      </c>
      <c r="B51" s="1697" t="s">
        <v>861</v>
      </c>
      <c r="C51" s="1697"/>
      <c r="D51" s="1697"/>
      <c r="E51" s="1697"/>
      <c r="F51" s="1697"/>
      <c r="G51" s="1697"/>
      <c r="H51" s="1697"/>
      <c r="I51" s="1697"/>
      <c r="J51" s="1697"/>
      <c r="K51" s="1697"/>
      <c r="L51" s="1697"/>
      <c r="M51" s="1697"/>
      <c r="N51" s="1697"/>
      <c r="O51" s="1697"/>
      <c r="P51" s="489"/>
    </row>
    <row r="52" spans="1:16">
      <c r="A52" s="809" t="s">
        <v>317</v>
      </c>
      <c r="B52" s="1234" t="str">
        <f>+"Sum (Ln "&amp;A26&amp;" Subparts)"</f>
        <v>Sum (Ln 11 Subparts)</v>
      </c>
      <c r="C52" s="38"/>
      <c r="D52" s="38"/>
      <c r="E52" s="38"/>
      <c r="F52" s="38"/>
      <c r="G52" s="38"/>
      <c r="H52" s="38"/>
      <c r="I52" s="38"/>
      <c r="J52" s="38"/>
      <c r="K52" s="38"/>
      <c r="L52" s="38"/>
      <c r="M52" s="38"/>
      <c r="N52" s="38"/>
      <c r="O52" s="38"/>
      <c r="P52" s="489"/>
    </row>
    <row r="53" spans="1:16">
      <c r="A53" s="809" t="s">
        <v>318</v>
      </c>
      <c r="B53" s="1234" t="str">
        <f>+"Sum (Ln "&amp;A32&amp;" Subparts)"</f>
        <v>Sum (Ln 14 Subparts)</v>
      </c>
      <c r="C53" s="38"/>
      <c r="D53" s="38"/>
      <c r="E53" s="38"/>
      <c r="F53" s="38"/>
      <c r="G53" s="38"/>
      <c r="H53" s="38"/>
      <c r="I53" s="38"/>
      <c r="J53" s="38"/>
      <c r="K53" s="38"/>
      <c r="L53" s="38"/>
      <c r="M53" s="38"/>
      <c r="N53" s="38"/>
      <c r="O53" s="38"/>
      <c r="P53" s="489"/>
    </row>
    <row r="54" spans="1:16">
      <c r="A54" s="809" t="s">
        <v>319</v>
      </c>
      <c r="B54" s="767" t="str">
        <f>+"Sum (Ln "&amp;A24&amp;" + "&amp;A30&amp;" + "&amp;A36&amp;" + "&amp;A39&amp;")"</f>
        <v>Sum (Ln 9 + 12 + 15 + 18)</v>
      </c>
      <c r="C54" s="38"/>
      <c r="D54" s="38"/>
      <c r="E54" s="38"/>
      <c r="F54" s="38"/>
      <c r="G54" s="38"/>
      <c r="H54" s="38"/>
      <c r="I54" s="38"/>
      <c r="J54" s="38"/>
      <c r="K54" s="38"/>
      <c r="L54" s="38"/>
      <c r="M54" s="38"/>
      <c r="N54" s="38"/>
      <c r="O54" s="38"/>
      <c r="P54" s="489"/>
    </row>
    <row r="55" spans="1:16">
      <c r="A55" s="809" t="s">
        <v>712</v>
      </c>
      <c r="B55" s="38" t="s">
        <v>1133</v>
      </c>
      <c r="C55" s="38"/>
      <c r="D55" s="38"/>
      <c r="E55" s="38"/>
      <c r="F55" s="38"/>
      <c r="G55" s="38"/>
      <c r="H55" s="38"/>
      <c r="I55" s="38"/>
      <c r="J55" s="38"/>
      <c r="K55" s="38"/>
      <c r="L55" s="38"/>
      <c r="M55" s="38"/>
      <c r="N55" s="38"/>
      <c r="O55" s="38"/>
      <c r="P55" s="489"/>
    </row>
    <row r="56" spans="1:16">
      <c r="A56" s="809" t="s">
        <v>714</v>
      </c>
      <c r="B56" s="38" t="s">
        <v>1121</v>
      </c>
      <c r="C56" s="38"/>
      <c r="D56" s="38"/>
      <c r="E56" s="38"/>
      <c r="F56" s="38"/>
      <c r="G56" s="38"/>
      <c r="H56" s="38"/>
      <c r="I56" s="38"/>
      <c r="J56" s="38"/>
      <c r="K56" s="38"/>
      <c r="L56" s="38"/>
      <c r="M56" s="38"/>
      <c r="N56" s="38"/>
      <c r="O56" s="38"/>
      <c r="P56" s="489"/>
    </row>
    <row r="57" spans="1:16">
      <c r="A57" s="809" t="s">
        <v>1120</v>
      </c>
      <c r="B57" s="767" t="str">
        <f>+"Sum (Ln "&amp;A42&amp;" + "&amp;A44&amp;")"</f>
        <v>Sum (Ln 21 + 23)</v>
      </c>
      <c r="P57" s="489"/>
    </row>
    <row r="58" spans="1:16">
      <c r="A58" s="1452"/>
    </row>
  </sheetData>
  <mergeCells count="5">
    <mergeCell ref="B51:O51"/>
    <mergeCell ref="C9:N9"/>
    <mergeCell ref="A1:O1"/>
    <mergeCell ref="A2:O2"/>
    <mergeCell ref="A3:O3"/>
  </mergeCells>
  <printOptions horizontalCentered="1"/>
  <pageMargins left="0.5" right="0.5" top="0.5" bottom="0.75" header="0.3" footer="0.5"/>
  <pageSetup scale="70" orientation="landscape" r:id="rId1"/>
  <headerFooter>
    <oddFooter>&amp;R&amp;A</oddFooter>
  </headerFooter>
  <ignoredErrors>
    <ignoredError sqref="C7 A50:A57"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S30"/>
  <sheetViews>
    <sheetView zoomScale="90" zoomScaleNormal="90" workbookViewId="0">
      <selection activeCell="A9" sqref="A9"/>
    </sheetView>
  </sheetViews>
  <sheetFormatPr defaultColWidth="9.109375" defaultRowHeight="13.2"/>
  <cols>
    <col min="1" max="1" width="5.88671875" style="778" customWidth="1"/>
    <col min="2" max="2" width="7.6640625" style="771" bestFit="1" customWidth="1"/>
    <col min="3" max="3" width="29.44140625" style="771" bestFit="1" customWidth="1"/>
    <col min="4" max="4" width="12.109375" style="771" customWidth="1"/>
    <col min="5" max="15" width="12.109375" style="771" bestFit="1" customWidth="1"/>
    <col min="16" max="16" width="11.6640625" style="771" bestFit="1" customWidth="1"/>
    <col min="17" max="17" width="12" style="771" bestFit="1" customWidth="1"/>
    <col min="18" max="18" width="6.88671875" style="771" customWidth="1"/>
    <col min="19" max="19" width="6.88671875" style="1849" customWidth="1"/>
    <col min="20" max="20" width="23.33203125" style="771" bestFit="1" customWidth="1"/>
    <col min="21" max="21" width="27.44140625" style="771" bestFit="1" customWidth="1"/>
    <col min="22" max="22" width="23.33203125" style="771" bestFit="1" customWidth="1"/>
    <col min="23" max="23" width="27.44140625" style="771" bestFit="1" customWidth="1"/>
    <col min="24" max="24" width="23.33203125" style="771" bestFit="1" customWidth="1"/>
    <col min="25" max="25" width="27.44140625" style="771" bestFit="1" customWidth="1"/>
    <col min="26" max="26" width="23.33203125" style="771" bestFit="1" customWidth="1"/>
    <col min="27" max="27" width="32.6640625" style="771" bestFit="1" customWidth="1"/>
    <col min="28" max="28" width="28.5546875" style="771" bestFit="1" customWidth="1"/>
    <col min="29" max="29" width="32.6640625" style="771" bestFit="1" customWidth="1"/>
    <col min="30" max="30" width="28.5546875" style="771" bestFit="1" customWidth="1"/>
    <col min="31" max="16384" width="9.109375" style="771"/>
  </cols>
  <sheetData>
    <row r="1" spans="1:19" s="39" customFormat="1">
      <c r="A1" s="1703" t="str">
        <f>+'MISO Cover'!C6</f>
        <v>Entergy Texas, Inc.</v>
      </c>
      <c r="B1" s="1703"/>
      <c r="C1" s="1703"/>
      <c r="D1" s="1703"/>
      <c r="E1" s="1703"/>
      <c r="F1" s="1703"/>
      <c r="G1" s="1703"/>
      <c r="H1" s="1703"/>
      <c r="I1" s="1703"/>
      <c r="J1" s="1703"/>
      <c r="K1" s="1703"/>
      <c r="L1" s="1703"/>
      <c r="M1" s="1703"/>
      <c r="N1" s="1703"/>
      <c r="O1" s="1703"/>
      <c r="P1" s="1703"/>
      <c r="Q1" s="1703"/>
      <c r="S1" s="38"/>
    </row>
    <row r="2" spans="1:19" s="39" customFormat="1">
      <c r="A2" s="1695" t="s">
        <v>851</v>
      </c>
      <c r="B2" s="1695"/>
      <c r="C2" s="1695"/>
      <c r="D2" s="1695"/>
      <c r="E2" s="1695"/>
      <c r="F2" s="1695"/>
      <c r="G2" s="1695"/>
      <c r="H2" s="1695"/>
      <c r="I2" s="1695"/>
      <c r="J2" s="1695"/>
      <c r="K2" s="1695"/>
      <c r="L2" s="1695"/>
      <c r="M2" s="1695"/>
      <c r="N2" s="1695"/>
      <c r="O2" s="1695"/>
      <c r="P2" s="1695"/>
      <c r="Q2" s="1695"/>
      <c r="S2" s="38"/>
    </row>
    <row r="3" spans="1:19" s="39" customFormat="1">
      <c r="A3" s="1703" t="str">
        <f>+'MISO Cover'!K4</f>
        <v>For  the 12 Months Ended 12/31/2016</v>
      </c>
      <c r="B3" s="1703"/>
      <c r="C3" s="1703"/>
      <c r="D3" s="1703"/>
      <c r="E3" s="1703"/>
      <c r="F3" s="1703"/>
      <c r="G3" s="1703"/>
      <c r="H3" s="1703"/>
      <c r="I3" s="1703"/>
      <c r="J3" s="1703"/>
      <c r="K3" s="1703"/>
      <c r="L3" s="1703"/>
      <c r="M3" s="1703"/>
      <c r="N3" s="1703"/>
      <c r="O3" s="1703"/>
      <c r="P3" s="1703"/>
      <c r="Q3" s="1703"/>
      <c r="S3" s="38"/>
    </row>
    <row r="4" spans="1:19" s="39" customFormat="1">
      <c r="A4" s="717"/>
      <c r="B4" s="717"/>
      <c r="C4" s="717"/>
      <c r="D4" s="717"/>
      <c r="E4" s="717"/>
      <c r="F4" s="717"/>
      <c r="G4" s="717"/>
      <c r="H4" s="717"/>
      <c r="I4" s="717"/>
      <c r="J4" s="717"/>
      <c r="K4" s="717"/>
      <c r="L4" s="717"/>
      <c r="M4" s="717"/>
      <c r="N4" s="717"/>
      <c r="O4" s="717"/>
      <c r="P4" s="717"/>
      <c r="Q4" s="717"/>
      <c r="S4" s="38"/>
    </row>
    <row r="5" spans="1:19" s="717" customFormat="1">
      <c r="A5" s="717" t="s">
        <v>277</v>
      </c>
      <c r="B5" s="717" t="s">
        <v>67</v>
      </c>
      <c r="C5" s="717" t="s">
        <v>114</v>
      </c>
      <c r="D5" s="717" t="s">
        <v>55</v>
      </c>
      <c r="E5" s="717" t="s">
        <v>68</v>
      </c>
      <c r="F5" s="717" t="s">
        <v>66</v>
      </c>
      <c r="G5" s="717" t="s">
        <v>156</v>
      </c>
      <c r="H5" s="717" t="s">
        <v>69</v>
      </c>
      <c r="I5" s="717" t="s">
        <v>169</v>
      </c>
      <c r="J5" s="717" t="s">
        <v>59</v>
      </c>
      <c r="K5" s="717" t="s">
        <v>441</v>
      </c>
      <c r="L5" s="717" t="s">
        <v>71</v>
      </c>
      <c r="M5" s="717" t="s">
        <v>98</v>
      </c>
      <c r="N5" s="717" t="s">
        <v>99</v>
      </c>
      <c r="O5" s="717" t="s">
        <v>157</v>
      </c>
      <c r="P5" s="717" t="s">
        <v>219</v>
      </c>
      <c r="Q5" s="717" t="s">
        <v>220</v>
      </c>
      <c r="S5" s="1664"/>
    </row>
    <row r="6" spans="1:19" s="39" customFormat="1">
      <c r="A6" s="836">
        <v>1</v>
      </c>
      <c r="B6" s="172"/>
      <c r="C6" s="172"/>
      <c r="D6" s="1422"/>
      <c r="E6" s="1422"/>
      <c r="F6" s="1422"/>
      <c r="G6" s="1422"/>
      <c r="H6" s="1422"/>
      <c r="I6" s="1422"/>
      <c r="J6" s="1422"/>
      <c r="K6" s="1422"/>
      <c r="L6" s="1422"/>
      <c r="M6" s="1422"/>
      <c r="N6" s="1422"/>
      <c r="O6" s="1422"/>
      <c r="P6" s="1422"/>
      <c r="Q6" s="1781" t="s">
        <v>615</v>
      </c>
      <c r="S6" s="38"/>
    </row>
    <row r="7" spans="1:19">
      <c r="A7" s="837">
        <f>1+A6</f>
        <v>2</v>
      </c>
      <c r="B7" s="771" t="s">
        <v>173</v>
      </c>
      <c r="C7" s="771" t="s">
        <v>266</v>
      </c>
      <c r="D7" s="1423" t="s">
        <v>37</v>
      </c>
      <c r="E7" s="1423" t="s">
        <v>27</v>
      </c>
      <c r="F7" s="1423" t="s">
        <v>28</v>
      </c>
      <c r="G7" s="1423" t="s">
        <v>29</v>
      </c>
      <c r="H7" s="1423" t="s">
        <v>30</v>
      </c>
      <c r="I7" s="1423" t="s">
        <v>26</v>
      </c>
      <c r="J7" s="1423" t="s">
        <v>31</v>
      </c>
      <c r="K7" s="1423" t="s">
        <v>32</v>
      </c>
      <c r="L7" s="1423" t="s">
        <v>33</v>
      </c>
      <c r="M7" s="1423" t="s">
        <v>34</v>
      </c>
      <c r="N7" s="1423" t="s">
        <v>35</v>
      </c>
      <c r="O7" s="1423" t="s">
        <v>36</v>
      </c>
      <c r="P7" s="1423" t="s">
        <v>37</v>
      </c>
      <c r="Q7" s="1782"/>
    </row>
    <row r="8" spans="1:19">
      <c r="A8" s="838">
        <f>+A7+0.01</f>
        <v>2.0099999999999998</v>
      </c>
      <c r="B8" s="172" t="s">
        <v>1313</v>
      </c>
      <c r="C8" s="164"/>
      <c r="D8" s="1238">
        <v>-3139117.3800001913</v>
      </c>
      <c r="E8" s="1238">
        <v>-3448089.7500001588</v>
      </c>
      <c r="F8" s="1238">
        <v>-3825681.060000238</v>
      </c>
      <c r="G8" s="1238">
        <v>-4033459.4699998093</v>
      </c>
      <c r="H8" s="1238">
        <v>-4068458.329999642</v>
      </c>
      <c r="I8" s="1238">
        <v>-3098017.5499999193</v>
      </c>
      <c r="J8" s="1238">
        <v>-924558.39999984344</v>
      </c>
      <c r="K8" s="1238">
        <v>414740.19999986771</v>
      </c>
      <c r="L8" s="1238">
        <v>894055.21999990055</v>
      </c>
      <c r="M8" s="1238">
        <v>813098.51999970723</v>
      </c>
      <c r="N8" s="1238">
        <v>494068.98999977054</v>
      </c>
      <c r="O8" s="1238">
        <v>94899.569999693224</v>
      </c>
      <c r="P8" s="1238">
        <v>-344709.16000026208</v>
      </c>
      <c r="Q8" s="772">
        <f t="shared" ref="Q8:Q24" si="0">SUM(D8:P8)/13</f>
        <v>-1551632.9692308551</v>
      </c>
      <c r="R8" s="773"/>
      <c r="S8" s="1849" t="s">
        <v>1582</v>
      </c>
    </row>
    <row r="9" spans="1:19">
      <c r="A9" s="838">
        <f>+A8+0.01</f>
        <v>2.0199999999999996</v>
      </c>
      <c r="B9" s="172" t="s">
        <v>1314</v>
      </c>
      <c r="C9" s="164"/>
      <c r="D9" s="1238">
        <v>0</v>
      </c>
      <c r="E9" s="1238">
        <v>0</v>
      </c>
      <c r="F9" s="1238">
        <v>0</v>
      </c>
      <c r="G9" s="1238">
        <v>0</v>
      </c>
      <c r="H9" s="1238">
        <v>0</v>
      </c>
      <c r="I9" s="1238">
        <v>0</v>
      </c>
      <c r="J9" s="1238">
        <v>0</v>
      </c>
      <c r="K9" s="1238">
        <v>0</v>
      </c>
      <c r="L9" s="1238">
        <v>0</v>
      </c>
      <c r="M9" s="1238">
        <v>0</v>
      </c>
      <c r="N9" s="1238">
        <v>0</v>
      </c>
      <c r="O9" s="1238">
        <v>0</v>
      </c>
      <c r="P9" s="1238">
        <v>0</v>
      </c>
      <c r="Q9" s="772">
        <f t="shared" si="0"/>
        <v>0</v>
      </c>
      <c r="R9" s="773"/>
      <c r="S9" s="1849" t="s">
        <v>1583</v>
      </c>
    </row>
    <row r="10" spans="1:19">
      <c r="A10" s="1435">
        <f>+A9+0.01</f>
        <v>2.0299999999999994</v>
      </c>
      <c r="B10" s="1495" t="s">
        <v>1315</v>
      </c>
      <c r="C10" s="164"/>
      <c r="D10" s="1238">
        <v>0</v>
      </c>
      <c r="E10" s="1238">
        <v>0</v>
      </c>
      <c r="F10" s="1238">
        <v>0</v>
      </c>
      <c r="G10" s="1238">
        <v>0</v>
      </c>
      <c r="H10" s="1238">
        <v>0</v>
      </c>
      <c r="I10" s="1238">
        <v>0</v>
      </c>
      <c r="J10" s="1238">
        <v>0</v>
      </c>
      <c r="K10" s="1238">
        <v>0</v>
      </c>
      <c r="L10" s="1238">
        <v>0</v>
      </c>
      <c r="M10" s="1238">
        <v>0</v>
      </c>
      <c r="N10" s="1238">
        <v>0</v>
      </c>
      <c r="O10" s="1238">
        <v>0</v>
      </c>
      <c r="P10" s="1238">
        <v>0</v>
      </c>
      <c r="Q10" s="772">
        <f t="shared" si="0"/>
        <v>0</v>
      </c>
      <c r="R10" s="773"/>
      <c r="S10" s="1849" t="s">
        <v>1583</v>
      </c>
    </row>
    <row r="11" spans="1:19">
      <c r="A11" s="1435">
        <f t="shared" ref="A11:A22" si="1">+A10+0.01</f>
        <v>2.0399999999999991</v>
      </c>
      <c r="B11" s="1495" t="s">
        <v>1316</v>
      </c>
      <c r="C11" s="164"/>
      <c r="D11" s="1238">
        <v>0</v>
      </c>
      <c r="E11" s="1238">
        <v>0</v>
      </c>
      <c r="F11" s="1238">
        <v>0</v>
      </c>
      <c r="G11" s="1238">
        <v>0</v>
      </c>
      <c r="H11" s="1238">
        <v>0</v>
      </c>
      <c r="I11" s="1238">
        <v>0</v>
      </c>
      <c r="J11" s="1238">
        <v>0</v>
      </c>
      <c r="K11" s="1238">
        <v>0</v>
      </c>
      <c r="L11" s="1238">
        <v>0</v>
      </c>
      <c r="M11" s="1238">
        <v>0</v>
      </c>
      <c r="N11" s="1238">
        <v>0</v>
      </c>
      <c r="O11" s="1238">
        <v>0</v>
      </c>
      <c r="P11" s="1238">
        <v>0</v>
      </c>
      <c r="Q11" s="772">
        <f t="shared" si="0"/>
        <v>0</v>
      </c>
      <c r="R11" s="773"/>
    </row>
    <row r="12" spans="1:19">
      <c r="A12" s="1435">
        <f t="shared" si="1"/>
        <v>2.0499999999999989</v>
      </c>
      <c r="B12" s="172" t="s">
        <v>1317</v>
      </c>
      <c r="C12" s="164"/>
      <c r="D12" s="1238">
        <v>0</v>
      </c>
      <c r="E12" s="1238">
        <v>0</v>
      </c>
      <c r="F12" s="1238">
        <v>0</v>
      </c>
      <c r="G12" s="1238">
        <v>0</v>
      </c>
      <c r="H12" s="1238">
        <v>0</v>
      </c>
      <c r="I12" s="1238">
        <v>0</v>
      </c>
      <c r="J12" s="1238">
        <v>0</v>
      </c>
      <c r="K12" s="1238">
        <v>-414740.2</v>
      </c>
      <c r="L12" s="1238">
        <v>-894055.22</v>
      </c>
      <c r="M12" s="1238">
        <v>-813098.52</v>
      </c>
      <c r="N12" s="1238">
        <v>-494068.99</v>
      </c>
      <c r="O12" s="1238">
        <v>-94899.57</v>
      </c>
      <c r="P12" s="1238">
        <v>0</v>
      </c>
      <c r="Q12" s="772">
        <f t="shared" si="0"/>
        <v>-208527.88461538457</v>
      </c>
      <c r="R12" s="773"/>
    </row>
    <row r="13" spans="1:19">
      <c r="A13" s="1435">
        <f t="shared" si="1"/>
        <v>2.0599999999999987</v>
      </c>
      <c r="B13" s="1495" t="s">
        <v>1318</v>
      </c>
      <c r="C13" s="164"/>
      <c r="D13" s="1238">
        <v>0</v>
      </c>
      <c r="E13" s="1238">
        <v>0</v>
      </c>
      <c r="F13" s="1238">
        <v>0</v>
      </c>
      <c r="G13" s="1238">
        <v>0</v>
      </c>
      <c r="H13" s="1238">
        <v>0</v>
      </c>
      <c r="I13" s="1238">
        <v>0</v>
      </c>
      <c r="J13" s="1238">
        <v>0</v>
      </c>
      <c r="K13" s="1238">
        <v>0</v>
      </c>
      <c r="L13" s="1238">
        <v>0</v>
      </c>
      <c r="M13" s="1238">
        <v>0</v>
      </c>
      <c r="N13" s="1238">
        <v>0</v>
      </c>
      <c r="O13" s="1238">
        <v>0</v>
      </c>
      <c r="P13" s="1238">
        <v>0</v>
      </c>
      <c r="Q13" s="772">
        <f t="shared" si="0"/>
        <v>0</v>
      </c>
      <c r="R13" s="773"/>
      <c r="S13" s="1849" t="s">
        <v>1583</v>
      </c>
    </row>
    <row r="14" spans="1:19">
      <c r="A14" s="1435">
        <f t="shared" si="1"/>
        <v>2.0699999999999985</v>
      </c>
      <c r="B14" s="172" t="s">
        <v>1319</v>
      </c>
      <c r="C14" s="164"/>
      <c r="D14" s="1238">
        <v>-1224362.3699999989</v>
      </c>
      <c r="E14" s="1238">
        <v>-1266470.7499999998</v>
      </c>
      <c r="F14" s="1238">
        <v>-1315950.2499999998</v>
      </c>
      <c r="G14" s="1238">
        <v>-999507.82999999984</v>
      </c>
      <c r="H14" s="1238">
        <v>-1018977.2299999993</v>
      </c>
      <c r="I14" s="1238">
        <v>-1076882.3299999998</v>
      </c>
      <c r="J14" s="1238">
        <v>-1324943.5599999994</v>
      </c>
      <c r="K14" s="1238">
        <v>-1343526.3699999999</v>
      </c>
      <c r="L14" s="1238">
        <v>-1403964.4699999995</v>
      </c>
      <c r="M14" s="1238">
        <v>-1071027.5799999998</v>
      </c>
      <c r="N14" s="1238">
        <v>-1134500.2999999996</v>
      </c>
      <c r="O14" s="1238">
        <v>-1203949.1599999999</v>
      </c>
      <c r="P14" s="1238">
        <v>-909031.01999999932</v>
      </c>
      <c r="Q14" s="772">
        <f t="shared" si="0"/>
        <v>-1176391.7861538457</v>
      </c>
      <c r="R14" s="773"/>
      <c r="S14" s="1849" t="s">
        <v>1583</v>
      </c>
    </row>
    <row r="15" spans="1:19">
      <c r="A15" s="1435">
        <f t="shared" si="1"/>
        <v>2.0799999999999983</v>
      </c>
      <c r="B15" s="172" t="s">
        <v>1320</v>
      </c>
      <c r="C15" s="164"/>
      <c r="D15" s="1238">
        <v>-3326191.05</v>
      </c>
      <c r="E15" s="1238">
        <v>-3326191.05</v>
      </c>
      <c r="F15" s="1238">
        <v>-3326191.05</v>
      </c>
      <c r="G15" s="1238">
        <v>-3326191.05</v>
      </c>
      <c r="H15" s="1238">
        <v>-3326191.05</v>
      </c>
      <c r="I15" s="1238">
        <v>-3326191.05</v>
      </c>
      <c r="J15" s="1238">
        <v>-3326191.05</v>
      </c>
      <c r="K15" s="1238">
        <v>-3326191.05</v>
      </c>
      <c r="L15" s="1238">
        <v>-3326191.05</v>
      </c>
      <c r="M15" s="1238">
        <v>-3326191.05</v>
      </c>
      <c r="N15" s="1238">
        <v>-3326191.05</v>
      </c>
      <c r="O15" s="1238">
        <v>-3326191.05</v>
      </c>
      <c r="P15" s="1238">
        <v>-3326191.05</v>
      </c>
      <c r="Q15" s="772">
        <f t="shared" si="0"/>
        <v>-3326191.05</v>
      </c>
      <c r="R15" s="773"/>
      <c r="S15" s="1849" t="s">
        <v>1583</v>
      </c>
    </row>
    <row r="16" spans="1:19">
      <c r="A16" s="1435">
        <f t="shared" si="1"/>
        <v>2.0899999999999981</v>
      </c>
      <c r="B16" s="172" t="s">
        <v>1321</v>
      </c>
      <c r="C16" s="164"/>
      <c r="D16" s="1238">
        <v>-2543997</v>
      </c>
      <c r="E16" s="1238">
        <v>-2543997</v>
      </c>
      <c r="F16" s="1238">
        <v>-2543997</v>
      </c>
      <c r="G16" s="1238">
        <v>-2543997</v>
      </c>
      <c r="H16" s="1238">
        <v>-2543997</v>
      </c>
      <c r="I16" s="1238">
        <v>-2543997</v>
      </c>
      <c r="J16" s="1238">
        <v>-2543997</v>
      </c>
      <c r="K16" s="1238">
        <v>-2543997</v>
      </c>
      <c r="L16" s="1238">
        <v>-2543997</v>
      </c>
      <c r="M16" s="1238">
        <v>-2543997</v>
      </c>
      <c r="N16" s="1238">
        <v>-2543997</v>
      </c>
      <c r="O16" s="1238">
        <v>-2543997</v>
      </c>
      <c r="P16" s="1238">
        <v>-2833069</v>
      </c>
      <c r="Q16" s="772">
        <f t="shared" si="0"/>
        <v>-2566233.3076923075</v>
      </c>
      <c r="R16" s="773"/>
      <c r="S16" s="1849" t="s">
        <v>1583</v>
      </c>
    </row>
    <row r="17" spans="1:19">
      <c r="A17" s="1435">
        <f t="shared" si="1"/>
        <v>2.0999999999999979</v>
      </c>
      <c r="B17" s="172" t="s">
        <v>1322</v>
      </c>
      <c r="C17" s="164"/>
      <c r="D17" s="1238">
        <v>15791999.649999999</v>
      </c>
      <c r="E17" s="1238">
        <v>16771944.800000004</v>
      </c>
      <c r="F17" s="1238">
        <v>17825506.589999996</v>
      </c>
      <c r="G17" s="1238">
        <v>17296845.660000004</v>
      </c>
      <c r="H17" s="1238">
        <v>18412176.010000005</v>
      </c>
      <c r="I17" s="1238">
        <v>19177701.74000001</v>
      </c>
      <c r="J17" s="1238">
        <v>19238575.919999991</v>
      </c>
      <c r="K17" s="1238">
        <v>20210807.340000007</v>
      </c>
      <c r="L17" s="1238">
        <v>20929323.16</v>
      </c>
      <c r="M17" s="1238">
        <v>20628929.139999989</v>
      </c>
      <c r="N17" s="1238">
        <v>21592614.969999988</v>
      </c>
      <c r="O17" s="1238">
        <v>22840639.02</v>
      </c>
      <c r="P17" s="1238">
        <v>9369000.0799999963</v>
      </c>
      <c r="Q17" s="772">
        <f t="shared" si="0"/>
        <v>18468158.775384612</v>
      </c>
      <c r="R17" s="773"/>
      <c r="S17" s="1849" t="s">
        <v>1583</v>
      </c>
    </row>
    <row r="18" spans="1:19">
      <c r="A18" s="1435">
        <f t="shared" si="1"/>
        <v>2.1099999999999977</v>
      </c>
      <c r="B18" s="172" t="s">
        <v>1323</v>
      </c>
      <c r="C18" s="164"/>
      <c r="D18" s="1238">
        <v>-710000.38999999873</v>
      </c>
      <c r="E18" s="1238">
        <v>-698016.01999999862</v>
      </c>
      <c r="F18" s="1238">
        <v>-687344.38999999873</v>
      </c>
      <c r="G18" s="1238">
        <v>-709981.18999999878</v>
      </c>
      <c r="H18" s="1238">
        <v>-556026.21999999858</v>
      </c>
      <c r="I18" s="1238">
        <v>-528730.86999999918</v>
      </c>
      <c r="J18" s="1238">
        <v>-708971.74999999814</v>
      </c>
      <c r="K18" s="1238">
        <v>-712178.24999999988</v>
      </c>
      <c r="L18" s="1238">
        <v>-753089.88999999908</v>
      </c>
      <c r="M18" s="1238">
        <v>-698997.72999999858</v>
      </c>
      <c r="N18" s="1238">
        <v>-667551.59999999823</v>
      </c>
      <c r="O18" s="1238">
        <v>-550573.47999999824</v>
      </c>
      <c r="P18" s="1238">
        <v>-2099000.1999999974</v>
      </c>
      <c r="Q18" s="772">
        <f t="shared" si="0"/>
        <v>-775420.15230769094</v>
      </c>
      <c r="R18" s="773"/>
      <c r="S18" s="1849" t="s">
        <v>1583</v>
      </c>
    </row>
    <row r="19" spans="1:19">
      <c r="A19" s="1435">
        <f t="shared" si="1"/>
        <v>2.1199999999999974</v>
      </c>
      <c r="B19" s="1495" t="s">
        <v>1324</v>
      </c>
      <c r="C19" s="164"/>
      <c r="D19" s="1238">
        <v>0</v>
      </c>
      <c r="E19" s="1238">
        <v>0</v>
      </c>
      <c r="F19" s="1238">
        <v>0</v>
      </c>
      <c r="G19" s="1238">
        <v>0</v>
      </c>
      <c r="H19" s="1238">
        <v>0</v>
      </c>
      <c r="I19" s="1238">
        <v>0</v>
      </c>
      <c r="J19" s="1238">
        <v>0</v>
      </c>
      <c r="K19" s="1238">
        <v>0</v>
      </c>
      <c r="L19" s="1238">
        <v>0</v>
      </c>
      <c r="M19" s="1238">
        <v>0</v>
      </c>
      <c r="N19" s="1238">
        <v>0</v>
      </c>
      <c r="O19" s="1238">
        <v>0</v>
      </c>
      <c r="P19" s="1238">
        <v>0</v>
      </c>
      <c r="Q19" s="772">
        <f t="shared" si="0"/>
        <v>0</v>
      </c>
      <c r="R19" s="773"/>
    </row>
    <row r="20" spans="1:19">
      <c r="A20" s="1435">
        <f t="shared" si="1"/>
        <v>2.1299999999999972</v>
      </c>
      <c r="B20" s="172" t="s">
        <v>1325</v>
      </c>
      <c r="C20" s="164"/>
      <c r="D20" s="1238">
        <v>0</v>
      </c>
      <c r="E20" s="1238">
        <v>0</v>
      </c>
      <c r="F20" s="1238">
        <v>0</v>
      </c>
      <c r="G20" s="1238">
        <v>0</v>
      </c>
      <c r="H20" s="1238">
        <v>0</v>
      </c>
      <c r="I20" s="1238">
        <v>0</v>
      </c>
      <c r="J20" s="1238">
        <v>0</v>
      </c>
      <c r="K20" s="1238">
        <v>0</v>
      </c>
      <c r="L20" s="1238">
        <v>0</v>
      </c>
      <c r="M20" s="1238">
        <v>0</v>
      </c>
      <c r="N20" s="1238">
        <v>0</v>
      </c>
      <c r="O20" s="1238">
        <v>0</v>
      </c>
      <c r="P20" s="1238">
        <v>0</v>
      </c>
      <c r="Q20" s="772">
        <f t="shared" si="0"/>
        <v>0</v>
      </c>
      <c r="R20" s="773"/>
    </row>
    <row r="21" spans="1:19">
      <c r="A21" s="1435">
        <f t="shared" si="1"/>
        <v>2.139999999999997</v>
      </c>
      <c r="B21" s="1495" t="s">
        <v>1326</v>
      </c>
      <c r="C21" s="164"/>
      <c r="D21" s="1238">
        <v>0</v>
      </c>
      <c r="E21" s="1238">
        <v>0</v>
      </c>
      <c r="F21" s="1238">
        <v>0</v>
      </c>
      <c r="G21" s="1238">
        <v>0</v>
      </c>
      <c r="H21" s="1238">
        <v>0</v>
      </c>
      <c r="I21" s="1238">
        <v>0</v>
      </c>
      <c r="J21" s="1238">
        <v>0</v>
      </c>
      <c r="K21" s="1238">
        <v>0</v>
      </c>
      <c r="L21" s="1238">
        <v>0</v>
      </c>
      <c r="M21" s="1238">
        <v>0</v>
      </c>
      <c r="N21" s="1238">
        <v>0</v>
      </c>
      <c r="O21" s="1238">
        <v>0</v>
      </c>
      <c r="P21" s="1238">
        <v>0</v>
      </c>
      <c r="Q21" s="772">
        <f t="shared" si="0"/>
        <v>0</v>
      </c>
      <c r="R21" s="773"/>
    </row>
    <row r="22" spans="1:19">
      <c r="A22" s="1436">
        <f t="shared" si="1"/>
        <v>2.1499999999999968</v>
      </c>
      <c r="B22" s="1237" t="s">
        <v>913</v>
      </c>
      <c r="C22" s="175"/>
      <c r="D22" s="1238">
        <v>0</v>
      </c>
      <c r="E22" s="1238">
        <v>0</v>
      </c>
      <c r="F22" s="1238">
        <v>0</v>
      </c>
      <c r="G22" s="1238">
        <v>0</v>
      </c>
      <c r="H22" s="1238">
        <v>0</v>
      </c>
      <c r="I22" s="1238">
        <v>0</v>
      </c>
      <c r="J22" s="1238">
        <v>0</v>
      </c>
      <c r="K22" s="1238">
        <v>0</v>
      </c>
      <c r="L22" s="1238">
        <v>0</v>
      </c>
      <c r="M22" s="1238">
        <v>0</v>
      </c>
      <c r="N22" s="1238">
        <v>0</v>
      </c>
      <c r="O22" s="1238">
        <v>0</v>
      </c>
      <c r="P22" s="1238">
        <v>0</v>
      </c>
      <c r="Q22" s="772">
        <f t="shared" si="0"/>
        <v>0</v>
      </c>
      <c r="R22" s="773"/>
    </row>
    <row r="23" spans="1:19">
      <c r="A23" s="1212" t="s">
        <v>903</v>
      </c>
      <c r="B23" s="1237" t="s">
        <v>913</v>
      </c>
      <c r="C23" s="175"/>
      <c r="D23" s="1238">
        <v>0</v>
      </c>
      <c r="E23" s="1238">
        <v>0</v>
      </c>
      <c r="F23" s="1238">
        <v>0</v>
      </c>
      <c r="G23" s="1238">
        <v>0</v>
      </c>
      <c r="H23" s="1238">
        <v>0</v>
      </c>
      <c r="I23" s="1238">
        <v>0</v>
      </c>
      <c r="J23" s="1238">
        <v>0</v>
      </c>
      <c r="K23" s="1238">
        <v>0</v>
      </c>
      <c r="L23" s="1238">
        <v>0</v>
      </c>
      <c r="M23" s="1238">
        <v>0</v>
      </c>
      <c r="N23" s="1238">
        <v>0</v>
      </c>
      <c r="O23" s="1238">
        <v>0</v>
      </c>
      <c r="P23" s="1238">
        <v>0</v>
      </c>
      <c r="Q23" s="772">
        <f t="shared" si="0"/>
        <v>0</v>
      </c>
      <c r="R23" s="773"/>
    </row>
    <row r="24" spans="1:19">
      <c r="A24" s="1212" t="s">
        <v>906</v>
      </c>
      <c r="B24" s="1237" t="s">
        <v>913</v>
      </c>
      <c r="C24" s="175"/>
      <c r="D24" s="1403">
        <v>0</v>
      </c>
      <c r="E24" s="1403">
        <v>0</v>
      </c>
      <c r="F24" s="1403">
        <v>0</v>
      </c>
      <c r="G24" s="1403">
        <v>0</v>
      </c>
      <c r="H24" s="1403">
        <v>0</v>
      </c>
      <c r="I24" s="1403">
        <v>0</v>
      </c>
      <c r="J24" s="1403">
        <v>0</v>
      </c>
      <c r="K24" s="1403">
        <v>0</v>
      </c>
      <c r="L24" s="1403">
        <v>0</v>
      </c>
      <c r="M24" s="1403">
        <v>0</v>
      </c>
      <c r="N24" s="1403">
        <v>0</v>
      </c>
      <c r="O24" s="1403">
        <v>0</v>
      </c>
      <c r="P24" s="1403">
        <v>0</v>
      </c>
      <c r="Q24" s="1170">
        <f t="shared" si="0"/>
        <v>0</v>
      </c>
      <c r="R24" s="773"/>
    </row>
    <row r="25" spans="1:19" s="777" customFormat="1">
      <c r="A25" s="837">
        <f>+A7+1</f>
        <v>3</v>
      </c>
      <c r="B25" s="774"/>
      <c r="C25" s="774" t="str">
        <f>+"Total   Sum (Ln "&amp;A7&amp;" Subparts)"</f>
        <v>Total   Sum (Ln 2 Subparts)</v>
      </c>
      <c r="D25" s="775">
        <f>SUM(D8:D24)</f>
        <v>4848331.459999809</v>
      </c>
      <c r="E25" s="775">
        <f t="shared" ref="E25:P25" si="2">SUM(E8:E24)</f>
        <v>5489180.2299998486</v>
      </c>
      <c r="F25" s="775">
        <f t="shared" si="2"/>
        <v>6126342.8399997596</v>
      </c>
      <c r="G25" s="775">
        <f t="shared" si="2"/>
        <v>5683709.1200001976</v>
      </c>
      <c r="H25" s="775">
        <f t="shared" si="2"/>
        <v>6898526.1800003648</v>
      </c>
      <c r="I25" s="775">
        <f t="shared" si="2"/>
        <v>8603882.9400000926</v>
      </c>
      <c r="J25" s="775">
        <f t="shared" si="2"/>
        <v>10409914.160000151</v>
      </c>
      <c r="K25" s="775">
        <f t="shared" si="2"/>
        <v>12284914.669999875</v>
      </c>
      <c r="L25" s="775">
        <f t="shared" si="2"/>
        <v>12902080.749999903</v>
      </c>
      <c r="M25" s="775">
        <f t="shared" si="2"/>
        <v>12988715.779999698</v>
      </c>
      <c r="N25" s="775">
        <f t="shared" si="2"/>
        <v>13920375.019999761</v>
      </c>
      <c r="O25" s="775">
        <f t="shared" si="2"/>
        <v>15215928.329999695</v>
      </c>
      <c r="P25" s="775">
        <f t="shared" si="2"/>
        <v>-143000.35000026226</v>
      </c>
      <c r="Q25" s="775">
        <f>SUM(Q8:Q24)</f>
        <v>8863761.6253845282</v>
      </c>
      <c r="R25" s="776"/>
      <c r="S25" s="1849"/>
    </row>
    <row r="26" spans="1:19" s="777" customFormat="1">
      <c r="A26" s="1074"/>
      <c r="D26" s="974" t="s">
        <v>316</v>
      </c>
      <c r="P26" s="974" t="s">
        <v>316</v>
      </c>
      <c r="S26" s="1849"/>
    </row>
    <row r="27" spans="1:19">
      <c r="A27" s="778" t="s">
        <v>295</v>
      </c>
    </row>
    <row r="28" spans="1:19">
      <c r="A28" s="779" t="s">
        <v>170</v>
      </c>
      <c r="B28" s="1697" t="s">
        <v>927</v>
      </c>
      <c r="C28" s="1697"/>
      <c r="D28" s="1697"/>
      <c r="E28" s="1697"/>
      <c r="F28" s="1697"/>
      <c r="G28" s="1697"/>
      <c r="H28" s="1697"/>
      <c r="I28" s="1697"/>
      <c r="J28" s="1697"/>
      <c r="K28" s="1697"/>
      <c r="L28" s="1697"/>
      <c r="M28" s="1697"/>
      <c r="N28" s="1697"/>
      <c r="O28" s="1697"/>
      <c r="P28" s="1697"/>
      <c r="Q28" s="1697"/>
    </row>
    <row r="29" spans="1:19">
      <c r="A29" s="974" t="s">
        <v>316</v>
      </c>
      <c r="B29" s="777" t="s">
        <v>668</v>
      </c>
      <c r="C29" s="777"/>
    </row>
    <row r="30" spans="1:19">
      <c r="A30" s="974" t="s">
        <v>317</v>
      </c>
      <c r="B30" s="1706" t="s">
        <v>850</v>
      </c>
      <c r="C30" s="1706"/>
      <c r="D30" s="1706"/>
      <c r="E30" s="1706"/>
      <c r="F30" s="1706"/>
      <c r="G30" s="1706"/>
      <c r="H30" s="1706"/>
      <c r="I30" s="1706"/>
      <c r="J30" s="1706"/>
      <c r="K30" s="1706"/>
      <c r="L30" s="1706"/>
      <c r="M30" s="1706"/>
      <c r="N30" s="1706"/>
      <c r="O30" s="1706"/>
      <c r="P30" s="1706"/>
      <c r="Q30" s="1706"/>
    </row>
  </sheetData>
  <mergeCells count="6">
    <mergeCell ref="B30:Q30"/>
    <mergeCell ref="B28:Q28"/>
    <mergeCell ref="Q6:Q7"/>
    <mergeCell ref="A1:Q1"/>
    <mergeCell ref="A2:Q2"/>
    <mergeCell ref="A3:Q3"/>
  </mergeCells>
  <printOptions horizontalCentered="1"/>
  <pageMargins left="0.5" right="0.5" top="0.7" bottom="0.7" header="0.3" footer="0.5"/>
  <pageSetup scale="62" orientation="landscape" r:id="rId1"/>
  <headerFooter>
    <oddFooter>&amp;R&amp;A</oddFooter>
  </headerFooter>
  <ignoredErrors>
    <ignoredError sqref="D26:P26 A28:A3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V345"/>
  <sheetViews>
    <sheetView tabSelected="1" zoomScale="90" zoomScaleNormal="90" zoomScaleSheetLayoutView="90" workbookViewId="0">
      <selection activeCell="A9" sqref="A9"/>
    </sheetView>
  </sheetViews>
  <sheetFormatPr defaultColWidth="11.5546875" defaultRowHeight="15"/>
  <cols>
    <col min="1" max="1" width="7" style="2" customWidth="1"/>
    <col min="2" max="2" width="2.109375" style="2" customWidth="1"/>
    <col min="3" max="3" width="45" style="193" customWidth="1"/>
    <col min="4" max="5" width="19.5546875" style="246" customWidth="1"/>
    <col min="6" max="6" width="49.5546875" style="246" customWidth="1"/>
    <col min="7" max="8" width="17.5546875" style="246" bestFit="1" customWidth="1"/>
    <col min="9" max="9" width="11.5546875" style="246" customWidth="1"/>
    <col min="10" max="10" width="15.33203125" style="1594" customWidth="1"/>
    <col min="11" max="16384" width="11.5546875" style="246"/>
  </cols>
  <sheetData>
    <row r="1" spans="1:11" ht="23.25" customHeight="1">
      <c r="A1" s="1676" t="str">
        <f>+"ATTACHMENT O - "&amp;'MISO Cover'!C6</f>
        <v>ATTACHMENT O - Entergy Texas, Inc.</v>
      </c>
      <c r="B1" s="1676"/>
      <c r="C1" s="1676"/>
      <c r="D1" s="1676"/>
      <c r="E1" s="1676"/>
      <c r="F1" s="1676"/>
      <c r="G1" s="1676"/>
      <c r="H1" s="1676"/>
      <c r="J1" s="1802"/>
    </row>
    <row r="2" spans="1:11" ht="17.25" customHeight="1">
      <c r="A2" s="61"/>
      <c r="C2" s="2"/>
    </row>
    <row r="3" spans="1:11" s="1804" customFormat="1" ht="17.399999999999999">
      <c r="A3" s="1677" t="str">
        <f>+'MISO Cover'!K4</f>
        <v>For  the 12 Months Ended 12/31/2016</v>
      </c>
      <c r="B3" s="1677"/>
      <c r="C3" s="1677"/>
      <c r="D3" s="1677"/>
      <c r="E3" s="1677"/>
      <c r="F3" s="1677"/>
      <c r="G3" s="1677"/>
      <c r="H3" s="1677"/>
      <c r="I3" s="194"/>
      <c r="J3" s="1803"/>
      <c r="K3" s="427"/>
    </row>
    <row r="4" spans="1:11" ht="16.5" customHeight="1" thickBot="1">
      <c r="A4" s="78"/>
      <c r="C4" s="2"/>
      <c r="J4" s="1593"/>
    </row>
    <row r="5" spans="1:11" s="1" customFormat="1" ht="22.8">
      <c r="A5" s="445" t="s">
        <v>134</v>
      </c>
      <c r="B5" s="446"/>
      <c r="C5" s="446"/>
      <c r="D5" s="446"/>
      <c r="E5" s="447" t="s">
        <v>124</v>
      </c>
      <c r="F5" s="448" t="s">
        <v>275</v>
      </c>
      <c r="G5" s="442" t="s">
        <v>1101</v>
      </c>
      <c r="H5" s="842" t="s">
        <v>315</v>
      </c>
      <c r="J5" s="1593"/>
    </row>
    <row r="6" spans="1:11" s="33" customFormat="1" ht="15.6">
      <c r="A6" s="995" t="s">
        <v>67</v>
      </c>
      <c r="B6" s="440" t="s">
        <v>114</v>
      </c>
      <c r="C6" s="440" t="s">
        <v>55</v>
      </c>
      <c r="D6" s="440" t="s">
        <v>68</v>
      </c>
      <c r="E6" s="438" t="s">
        <v>66</v>
      </c>
      <c r="F6" s="439" t="s">
        <v>156</v>
      </c>
      <c r="G6" s="439" t="s">
        <v>69</v>
      </c>
      <c r="H6" s="1389" t="s">
        <v>169</v>
      </c>
      <c r="J6" s="1593"/>
    </row>
    <row r="7" spans="1:11">
      <c r="A7" s="71"/>
      <c r="B7" s="1262"/>
      <c r="C7" s="1263"/>
      <c r="D7" s="1263"/>
      <c r="E7" s="1264"/>
      <c r="F7" s="843"/>
      <c r="G7" s="1260"/>
      <c r="H7" s="1261"/>
    </row>
    <row r="8" spans="1:11" s="247" customFormat="1" ht="16.2" thickBot="1">
      <c r="A8" s="996" t="s">
        <v>86</v>
      </c>
      <c r="B8" s="227"/>
      <c r="C8" s="225"/>
      <c r="D8" s="225"/>
      <c r="E8" s="944" t="str">
        <f>"(Note "&amp;A$330&amp;")"</f>
        <v>(Note Y)</v>
      </c>
      <c r="F8" s="226"/>
      <c r="G8" s="443"/>
      <c r="H8" s="444"/>
      <c r="J8" s="1594"/>
    </row>
    <row r="9" spans="1:11" s="247" customFormat="1" ht="15.6">
      <c r="A9" s="95"/>
      <c r="B9" s="96"/>
      <c r="C9" s="96"/>
      <c r="D9" s="96"/>
      <c r="E9" s="97"/>
      <c r="F9" s="118"/>
      <c r="G9" s="98"/>
      <c r="H9" s="1000"/>
      <c r="J9" s="1594"/>
    </row>
    <row r="10" spans="1:11" ht="15.6">
      <c r="A10" s="99"/>
      <c r="B10" s="5" t="s">
        <v>87</v>
      </c>
      <c r="C10" s="9"/>
      <c r="D10" s="9"/>
      <c r="E10" s="101"/>
      <c r="F10" s="124"/>
      <c r="G10" s="65"/>
      <c r="H10" s="1001"/>
    </row>
    <row r="11" spans="1:11">
      <c r="A11" s="71">
        <v>1</v>
      </c>
      <c r="B11" s="31"/>
      <c r="C11" s="15" t="s">
        <v>63</v>
      </c>
      <c r="D11" s="14"/>
      <c r="E11" s="32"/>
      <c r="F11" s="124" t="str">
        <f>+"WP03 W&amp;S Line "&amp;'WP03 W&amp;S'!A10&amp;" Column "&amp;'WP03 W&amp;S'!C5</f>
        <v>WP03 W&amp;S Line 2 Column B</v>
      </c>
      <c r="G11" s="94">
        <f>'WP03 W&amp;S'!C10</f>
        <v>6371311.5300000068</v>
      </c>
      <c r="H11" s="1002">
        <f>'WP03 W&amp;S'!C10</f>
        <v>6371311.5300000068</v>
      </c>
    </row>
    <row r="12" spans="1:11">
      <c r="A12" s="71">
        <f>+A11+1</f>
        <v>2</v>
      </c>
      <c r="B12" s="31"/>
      <c r="C12" s="434" t="s">
        <v>498</v>
      </c>
      <c r="D12" s="12"/>
      <c r="E12" s="70" t="str">
        <f>"(Note "&amp;A$337&amp;")"</f>
        <v>(Note FF)</v>
      </c>
      <c r="F12" s="125" t="str">
        <f>+"WP02 Support Line "&amp;'WP02 Support'!A17&amp;" Column "&amp;'WP02 Support'!D5</f>
        <v>WP02 Support Line 5 Column C</v>
      </c>
      <c r="G12" s="621">
        <f>+'WP02 Support'!D17</f>
        <v>213048.08000000002</v>
      </c>
      <c r="H12" s="1003">
        <f>+'WP02 Support'!D17</f>
        <v>213048.08000000002</v>
      </c>
    </row>
    <row r="13" spans="1:11">
      <c r="A13" s="71">
        <f>+A12+1</f>
        <v>3</v>
      </c>
      <c r="B13" s="31"/>
      <c r="C13" s="15" t="s">
        <v>497</v>
      </c>
      <c r="D13" s="14"/>
      <c r="E13" s="32"/>
      <c r="F13" s="839" t="str">
        <f>"(Line "&amp;A11&amp;" + Line "&amp;A12&amp;")"</f>
        <v>(Line 1 + Line 2)</v>
      </c>
      <c r="G13" s="685">
        <f>+G11+G12</f>
        <v>6584359.6100000069</v>
      </c>
      <c r="H13" s="1002">
        <f>+H11+H12</f>
        <v>6584359.6100000069</v>
      </c>
    </row>
    <row r="14" spans="1:11">
      <c r="A14" s="71"/>
      <c r="B14" s="31"/>
      <c r="C14" s="15"/>
      <c r="D14" s="14"/>
      <c r="E14" s="32"/>
      <c r="F14" s="124"/>
      <c r="G14" s="426"/>
      <c r="H14" s="1002"/>
    </row>
    <row r="15" spans="1:11">
      <c r="A15" s="71">
        <f>+A13+1</f>
        <v>4</v>
      </c>
      <c r="B15" s="31"/>
      <c r="C15" s="15" t="s">
        <v>64</v>
      </c>
      <c r="D15" s="15"/>
      <c r="E15" s="32"/>
      <c r="F15" s="124" t="str">
        <f>+"WP03 W&amp;S Line "&amp;'WP03 W&amp;S'!A27&amp;" Column "&amp;'WP03 W&amp;S'!C5</f>
        <v>WP03 W&amp;S Line 5 Column B</v>
      </c>
      <c r="G15" s="94">
        <f>'WP03 W&amp;S'!C27</f>
        <v>63554198.409999996</v>
      </c>
      <c r="H15" s="1002">
        <f>'WP03 W&amp;S'!C27</f>
        <v>63554198.409999996</v>
      </c>
    </row>
    <row r="16" spans="1:11">
      <c r="A16" s="71">
        <f>+A15+1</f>
        <v>5</v>
      </c>
      <c r="B16" s="31"/>
      <c r="C16" s="434" t="s">
        <v>500</v>
      </c>
      <c r="D16" s="12"/>
      <c r="E16" s="70" t="str">
        <f>"(Note "&amp;A$337&amp;")"</f>
        <v>(Note FF)</v>
      </c>
      <c r="F16" s="125" t="str">
        <f>+"WP02 Support Line "&amp;'WP02 Support'!A26&amp;" Column "&amp;'WP02 Support'!D5</f>
        <v>WP02 Support Line 8 Column C</v>
      </c>
      <c r="G16" s="621">
        <f>+'WP02 Support'!D26</f>
        <v>213048.08000000002</v>
      </c>
      <c r="H16" s="1003">
        <f>+'WP02 Support'!D26</f>
        <v>213048.08000000002</v>
      </c>
    </row>
    <row r="17" spans="1:8" s="246" customFormat="1">
      <c r="A17" s="71">
        <f>+A16+1</f>
        <v>6</v>
      </c>
      <c r="B17" s="31"/>
      <c r="C17" s="15" t="s">
        <v>499</v>
      </c>
      <c r="D17" s="14"/>
      <c r="E17" s="32"/>
      <c r="F17" s="45" t="str">
        <f>"(Line "&amp;A15&amp;" + Line "&amp;A16&amp;")"</f>
        <v>(Line 4 + Line 5)</v>
      </c>
      <c r="G17" s="94">
        <f>+G15+G16</f>
        <v>63767246.489999995</v>
      </c>
      <c r="H17" s="1002">
        <f>+H15+H16</f>
        <v>63767246.489999995</v>
      </c>
    </row>
    <row r="18" spans="1:8" s="246" customFormat="1">
      <c r="A18" s="71"/>
      <c r="B18" s="31"/>
      <c r="C18" s="15"/>
      <c r="D18" s="15"/>
      <c r="E18" s="32"/>
      <c r="F18" s="124"/>
      <c r="G18" s="94"/>
      <c r="H18" s="1002"/>
    </row>
    <row r="19" spans="1:8" s="246" customFormat="1">
      <c r="A19" s="71">
        <f>+A17+1</f>
        <v>7</v>
      </c>
      <c r="B19" s="31"/>
      <c r="C19" s="15" t="s">
        <v>502</v>
      </c>
      <c r="D19" s="15"/>
      <c r="E19" s="32"/>
      <c r="F19" s="124" t="str">
        <f>+"WP03 W&amp;S Line "&amp;'WP03 W&amp;S'!A33&amp;" Column "&amp;'WP03 W&amp;S'!C5</f>
        <v>WP03 W&amp;S Line 8 Column B</v>
      </c>
      <c r="G19" s="94">
        <f>'WP03 W&amp;S'!C33</f>
        <v>20460146.109999996</v>
      </c>
      <c r="H19" s="1002">
        <f>'WP03 W&amp;S'!C33</f>
        <v>20460146.109999996</v>
      </c>
    </row>
    <row r="20" spans="1:8" s="246" customFormat="1">
      <c r="A20" s="71">
        <f>+A19+1</f>
        <v>8</v>
      </c>
      <c r="B20" s="31"/>
      <c r="C20" s="434" t="s">
        <v>496</v>
      </c>
      <c r="D20" s="12"/>
      <c r="E20" s="70" t="str">
        <f>"(Note "&amp;A$337&amp;")"</f>
        <v>(Note FF)</v>
      </c>
      <c r="F20" s="125" t="str">
        <f>+"WP02 Support Line "&amp;'WP02 Support'!A35&amp;" Column "&amp;'WP02 Support'!D5</f>
        <v>WP02 Support Line 11 Column C</v>
      </c>
      <c r="G20" s="621">
        <f>+'WP02 Support'!D35</f>
        <v>0</v>
      </c>
      <c r="H20" s="1003">
        <f>+'WP02 Support'!D35</f>
        <v>0</v>
      </c>
    </row>
    <row r="21" spans="1:8" s="246" customFormat="1">
      <c r="A21" s="71">
        <f>+A20+1</f>
        <v>9</v>
      </c>
      <c r="B21" s="31"/>
      <c r="C21" s="15" t="s">
        <v>755</v>
      </c>
      <c r="D21" s="14"/>
      <c r="E21" s="32"/>
      <c r="F21" s="45" t="str">
        <f>"(Line "&amp;A19&amp;" + Line "&amp;A20&amp;")"</f>
        <v>(Line 7 + Line 8)</v>
      </c>
      <c r="G21" s="94">
        <f>+G19+G20</f>
        <v>20460146.109999996</v>
      </c>
      <c r="H21" s="1002">
        <f>+H19+H20</f>
        <v>20460146.109999996</v>
      </c>
    </row>
    <row r="22" spans="1:8" s="246" customFormat="1">
      <c r="A22" s="71"/>
      <c r="B22" s="31"/>
      <c r="C22" s="15"/>
      <c r="D22" s="15"/>
      <c r="E22" s="32"/>
      <c r="F22" s="124"/>
      <c r="G22" s="94"/>
      <c r="H22" s="1002"/>
    </row>
    <row r="23" spans="1:8" s="246" customFormat="1">
      <c r="A23" s="71">
        <f>+A21+1</f>
        <v>10</v>
      </c>
      <c r="B23" s="31"/>
      <c r="C23" s="266" t="s">
        <v>501</v>
      </c>
      <c r="D23" s="267"/>
      <c r="E23" s="268"/>
      <c r="F23" s="843" t="str">
        <f>"(Line "&amp;A17&amp;" - Line "&amp;A21&amp;")"</f>
        <v>(Line 6 - Line 9)</v>
      </c>
      <c r="G23" s="845">
        <f>+G17-G21</f>
        <v>43307100.379999995</v>
      </c>
      <c r="H23" s="1004">
        <f>+H17-H21</f>
        <v>43307100.379999995</v>
      </c>
    </row>
    <row r="24" spans="1:8" s="246" customFormat="1" ht="16.2" thickBot="1">
      <c r="A24" s="71">
        <f>+A23+1</f>
        <v>11</v>
      </c>
      <c r="B24" s="3" t="s">
        <v>101</v>
      </c>
      <c r="C24" s="3"/>
      <c r="D24" s="19"/>
      <c r="E24" s="48"/>
      <c r="F24" s="844" t="str">
        <f>"(Line "&amp;A13&amp;" / Line "&amp;A23&amp;")"</f>
        <v>(Line 3 / Line 10)</v>
      </c>
      <c r="G24" s="1265">
        <f>IF(G23=0,0,+G13/G23)</f>
        <v>0.15203880084848126</v>
      </c>
      <c r="H24" s="1426">
        <f>IF(H23=0,0,+H13/H23)</f>
        <v>0.15203880084848126</v>
      </c>
    </row>
    <row r="25" spans="1:8" s="246" customFormat="1" ht="16.2" thickTop="1">
      <c r="A25" s="71"/>
      <c r="B25" s="31"/>
      <c r="C25" s="5"/>
      <c r="D25" s="9"/>
      <c r="E25" s="101"/>
      <c r="F25" s="130"/>
      <c r="G25" s="80"/>
      <c r="H25" s="1005"/>
    </row>
    <row r="26" spans="1:8" s="246" customFormat="1" ht="15.6">
      <c r="A26" s="104"/>
      <c r="B26" s="5" t="s">
        <v>109</v>
      </c>
      <c r="C26" s="9"/>
      <c r="D26" s="15"/>
      <c r="E26" s="15"/>
      <c r="F26" s="120"/>
      <c r="G26" s="81"/>
      <c r="H26" s="1006"/>
    </row>
    <row r="27" spans="1:8" s="246" customFormat="1">
      <c r="A27" s="71">
        <f>+A24+1</f>
        <v>12</v>
      </c>
      <c r="B27" s="15"/>
      <c r="C27" s="15" t="s">
        <v>296</v>
      </c>
      <c r="D27" s="428"/>
      <c r="E27" s="32" t="str">
        <f>"(Notes "&amp;A$307&amp;" "&amp;"&amp; "&amp;A$324&amp;")"</f>
        <v>(Notes B &amp; S)</v>
      </c>
      <c r="F27" s="124" t="str">
        <f>+"WP04 PIS Line "&amp;'WP04 PIS'!$A$23&amp;", Line "&amp;'WP04 PIS'!$A$21&amp;" Column "&amp;'WP04 PIS'!$L$5</f>
        <v>WP04 PIS Line 18, Line 16 Column K</v>
      </c>
      <c r="G27" s="94">
        <f>+'WP04 PIS'!L23</f>
        <v>4074713114.5384607</v>
      </c>
      <c r="H27" s="1002">
        <f>+'WP04 PIS'!L21</f>
        <v>4261296288.8999996</v>
      </c>
    </row>
    <row r="28" spans="1:8" s="246" customFormat="1">
      <c r="A28" s="71">
        <f>+A27+1</f>
        <v>13</v>
      </c>
      <c r="B28" s="9"/>
      <c r="C28" s="434" t="s">
        <v>297</v>
      </c>
      <c r="D28" s="62"/>
      <c r="E28" s="70" t="str">
        <f>"(Notes "&amp;A$307&amp;" "&amp;"&amp; "&amp;A$324&amp;")"</f>
        <v>(Notes B &amp; S)</v>
      </c>
      <c r="F28" s="125" t="str">
        <f>+"WP04 PIS Line "&amp;'WP04 PIS'!$A$42&amp;", Line "&amp;'WP04 PIS'!$A$40&amp;" Column "&amp;'WP04 PIS'!$L$5</f>
        <v>WP04 PIS Line 37, Line 35 Column K</v>
      </c>
      <c r="G28" s="621">
        <f>+'WP04 PIS'!L42</f>
        <v>1485701850.3846154</v>
      </c>
      <c r="H28" s="1003">
        <f>+'WP04 PIS'!L40</f>
        <v>1501107365</v>
      </c>
    </row>
    <row r="29" spans="1:8" s="246" customFormat="1">
      <c r="A29" s="71">
        <f>+A28+1</f>
        <v>14</v>
      </c>
      <c r="B29" s="15"/>
      <c r="C29" s="15" t="s">
        <v>298</v>
      </c>
      <c r="D29" s="15"/>
      <c r="E29" s="32"/>
      <c r="F29" s="124" t="str">
        <f>"(Line "&amp;A27&amp;" - Line "&amp;A28&amp;")"</f>
        <v>(Line 12 - Line 13)</v>
      </c>
      <c r="G29" s="94">
        <f>+G27-G28</f>
        <v>2589011264.1538453</v>
      </c>
      <c r="H29" s="1002">
        <f>+H27-H28</f>
        <v>2760188923.8999996</v>
      </c>
    </row>
    <row r="30" spans="1:8" s="246" customFormat="1">
      <c r="A30" s="104"/>
      <c r="B30" s="15"/>
      <c r="C30" s="15"/>
      <c r="D30" s="15"/>
      <c r="E30" s="32"/>
      <c r="F30" s="120"/>
      <c r="G30" s="612"/>
      <c r="H30" s="1007"/>
    </row>
    <row r="31" spans="1:8" s="246" customFormat="1">
      <c r="A31" s="71">
        <f>+A29+1</f>
        <v>15</v>
      </c>
      <c r="B31" s="15"/>
      <c r="C31" s="15" t="str">
        <f>+B50</f>
        <v>TOTAL Plant In Service - Transmission</v>
      </c>
      <c r="D31" s="428"/>
      <c r="E31" s="32"/>
      <c r="F31" s="125" t="str">
        <f>"(Line "&amp;A50&amp;")"</f>
        <v>(Line 27)</v>
      </c>
      <c r="G31" s="612">
        <f>+G50</f>
        <v>1164502136.4608157</v>
      </c>
      <c r="H31" s="1007">
        <f>+H50</f>
        <v>1321395247.8682313</v>
      </c>
    </row>
    <row r="32" spans="1:8" s="246" customFormat="1" ht="16.2" thickBot="1">
      <c r="A32" s="71">
        <f>+A31+1</f>
        <v>16</v>
      </c>
      <c r="B32" s="147" t="s">
        <v>56</v>
      </c>
      <c r="C32" s="147"/>
      <c r="D32" s="429"/>
      <c r="E32" s="430"/>
      <c r="F32" s="121" t="str">
        <f>"(Line "&amp;A31&amp;" / Line "&amp;A27&amp;")"</f>
        <v>(Line 15 / Line 12)</v>
      </c>
      <c r="G32" s="1265">
        <f>IF(G27=0,0,+G31/G27)</f>
        <v>0.28578751527461038</v>
      </c>
      <c r="H32" s="1426">
        <f>IF(H27=0,0,+H31/H27)</f>
        <v>0.31009231892892691</v>
      </c>
    </row>
    <row r="33" spans="1:10" ht="15.6" thickTop="1">
      <c r="A33" s="104"/>
      <c r="B33" s="9"/>
      <c r="C33" s="9"/>
      <c r="D33" s="9"/>
      <c r="E33" s="32"/>
      <c r="F33" s="120"/>
      <c r="G33" s="81"/>
      <c r="H33" s="1006"/>
    </row>
    <row r="34" spans="1:10">
      <c r="A34" s="71">
        <f>+A32+1</f>
        <v>17</v>
      </c>
      <c r="B34" s="31"/>
      <c r="C34" s="56" t="str">
        <f>+B63</f>
        <v>TOTAL Net Property, Plant &amp; Equipment - Transmission</v>
      </c>
      <c r="D34" s="9"/>
      <c r="E34" s="32" t="str">
        <f>"(Notes "&amp;A$307&amp;" &amp; "&amp;A$324&amp;")"</f>
        <v>(Notes B &amp; S)</v>
      </c>
      <c r="F34" s="125" t="str">
        <f>"(Line "&amp;A63&amp;")"</f>
        <v>(Line 35)</v>
      </c>
      <c r="G34" s="612">
        <f>+G63</f>
        <v>824138726.13460088</v>
      </c>
      <c r="H34" s="1007">
        <f>+H63</f>
        <v>970732572.82061076</v>
      </c>
    </row>
    <row r="35" spans="1:10" ht="16.2" thickBot="1">
      <c r="A35" s="71">
        <f>+A34+1</f>
        <v>18</v>
      </c>
      <c r="B35" s="147" t="s">
        <v>106</v>
      </c>
      <c r="C35" s="147"/>
      <c r="D35" s="429"/>
      <c r="E35" s="430"/>
      <c r="F35" s="121" t="str">
        <f>"(Line "&amp;A34&amp;" / Line "&amp;A29&amp;")"</f>
        <v>(Line 17 / Line 14)</v>
      </c>
      <c r="G35" s="1265">
        <f>IF(G29=0,0,+G34/G29)</f>
        <v>0.31832180011930167</v>
      </c>
      <c r="H35" s="1426">
        <f>IF(H29=0,0,+H34/H29)</f>
        <v>0.35169062683181029</v>
      </c>
    </row>
    <row r="36" spans="1:10" ht="16.2" thickTop="1">
      <c r="A36" s="114"/>
      <c r="B36" s="31"/>
      <c r="C36" s="5"/>
      <c r="D36" s="9"/>
      <c r="E36" s="101"/>
      <c r="F36" s="130"/>
      <c r="G36" s="80"/>
      <c r="H36" s="1008"/>
    </row>
    <row r="37" spans="1:10" s="247" customFormat="1" ht="15.6">
      <c r="A37" s="997" t="s">
        <v>105</v>
      </c>
      <c r="B37" s="229"/>
      <c r="C37" s="230"/>
      <c r="D37" s="230"/>
      <c r="E37" s="231"/>
      <c r="F37" s="232"/>
      <c r="G37" s="233"/>
      <c r="H37" s="1009"/>
      <c r="J37" s="1594"/>
    </row>
    <row r="38" spans="1:10" s="247" customFormat="1" ht="15.6">
      <c r="A38" s="104"/>
      <c r="B38" s="46"/>
      <c r="C38" s="9"/>
      <c r="D38" s="9"/>
      <c r="E38" s="47"/>
      <c r="F38" s="120"/>
      <c r="G38" s="82"/>
      <c r="H38" s="1010"/>
      <c r="J38" s="1594"/>
    </row>
    <row r="39" spans="1:10" ht="15.6">
      <c r="A39" s="104"/>
      <c r="B39" s="5" t="str">
        <f>"Plant In Service "</f>
        <v xml:space="preserve">Plant In Service </v>
      </c>
      <c r="C39" s="9"/>
      <c r="D39" s="9"/>
      <c r="E39" s="101"/>
      <c r="F39" s="124"/>
      <c r="G39" s="65"/>
      <c r="H39" s="1011"/>
    </row>
    <row r="40" spans="1:10" ht="15.6">
      <c r="A40" s="104">
        <f>+A35+1</f>
        <v>19</v>
      </c>
      <c r="B40" s="5"/>
      <c r="C40" s="9" t="s">
        <v>475</v>
      </c>
      <c r="D40" s="9"/>
      <c r="E40" s="32" t="str">
        <f>"(Notes "&amp;A$307&amp;" &amp; "&amp;A$324&amp;")"</f>
        <v>(Notes B &amp; S)</v>
      </c>
      <c r="F40" s="124" t="str">
        <f>+"WP04 PIS Line "&amp;'WP04 PIS'!$A$23&amp;", Line "&amp;'WP04 PIS'!$A$21&amp;" Column "&amp;'WP04 PIS'!$G$5</f>
        <v>WP04 PIS Line 18, Line 16 Column F</v>
      </c>
      <c r="G40" s="94">
        <f>+'WP04 PIS'!G23</f>
        <v>1128203259.9215386</v>
      </c>
      <c r="H40" s="1002">
        <f>+'WP04 PIS'!G21</f>
        <v>1254670218.1099999</v>
      </c>
      <c r="I40" s="935"/>
    </row>
    <row r="41" spans="1:10" ht="15.6">
      <c r="A41" s="104">
        <f>+A40+1</f>
        <v>20</v>
      </c>
      <c r="B41" s="5"/>
      <c r="C41" s="62" t="s">
        <v>476</v>
      </c>
      <c r="D41" s="62"/>
      <c r="E41" s="936" t="str">
        <f>"(Notes "&amp;A$307&amp;" &amp; "&amp;A$324&amp;")"</f>
        <v>(Notes B &amp; S)</v>
      </c>
      <c r="F41" s="245" t="str">
        <f>+"WP05 CapAds Line "&amp;'WP05 CapAds'!$A$22&amp;" Column "&amp;'WP05 CapAds'!$D$6</f>
        <v>WP05 CapAds Line 16 Column C</v>
      </c>
      <c r="G41" s="621"/>
      <c r="H41" s="1003">
        <f>+'WP05 CapAds'!D22</f>
        <v>28996035.407335777</v>
      </c>
    </row>
    <row r="42" spans="1:10">
      <c r="A42" s="104">
        <f>+A41+1</f>
        <v>21</v>
      </c>
      <c r="B42" s="31"/>
      <c r="C42" s="56" t="s">
        <v>38</v>
      </c>
      <c r="D42" s="9"/>
      <c r="E42" s="1805"/>
      <c r="F42" s="124" t="str">
        <f>"(Line"&amp;A40&amp;" + Line "&amp;A41&amp;")"</f>
        <v>(Line19 + Line 20)</v>
      </c>
      <c r="G42" s="94">
        <f>+G40+G41</f>
        <v>1128203259.9215386</v>
      </c>
      <c r="H42" s="1002">
        <f>+H40+H41</f>
        <v>1283666253.5173357</v>
      </c>
    </row>
    <row r="43" spans="1:10" ht="15.6">
      <c r="A43" s="71"/>
      <c r="B43" s="31"/>
      <c r="C43" s="5"/>
      <c r="D43" s="9"/>
      <c r="E43" s="32"/>
      <c r="F43" s="124"/>
      <c r="G43" s="68"/>
      <c r="H43" s="1012"/>
    </row>
    <row r="44" spans="1:10">
      <c r="A44" s="71">
        <f>+A42+1</f>
        <v>22</v>
      </c>
      <c r="B44" s="31"/>
      <c r="C44" s="56" t="s">
        <v>191</v>
      </c>
      <c r="D44" s="9"/>
      <c r="E44" s="32" t="str">
        <f>"(Notes "&amp;A$307&amp;" &amp; "&amp;A$324&amp;")"</f>
        <v>(Notes B &amp; S)</v>
      </c>
      <c r="F44" s="124" t="str">
        <f>+"WP04 PIS Line "&amp;'WP04 PIS'!$A$23&amp;", Line "&amp;'WP04 PIS'!$A$21&amp;" Column "&amp;'WP04 PIS'!$K$5</f>
        <v>WP04 PIS Line 18, Line 16 Column J</v>
      </c>
      <c r="G44" s="94">
        <f>+'WP04 PIS'!K23</f>
        <v>109189912.20999998</v>
      </c>
      <c r="H44" s="1002">
        <f>+'WP04 PIS'!K21</f>
        <v>112617251.25</v>
      </c>
    </row>
    <row r="45" spans="1:10">
      <c r="A45" s="71">
        <f>+A44+1</f>
        <v>23</v>
      </c>
      <c r="B45" s="31"/>
      <c r="C45" s="56" t="s">
        <v>258</v>
      </c>
      <c r="D45" s="9"/>
      <c r="E45" s="32" t="str">
        <f>"(Notes "&amp;A$307&amp;" &amp; "&amp;A$324&amp;")"</f>
        <v>(Notes B &amp; S)</v>
      </c>
      <c r="F45" s="125" t="str">
        <f>+"WP04 PIS Line "&amp;'WP04 PIS'!$A$23&amp;", Line "&amp;'WP04 PIS'!$A$21&amp;" Column "&amp;'WP04 PIS'!$C$5</f>
        <v>WP04 PIS Line 18, Line 16 Column B</v>
      </c>
      <c r="G45" s="621">
        <f>+'WP04 PIS'!C23</f>
        <v>129557541.31307691</v>
      </c>
      <c r="H45" s="1003">
        <f>+'WP04 PIS'!C21</f>
        <v>135536470.96000001</v>
      </c>
    </row>
    <row r="46" spans="1:10">
      <c r="A46" s="71">
        <f>+A45+1</f>
        <v>24</v>
      </c>
      <c r="B46" s="31"/>
      <c r="C46" s="266" t="s">
        <v>257</v>
      </c>
      <c r="D46" s="269"/>
      <c r="E46" s="270"/>
      <c r="F46" s="124" t="str">
        <f>"(Line"&amp;A44&amp;" + Line "&amp;A45&amp;")"</f>
        <v>(Line22 + Line 23)</v>
      </c>
      <c r="G46" s="94">
        <f>SUM(G44:G45)</f>
        <v>238747453.52307689</v>
      </c>
      <c r="H46" s="1002">
        <f>SUM(H44:H45)</f>
        <v>248153722.21000001</v>
      </c>
    </row>
    <row r="47" spans="1:10">
      <c r="A47" s="71">
        <f>+A46+1</f>
        <v>25</v>
      </c>
      <c r="B47" s="31"/>
      <c r="C47" s="53" t="s">
        <v>110</v>
      </c>
      <c r="D47" s="56"/>
      <c r="E47" s="101"/>
      <c r="F47" s="125" t="str">
        <f>"(Line "&amp;A$24&amp;")"</f>
        <v>(Line 11)</v>
      </c>
      <c r="G47" s="76">
        <f>+G24</f>
        <v>0.15203880084848126</v>
      </c>
      <c r="H47" s="1013">
        <f>H$24</f>
        <v>0.15203880084848126</v>
      </c>
    </row>
    <row r="48" spans="1:10">
      <c r="A48" s="71">
        <f>+A47+1</f>
        <v>26</v>
      </c>
      <c r="B48" s="15"/>
      <c r="C48" s="266" t="s">
        <v>259</v>
      </c>
      <c r="D48" s="272"/>
      <c r="E48" s="268"/>
      <c r="F48" s="124" t="str">
        <f>"(Line "&amp;A46&amp;" * Line "&amp;A47&amp;")"</f>
        <v>(Line 24 * Line 25)</v>
      </c>
      <c r="G48" s="94">
        <f>+G46*G47</f>
        <v>36298876.539277121</v>
      </c>
      <c r="H48" s="1002">
        <f>+H46*H47</f>
        <v>37728994.350895531</v>
      </c>
    </row>
    <row r="49" spans="1:10" ht="15.6">
      <c r="A49" s="104"/>
      <c r="B49" s="15"/>
      <c r="C49" s="5"/>
      <c r="D49" s="15"/>
      <c r="E49" s="32"/>
      <c r="F49" s="120"/>
      <c r="G49" s="94"/>
      <c r="H49" s="1002"/>
    </row>
    <row r="50" spans="1:10" s="1" customFormat="1" ht="16.2" thickBot="1">
      <c r="A50" s="71">
        <f>+A48+1</f>
        <v>27</v>
      </c>
      <c r="B50" s="147" t="s">
        <v>299</v>
      </c>
      <c r="C50" s="147"/>
      <c r="D50" s="147"/>
      <c r="E50" s="148"/>
      <c r="F50" s="431" t="str">
        <f>"(Line "&amp;A42&amp;" + Line "&amp;A48&amp;")"</f>
        <v>(Line 21 + Line 26)</v>
      </c>
      <c r="G50" s="556">
        <f>+G48+G42</f>
        <v>1164502136.4608157</v>
      </c>
      <c r="H50" s="1014">
        <f>+H48+H42</f>
        <v>1321395247.8682313</v>
      </c>
      <c r="J50" s="1593"/>
    </row>
    <row r="51" spans="1:10" ht="15.6" thickTop="1">
      <c r="A51" s="104"/>
      <c r="B51" s="15"/>
      <c r="C51" s="15"/>
      <c r="D51" s="15"/>
      <c r="E51" s="32"/>
      <c r="F51" s="120"/>
      <c r="G51" s="612"/>
      <c r="H51" s="1007"/>
    </row>
    <row r="52" spans="1:10" ht="15.6">
      <c r="A52" s="71"/>
      <c r="B52" s="5" t="s">
        <v>83</v>
      </c>
      <c r="C52" s="5"/>
      <c r="D52" s="45"/>
      <c r="E52" s="101"/>
      <c r="F52" s="124"/>
      <c r="G52" s="94"/>
      <c r="H52" s="1002"/>
    </row>
    <row r="53" spans="1:10" s="247" customFormat="1">
      <c r="A53" s="71">
        <f>+A50+1</f>
        <v>28</v>
      </c>
      <c r="B53" s="31"/>
      <c r="C53" s="56" t="s">
        <v>164</v>
      </c>
      <c r="D53" s="32"/>
      <c r="E53" s="32" t="str">
        <f>"(Notes "&amp;A$307&amp;" &amp; "&amp;A$324&amp;")"</f>
        <v>(Notes B &amp; S)</v>
      </c>
      <c r="F53" s="124" t="str">
        <f>+"WP04 PIS Line "&amp;'WP04 PIS'!$A$42&amp;", Line "&amp;'WP04 PIS'!$A$40&amp;" Column "&amp;'WP04 PIS'!$G$5</f>
        <v>WP04 PIS Line 37, Line 35 Column F</v>
      </c>
      <c r="G53" s="684">
        <f>+'WP04 PIS'!G42</f>
        <v>317805719.61538464</v>
      </c>
      <c r="H53" s="1003">
        <f>+'WP04 PIS'!G40</f>
        <v>326837777</v>
      </c>
      <c r="J53" s="1594"/>
    </row>
    <row r="54" spans="1:10" s="247" customFormat="1">
      <c r="A54" s="71"/>
      <c r="B54" s="31"/>
      <c r="C54" s="56"/>
      <c r="D54" s="32"/>
      <c r="E54" s="15"/>
      <c r="F54" s="124"/>
      <c r="G54" s="685"/>
      <c r="H54" s="1002"/>
      <c r="J54" s="1594"/>
    </row>
    <row r="55" spans="1:10">
      <c r="A55" s="71">
        <f>+A53+1</f>
        <v>29</v>
      </c>
      <c r="B55" s="31"/>
      <c r="C55" s="56" t="s">
        <v>132</v>
      </c>
      <c r="D55" s="9"/>
      <c r="E55" s="32" t="str">
        <f>"(Notes "&amp;A$307&amp;", "&amp;A$324&amp;" &amp; "&amp;A$343&amp;")"</f>
        <v>(Notes B, S &amp; LL)</v>
      </c>
      <c r="F55" s="124" t="str">
        <f>+"WP04 PIS Line "&amp;'WP04 PIS'!$A$42&amp;", Line "&amp;'WP04 PIS'!$A$40&amp;" Column "&amp;'WP04 PIS'!$K$5</f>
        <v>WP04 PIS Line 37, Line 35 Column J</v>
      </c>
      <c r="G55" s="94">
        <f>+'WP04 PIS'!K42</f>
        <v>47216472.692307696</v>
      </c>
      <c r="H55" s="1002">
        <f>+'WP04 PIS'!K40</f>
        <v>52303551</v>
      </c>
      <c r="J55" s="426" t="s">
        <v>1470</v>
      </c>
    </row>
    <row r="56" spans="1:10">
      <c r="A56" s="71">
        <f>+A55+1</f>
        <v>30</v>
      </c>
      <c r="B56" s="31"/>
      <c r="C56" s="58" t="s">
        <v>163</v>
      </c>
      <c r="D56" s="62"/>
      <c r="E56" s="70" t="str">
        <f>"(Notes "&amp;A$307&amp;" &amp; "&amp;A$324&amp;")"</f>
        <v>(Notes B &amp; S)</v>
      </c>
      <c r="F56" s="125" t="str">
        <f>+"WP04 PIS Line "&amp;'WP04 PIS'!$A$42&amp;", Line "&amp;'WP04 PIS'!$A$40&amp;" Column "&amp;'WP04 PIS'!$C$5</f>
        <v>WP04 PIS Line 37, Line 35 Column B</v>
      </c>
      <c r="G56" s="621">
        <f>+'WP04 PIS'!C42</f>
        <v>101151513.53846154</v>
      </c>
      <c r="H56" s="1003">
        <f>+'WP04 PIS'!C40</f>
        <v>104399198</v>
      </c>
    </row>
    <row r="57" spans="1:10">
      <c r="A57" s="71">
        <f>+A56+1</f>
        <v>31</v>
      </c>
      <c r="B57" s="31"/>
      <c r="C57" s="56" t="s">
        <v>469</v>
      </c>
      <c r="D57" s="9"/>
      <c r="E57" s="101"/>
      <c r="F57" s="124" t="str">
        <f>"(Sum Line "&amp;A55&amp;" + Line "&amp;A56&amp;")"</f>
        <v>(Sum Line 29 + Line 30)</v>
      </c>
      <c r="G57" s="94">
        <f>SUM(G55:G56)</f>
        <v>148367986.23076922</v>
      </c>
      <c r="H57" s="1002">
        <f>SUM(H55:H56)</f>
        <v>156702749</v>
      </c>
    </row>
    <row r="58" spans="1:10">
      <c r="A58" s="71">
        <f>+A57+1</f>
        <v>32</v>
      </c>
      <c r="B58" s="31"/>
      <c r="C58" s="56" t="str">
        <f>+C47</f>
        <v>Wage &amp; Salary Allocation Factor</v>
      </c>
      <c r="D58" s="9"/>
      <c r="E58" s="101"/>
      <c r="F58" s="125" t="str">
        <f>"(Line "&amp;A$24&amp;")"</f>
        <v>(Line 11)</v>
      </c>
      <c r="G58" s="76">
        <f>+G24</f>
        <v>0.15203880084848126</v>
      </c>
      <c r="H58" s="1013">
        <f>H$24</f>
        <v>0.15203880084848126</v>
      </c>
    </row>
    <row r="59" spans="1:10">
      <c r="A59" s="71">
        <f>+A58+1</f>
        <v>33</v>
      </c>
      <c r="B59" s="15"/>
      <c r="C59" s="266" t="s">
        <v>260</v>
      </c>
      <c r="D59" s="272"/>
      <c r="E59" s="270"/>
      <c r="F59" s="124" t="str">
        <f>"(Line "&amp;A57&amp;" * Line "&amp;A58&amp;")"</f>
        <v>(Line 31 * Line 32)</v>
      </c>
      <c r="G59" s="94">
        <f>+G58*G57</f>
        <v>22557690.71083013</v>
      </c>
      <c r="H59" s="1002">
        <f>+H58*H57</f>
        <v>23824898.047620546</v>
      </c>
    </row>
    <row r="60" spans="1:10">
      <c r="A60" s="104"/>
      <c r="B60" s="15"/>
      <c r="C60" s="15"/>
      <c r="D60" s="15"/>
      <c r="E60" s="32"/>
      <c r="F60" s="120"/>
      <c r="G60" s="612"/>
      <c r="H60" s="1007"/>
    </row>
    <row r="61" spans="1:10" ht="16.2" thickBot="1">
      <c r="A61" s="71">
        <f>+A59+1</f>
        <v>34</v>
      </c>
      <c r="B61" s="147" t="s">
        <v>300</v>
      </c>
      <c r="C61" s="147"/>
      <c r="D61" s="147"/>
      <c r="E61" s="148"/>
      <c r="F61" s="431" t="str">
        <f>"(Line "&amp;A53&amp;" + Line "&amp;A59&amp;")"</f>
        <v>(Line 28 + Line 33)</v>
      </c>
      <c r="G61" s="556">
        <f>+G59+G53</f>
        <v>340363410.32621479</v>
      </c>
      <c r="H61" s="1014">
        <f>+H59+H53</f>
        <v>350662675.04762053</v>
      </c>
    </row>
    <row r="62" spans="1:10" ht="15.6" thickTop="1">
      <c r="A62" s="104"/>
      <c r="B62" s="15"/>
      <c r="C62" s="15"/>
      <c r="D62" s="15"/>
      <c r="E62" s="32"/>
      <c r="F62" s="120"/>
      <c r="G62" s="612"/>
      <c r="H62" s="1007"/>
    </row>
    <row r="63" spans="1:10" ht="16.2" thickBot="1">
      <c r="A63" s="71">
        <f>+A61+1</f>
        <v>35</v>
      </c>
      <c r="B63" s="147" t="s">
        <v>301</v>
      </c>
      <c r="C63" s="147"/>
      <c r="D63" s="147"/>
      <c r="E63" s="148"/>
      <c r="F63" s="431" t="str">
        <f>"(Line "&amp;A50&amp;" - Line "&amp;A61&amp;")"</f>
        <v>(Line 27 - Line 34)</v>
      </c>
      <c r="G63" s="556">
        <f>+G50-G61</f>
        <v>824138726.13460088</v>
      </c>
      <c r="H63" s="1014">
        <f>+H50-H61</f>
        <v>970732572.82061076</v>
      </c>
    </row>
    <row r="64" spans="1:10" ht="15.6" thickTop="1">
      <c r="A64" s="104"/>
      <c r="B64" s="15"/>
      <c r="C64" s="15"/>
      <c r="D64" s="15"/>
      <c r="E64" s="32"/>
      <c r="F64" s="120"/>
      <c r="G64" s="64"/>
      <c r="H64" s="1015"/>
    </row>
    <row r="65" spans="1:16" ht="15.6">
      <c r="A65" s="997" t="s">
        <v>413</v>
      </c>
      <c r="B65" s="229"/>
      <c r="C65" s="230"/>
      <c r="D65" s="230"/>
      <c r="E65" s="231"/>
      <c r="F65" s="232"/>
      <c r="G65" s="233"/>
      <c r="H65" s="1009"/>
    </row>
    <row r="66" spans="1:16" ht="15.6">
      <c r="A66" s="1806"/>
      <c r="B66" s="1807"/>
      <c r="C66" s="1807"/>
      <c r="D66" s="1807"/>
      <c r="E66" s="26"/>
      <c r="F66" s="123"/>
      <c r="G66" s="79"/>
      <c r="H66" s="1006"/>
    </row>
    <row r="67" spans="1:16" ht="15.6">
      <c r="A67" s="102"/>
      <c r="B67" s="5" t="s">
        <v>145</v>
      </c>
      <c r="C67" s="1808"/>
      <c r="D67" s="1808"/>
      <c r="E67" s="433" t="str">
        <f>"(Note "&amp;A$334&amp;")"</f>
        <v>(Note CC)</v>
      </c>
      <c r="F67" s="120"/>
      <c r="G67" s="79"/>
      <c r="H67" s="1006"/>
    </row>
    <row r="68" spans="1:16" ht="15.6">
      <c r="A68" s="102">
        <f>+A63+1</f>
        <v>36</v>
      </c>
      <c r="B68" s="1807"/>
      <c r="C68" s="9" t="s">
        <v>136</v>
      </c>
      <c r="D68" s="9"/>
      <c r="E68" s="32" t="str">
        <f>"(Note "&amp;A$341&amp;")"</f>
        <v>(Note JJ)</v>
      </c>
      <c r="F68" s="120" t="str">
        <f>+"WP06 ADIT Line "&amp;'WP06 ADIT'!$A$13&amp;" Columns "&amp;'WP06 ADIT'!$G$5&amp;", "&amp;'WP06 ADIT'!$K$5</f>
        <v>WP06 ADIT Line 7 Columns F, J</v>
      </c>
      <c r="G68" s="612">
        <f>+'WP06 ADIT'!G$13</f>
        <v>-6285836.5150000006</v>
      </c>
      <c r="H68" s="1007">
        <f>+'WP06 ADIT'!K13</f>
        <v>-6196400.2400000002</v>
      </c>
    </row>
    <row r="69" spans="1:16" ht="15.6">
      <c r="A69" s="102">
        <f t="shared" ref="A69:A75" si="0">+A68+1</f>
        <v>37</v>
      </c>
      <c r="B69" s="1807"/>
      <c r="C69" s="9" t="s">
        <v>159</v>
      </c>
      <c r="D69" s="9"/>
      <c r="E69" s="32" t="str">
        <f>"(Note "&amp;A$341&amp;")"</f>
        <v>(Note JJ)</v>
      </c>
      <c r="F69" s="120" t="str">
        <f>+"WP06 ADIT Line "&amp;'WP06 ADIT'!$A$13&amp;" Columns "&amp;'WP06 ADIT'!$H$5&amp;", "&amp;'WP06 ADIT'!$L$5</f>
        <v>WP06 ADIT Line 7 Columns G, K</v>
      </c>
      <c r="G69" s="612">
        <f>+'WP06 ADIT'!H13</f>
        <v>-730379914.35899985</v>
      </c>
      <c r="H69" s="1007">
        <f>+'WP06 ADIT'!L13</f>
        <v>-757543208.86999989</v>
      </c>
    </row>
    <row r="70" spans="1:16" ht="15.6">
      <c r="A70" s="102">
        <f t="shared" si="0"/>
        <v>38</v>
      </c>
      <c r="B70" s="1807"/>
      <c r="C70" s="53" t="str">
        <f>+B32</f>
        <v>Gross Plant Allocator</v>
      </c>
      <c r="D70" s="14"/>
      <c r="E70" s="31"/>
      <c r="F70" s="124" t="str">
        <f>"(Line "&amp;A$32&amp;")"</f>
        <v>(Line 16)</v>
      </c>
      <c r="G70" s="86">
        <f>+G$32</f>
        <v>0.28578751527461038</v>
      </c>
      <c r="H70" s="1016">
        <f>+H$32</f>
        <v>0.31009231892892691</v>
      </c>
    </row>
    <row r="71" spans="1:16" ht="15.6">
      <c r="A71" s="102">
        <f t="shared" si="0"/>
        <v>39</v>
      </c>
      <c r="B71" s="1807"/>
      <c r="C71" s="53" t="str">
        <f>+"Total Transmission Allocated "&amp;C69</f>
        <v>Total Transmission Allocated Plant</v>
      </c>
      <c r="D71" s="9"/>
      <c r="E71" s="32"/>
      <c r="F71" s="124" t="str">
        <f>"(Line "&amp;A69&amp;" * Line "&amp;A70&amp;")"</f>
        <v>(Line 37 * Line 38)</v>
      </c>
      <c r="G71" s="594">
        <f>+G69*G70</f>
        <v>-208733460.93114129</v>
      </c>
      <c r="H71" s="1017">
        <f>+H69*H70</f>
        <v>-234908330.32735869</v>
      </c>
    </row>
    <row r="72" spans="1:16" ht="15.6">
      <c r="A72" s="102">
        <f t="shared" si="0"/>
        <v>40</v>
      </c>
      <c r="B72" s="1807"/>
      <c r="C72" s="9" t="s">
        <v>144</v>
      </c>
      <c r="D72" s="9"/>
      <c r="E72" s="32" t="str">
        <f>"(Note "&amp;A$341&amp;")"</f>
        <v>(Note JJ)</v>
      </c>
      <c r="F72" s="120" t="str">
        <f>+"WP06 ADIT Line "&amp;'WP06 ADIT'!$A$13&amp;" Columns "&amp;'WP06 ADIT'!$I$5&amp;", "&amp;'WP06 ADIT'!$M$5</f>
        <v>WP06 ADIT Line 7 Columns H, L</v>
      </c>
      <c r="G72" s="612">
        <f>+'WP06 ADIT'!I13</f>
        <v>-33608634.855000004</v>
      </c>
      <c r="H72" s="1007">
        <f>+'WP06 ADIT'!M13</f>
        <v>-36985692.870000005</v>
      </c>
    </row>
    <row r="73" spans="1:16" ht="15.6">
      <c r="A73" s="102">
        <f t="shared" si="0"/>
        <v>41</v>
      </c>
      <c r="B73" s="1807"/>
      <c r="C73" s="9" t="s">
        <v>110</v>
      </c>
      <c r="D73" s="9"/>
      <c r="E73" s="47"/>
      <c r="F73" s="120" t="str">
        <f>"(Line "&amp;A$24&amp;")"</f>
        <v>(Line 11)</v>
      </c>
      <c r="G73" s="237">
        <f>+G$24</f>
        <v>0.15203880084848126</v>
      </c>
      <c r="H73" s="1013">
        <f>H$24</f>
        <v>0.15203880084848126</v>
      </c>
    </row>
    <row r="74" spans="1:16">
      <c r="A74" s="102">
        <f t="shared" si="0"/>
        <v>42</v>
      </c>
      <c r="B74" s="105"/>
      <c r="C74" s="23" t="str">
        <f>+"Total Transmission Allocated "&amp;C72</f>
        <v>Total Transmission Allocated Labor</v>
      </c>
      <c r="D74" s="62"/>
      <c r="E74" s="70"/>
      <c r="F74" s="125" t="str">
        <f>"(Line "&amp;A72&amp;" * Line "&amp;A73&amp;")"</f>
        <v>(Line 40 * Line 41)</v>
      </c>
      <c r="G74" s="846">
        <f>+G72*G73</f>
        <v>-5109816.5415086718</v>
      </c>
      <c r="H74" s="1018">
        <f>+H72*H73</f>
        <v>-5623260.3925050236</v>
      </c>
      <c r="K74" s="247"/>
    </row>
    <row r="75" spans="1:16" s="247" customFormat="1">
      <c r="A75" s="102">
        <f t="shared" si="0"/>
        <v>43</v>
      </c>
      <c r="B75" s="9" t="s">
        <v>931</v>
      </c>
      <c r="C75" s="9"/>
      <c r="D75" s="15"/>
      <c r="F75" s="124" t="str">
        <f>"(Line "&amp;A68&amp;" + Line "&amp;A71&amp;" + Line "&amp;A74&amp;")"</f>
        <v>(Line 36 + Line 39 + Line 42)</v>
      </c>
      <c r="G75" s="94">
        <f>+G68+G71+G74</f>
        <v>-220129113.98764998</v>
      </c>
      <c r="H75" s="1002">
        <f>+H68+H71+H74</f>
        <v>-246727990.95986372</v>
      </c>
      <c r="J75" s="1594"/>
    </row>
    <row r="76" spans="1:16">
      <c r="A76" s="104"/>
      <c r="B76" s="15"/>
      <c r="C76" s="53"/>
      <c r="D76" s="15"/>
      <c r="E76" s="32"/>
      <c r="F76" s="120"/>
      <c r="G76" s="84"/>
      <c r="H76" s="1019"/>
      <c r="K76" s="247"/>
    </row>
    <row r="77" spans="1:16">
      <c r="A77" s="104">
        <f>+A75+1</f>
        <v>44</v>
      </c>
      <c r="B77" s="15" t="s">
        <v>492</v>
      </c>
      <c r="C77" s="53"/>
      <c r="D77" s="15"/>
      <c r="E77" s="32" t="str">
        <f>"(Note "&amp;A314&amp;")"</f>
        <v>(Note I)</v>
      </c>
      <c r="F77" s="126" t="s">
        <v>669</v>
      </c>
      <c r="G77" s="196">
        <v>0</v>
      </c>
      <c r="H77" s="1020">
        <v>0</v>
      </c>
      <c r="J77" s="1594" t="s">
        <v>1542</v>
      </c>
      <c r="K77" s="247"/>
      <c r="L77" s="247"/>
      <c r="M77" s="247"/>
      <c r="N77" s="247"/>
      <c r="O77" s="247"/>
      <c r="P77" s="247"/>
    </row>
    <row r="78" spans="1:16">
      <c r="A78" s="104"/>
      <c r="B78" s="15"/>
      <c r="C78" s="53"/>
      <c r="D78" s="15"/>
      <c r="E78" s="32"/>
      <c r="F78" s="120"/>
      <c r="G78" s="84"/>
      <c r="H78" s="1019"/>
      <c r="K78" s="247"/>
    </row>
    <row r="79" spans="1:16" ht="15.6">
      <c r="A79" s="71"/>
      <c r="B79" s="33" t="s">
        <v>703</v>
      </c>
      <c r="C79" s="9"/>
      <c r="D79" s="9"/>
      <c r="E79" s="32"/>
      <c r="F79" s="129"/>
      <c r="G79" s="81"/>
      <c r="H79" s="1006"/>
      <c r="K79" s="247"/>
    </row>
    <row r="80" spans="1:16" ht="15.6">
      <c r="A80" s="71">
        <f>+A77+1</f>
        <v>45</v>
      </c>
      <c r="B80" s="36"/>
      <c r="C80" s="9" t="s">
        <v>136</v>
      </c>
      <c r="D80" s="9"/>
      <c r="E80" s="32" t="str">
        <f>"(Notes "&amp;A$337&amp;" &amp; "&amp;A$342&amp;")"</f>
        <v>(Notes FF &amp; KK)</v>
      </c>
      <c r="F80" s="120" t="str">
        <f>+"WP02 Support Line "&amp;'WP02 Support'!A$83&amp;" Column "&amp;'WP02 Support'!F$38</f>
        <v>WP02 Support Line 27 Column E</v>
      </c>
      <c r="G80" s="612">
        <f>+'WP02 Support'!F83</f>
        <v>0</v>
      </c>
      <c r="H80" s="1007">
        <f>+'WP02 Support'!F83</f>
        <v>0</v>
      </c>
      <c r="K80" s="247"/>
    </row>
    <row r="81" spans="1:11">
      <c r="A81" s="71">
        <f>+A80+1</f>
        <v>46</v>
      </c>
      <c r="B81" s="105"/>
      <c r="C81" s="9" t="s">
        <v>159</v>
      </c>
      <c r="D81" s="9"/>
      <c r="E81" s="32" t="str">
        <f>"(Notes "&amp;A$337&amp;" &amp; "&amp;A$342&amp;")"</f>
        <v>(Notes FF &amp; KK)</v>
      </c>
      <c r="F81" s="120" t="str">
        <f>+"WP02 Support Line "&amp;'WP02 Support'!A$83&amp;" Column "&amp;'WP02 Support'!G$38</f>
        <v>WP02 Support Line 27 Column F</v>
      </c>
      <c r="G81" s="612">
        <f>+'WP02 Support'!G83</f>
        <v>0</v>
      </c>
      <c r="H81" s="1007">
        <f>+'WP02 Support'!G83</f>
        <v>0</v>
      </c>
      <c r="K81" s="247"/>
    </row>
    <row r="82" spans="1:11">
      <c r="A82" s="71">
        <f t="shared" ref="A82:A87" si="1">+A81+1</f>
        <v>47</v>
      </c>
      <c r="B82" s="31"/>
      <c r="C82" s="53" t="s">
        <v>88</v>
      </c>
      <c r="D82" s="14"/>
      <c r="E82" s="31"/>
      <c r="F82" s="124" t="str">
        <f>"(Line "&amp;A$35&amp;")"</f>
        <v>(Line 18)</v>
      </c>
      <c r="G82" s="86">
        <f>+G$35</f>
        <v>0.31832180011930167</v>
      </c>
      <c r="H82" s="1016">
        <f>+H$35</f>
        <v>0.35169062683181029</v>
      </c>
      <c r="K82" s="247"/>
    </row>
    <row r="83" spans="1:11">
      <c r="A83" s="71">
        <f t="shared" si="1"/>
        <v>48</v>
      </c>
      <c r="B83" s="105"/>
      <c r="C83" s="53" t="str">
        <f>+"Total Transmission Allocated "&amp;C81</f>
        <v>Total Transmission Allocated Plant</v>
      </c>
      <c r="D83" s="9"/>
      <c r="E83" s="32"/>
      <c r="F83" s="124" t="str">
        <f>"(Line "&amp;A81&amp;" * Line "&amp;A82&amp;")"</f>
        <v>(Line 46 * Line 47)</v>
      </c>
      <c r="G83" s="594">
        <f>+G81*G82</f>
        <v>0</v>
      </c>
      <c r="H83" s="1017">
        <f>+H81*H82</f>
        <v>0</v>
      </c>
      <c r="K83" s="247"/>
    </row>
    <row r="84" spans="1:11">
      <c r="A84" s="71">
        <f t="shared" si="1"/>
        <v>49</v>
      </c>
      <c r="B84" s="105"/>
      <c r="C84" s="9" t="s">
        <v>144</v>
      </c>
      <c r="D84" s="9"/>
      <c r="E84" s="32" t="str">
        <f>"(Notes "&amp;A$337&amp;" &amp; "&amp;A$342&amp;")"</f>
        <v>(Notes FF &amp; KK)</v>
      </c>
      <c r="F84" s="120" t="str">
        <f>+"WP02 Support Line "&amp;'WP02 Support'!A$83&amp;" Column "&amp;'WP02 Support'!H$38</f>
        <v>WP02 Support Line 27 Column G</v>
      </c>
      <c r="G84" s="612">
        <f>+'WP02 Support'!H83</f>
        <v>63904935.372307688</v>
      </c>
      <c r="H84" s="1007">
        <f>+'WP02 Support'!H83</f>
        <v>63904935.372307688</v>
      </c>
      <c r="K84" s="247"/>
    </row>
    <row r="85" spans="1:11" s="247" customFormat="1" ht="15.6">
      <c r="A85" s="71">
        <f t="shared" si="1"/>
        <v>50</v>
      </c>
      <c r="B85" s="46"/>
      <c r="C85" s="9" t="s">
        <v>110</v>
      </c>
      <c r="D85" s="9"/>
      <c r="E85" s="47"/>
      <c r="F85" s="120" t="str">
        <f>"(Line "&amp;A$24&amp;")"</f>
        <v>(Line 11)</v>
      </c>
      <c r="G85" s="237">
        <f>+G$24</f>
        <v>0.15203880084848126</v>
      </c>
      <c r="H85" s="1013">
        <f>H$24</f>
        <v>0.15203880084848126</v>
      </c>
      <c r="J85" s="1594"/>
    </row>
    <row r="86" spans="1:11">
      <c r="A86" s="71">
        <f t="shared" si="1"/>
        <v>51</v>
      </c>
      <c r="B86" s="105"/>
      <c r="C86" s="23" t="str">
        <f>+"Total Transmission Allocated "&amp;C84</f>
        <v>Total Transmission Allocated Labor</v>
      </c>
      <c r="D86" s="62"/>
      <c r="E86" s="70"/>
      <c r="F86" s="125" t="str">
        <f>"(Line "&amp;A84&amp;" * Line "&amp;A85&amp;")"</f>
        <v>(Line 49 * Line 50)</v>
      </c>
      <c r="G86" s="846">
        <f>+G84*G85</f>
        <v>9716029.7423053533</v>
      </c>
      <c r="H86" s="1018">
        <f>+H84*H85</f>
        <v>9716029.7423053533</v>
      </c>
      <c r="K86" s="247"/>
    </row>
    <row r="87" spans="1:11">
      <c r="A87" s="104">
        <f t="shared" si="1"/>
        <v>52</v>
      </c>
      <c r="B87" s="15" t="s">
        <v>302</v>
      </c>
      <c r="C87" s="15"/>
      <c r="D87" s="15"/>
      <c r="E87" s="32" t="str">
        <f>"(Note "&amp;A$327&amp;")"</f>
        <v>(Note V)</v>
      </c>
      <c r="F87" s="124" t="str">
        <f>"(Line "&amp;A80&amp;" + Line "&amp;A83&amp;" + Line "&amp;A86&amp;")"</f>
        <v>(Line 45 + Line 48 + Line 51)</v>
      </c>
      <c r="G87" s="594">
        <f>+G80+G83+G86</f>
        <v>9716029.7423053533</v>
      </c>
      <c r="H87" s="1017">
        <f>+H80+H83+H86</f>
        <v>9716029.7423053533</v>
      </c>
      <c r="K87" s="247"/>
    </row>
    <row r="88" spans="1:11" ht="15.6">
      <c r="A88" s="71"/>
      <c r="B88" s="5"/>
      <c r="C88" s="9"/>
      <c r="D88" s="9"/>
      <c r="E88" s="32"/>
      <c r="F88" s="124"/>
      <c r="G88" s="83"/>
      <c r="H88" s="1021"/>
      <c r="K88" s="247"/>
    </row>
    <row r="89" spans="1:11" ht="15.6">
      <c r="A89" s="71"/>
      <c r="B89" s="36" t="s">
        <v>82</v>
      </c>
      <c r="C89" s="15"/>
      <c r="D89" s="15"/>
      <c r="E89" s="32"/>
      <c r="F89" s="129"/>
      <c r="G89" s="85"/>
      <c r="H89" s="1022"/>
      <c r="K89" s="247"/>
    </row>
    <row r="90" spans="1:11">
      <c r="A90" s="71">
        <f>+A87+1</f>
        <v>53</v>
      </c>
      <c r="B90" s="105"/>
      <c r="C90" s="53" t="s">
        <v>73</v>
      </c>
      <c r="D90" s="9"/>
      <c r="E90" s="32" t="str">
        <f>"(Note "&amp;A$342&amp;")"</f>
        <v>(Note KK)</v>
      </c>
      <c r="F90" s="15" t="str">
        <f>+"WP07 M&amp;S Line "&amp;'WP07 M&amp;S'!A9&amp;" Column "&amp;'WP07 M&amp;S'!Q$6</f>
        <v>WP07 M&amp;S Line 2 Column P</v>
      </c>
      <c r="G90" s="613">
        <f>'WP07 M&amp;S'!Q9</f>
        <v>4161194.7584615382</v>
      </c>
      <c r="H90" s="1023">
        <f>'WP07 M&amp;S'!Q9</f>
        <v>4161194.7584615382</v>
      </c>
      <c r="K90" s="247"/>
    </row>
    <row r="91" spans="1:11">
      <c r="A91" s="104">
        <f>+A90+1</f>
        <v>54</v>
      </c>
      <c r="B91" s="15"/>
      <c r="C91" s="15" t="s">
        <v>617</v>
      </c>
      <c r="D91" s="9"/>
      <c r="E91" s="32" t="str">
        <f>"(Notes "&amp;A$306&amp;" &amp; "&amp;A$342&amp;")"</f>
        <v>(Notes A &amp; KK)</v>
      </c>
      <c r="F91" s="15" t="str">
        <f>+"WP07 M&amp;S Line "&amp;'WP07 M&amp;S'!A10&amp;" Column "&amp;'WP07 M&amp;S'!Q$6</f>
        <v>WP07 M&amp;S Line 3 Column P</v>
      </c>
      <c r="G91" s="625">
        <f>'WP07 M&amp;S'!Q10</f>
        <v>1528418.34</v>
      </c>
      <c r="H91" s="1024">
        <f>'WP07 M&amp;S'!Q10</f>
        <v>1528418.34</v>
      </c>
      <c r="K91" s="247"/>
    </row>
    <row r="92" spans="1:11" s="247" customFormat="1" ht="15.6">
      <c r="A92" s="104">
        <f>+A91+1</f>
        <v>55</v>
      </c>
      <c r="B92" s="46"/>
      <c r="C92" s="9" t="s">
        <v>110</v>
      </c>
      <c r="D92" s="9"/>
      <c r="E92" s="47"/>
      <c r="F92" s="15" t="str">
        <f>"(Line "&amp;A$24&amp;")"</f>
        <v>(Line 11)</v>
      </c>
      <c r="G92" s="237">
        <f>+G$24</f>
        <v>0.15203880084848126</v>
      </c>
      <c r="H92" s="1013">
        <f>H$24</f>
        <v>0.15203880084848126</v>
      </c>
      <c r="J92" s="1594"/>
    </row>
    <row r="93" spans="1:11">
      <c r="A93" s="71">
        <f>+A92+1</f>
        <v>56</v>
      </c>
      <c r="B93" s="105"/>
      <c r="C93" s="53" t="s">
        <v>117</v>
      </c>
      <c r="D93" s="9"/>
      <c r="E93" s="32"/>
      <c r="F93" s="125" t="str">
        <f>"(Line "&amp;A91&amp;" * Line "&amp;A92&amp;")"</f>
        <v>(Line 54 * Line 55)</v>
      </c>
      <c r="G93" s="613">
        <f>+G91*G92</f>
        <v>232378.89160842632</v>
      </c>
      <c r="H93" s="1023">
        <f>+H91*H92</f>
        <v>232378.89160842632</v>
      </c>
      <c r="K93" s="247"/>
    </row>
    <row r="94" spans="1:11" ht="15.6">
      <c r="A94" s="71">
        <f>+A93+1</f>
        <v>57</v>
      </c>
      <c r="B94" s="105"/>
      <c r="C94" s="273" t="s">
        <v>81</v>
      </c>
      <c r="D94" s="274"/>
      <c r="E94" s="275"/>
      <c r="F94" s="124" t="str">
        <f>"(Line "&amp;A93&amp;" + Line "&amp;A90&amp;")"</f>
        <v>(Line 56 + Line 53)</v>
      </c>
      <c r="G94" s="614">
        <f>+G90+G93</f>
        <v>4393573.6500699641</v>
      </c>
      <c r="H94" s="1025">
        <f>+H90+H93</f>
        <v>4393573.6500699641</v>
      </c>
      <c r="K94" s="247"/>
    </row>
    <row r="95" spans="1:11">
      <c r="A95" s="71"/>
      <c r="B95" s="105"/>
      <c r="C95" s="9"/>
      <c r="D95" s="9"/>
      <c r="E95" s="32"/>
      <c r="F95" s="129"/>
      <c r="G95" s="81"/>
      <c r="H95" s="1006"/>
      <c r="K95" s="247"/>
    </row>
    <row r="96" spans="1:11" ht="15.6">
      <c r="A96" s="71"/>
      <c r="B96" s="36" t="s">
        <v>84</v>
      </c>
      <c r="C96" s="9"/>
      <c r="D96" s="9"/>
      <c r="E96" s="32"/>
      <c r="F96" s="129"/>
      <c r="G96" s="81"/>
      <c r="H96" s="1006"/>
      <c r="K96" s="247"/>
    </row>
    <row r="97" spans="1:17" ht="15.6">
      <c r="A97" s="71">
        <f>+A94+1</f>
        <v>58</v>
      </c>
      <c r="B97" s="36"/>
      <c r="C97" s="9" t="s">
        <v>136</v>
      </c>
      <c r="D97" s="9"/>
      <c r="E97" s="32" t="str">
        <f>"(Note "&amp;A$342&amp;")"</f>
        <v>(Note KK)</v>
      </c>
      <c r="F97" s="120" t="str">
        <f>+"WP08 Prepay Line "&amp;'WP08 Prepay'!A$59&amp;" Column "&amp;'WP08 Prepay'!F$5</f>
        <v>WP08 Prepay Line 8 Column E</v>
      </c>
      <c r="G97" s="612">
        <f>+'WP08 Prepay'!F$59</f>
        <v>0</v>
      </c>
      <c r="H97" s="1007">
        <f>+'WP08 Prepay'!F59</f>
        <v>0</v>
      </c>
      <c r="K97" s="247"/>
    </row>
    <row r="98" spans="1:17">
      <c r="A98" s="71">
        <f>+A97+1</f>
        <v>59</v>
      </c>
      <c r="B98" s="105"/>
      <c r="C98" s="9" t="s">
        <v>159</v>
      </c>
      <c r="D98" s="9"/>
      <c r="E98" s="32" t="str">
        <f>"(Note "&amp;A$342&amp;")"</f>
        <v>(Note KK)</v>
      </c>
      <c r="F98" s="120" t="str">
        <f>+"WP08 Prepay Line "&amp;'WP08 Prepay'!A59&amp;" Column "&amp;'WP08 Prepay'!G$5</f>
        <v>WP08 Prepay Line 8 Column F</v>
      </c>
      <c r="G98" s="612">
        <f>+'WP08 Prepay'!G59</f>
        <v>2231661.6007692302</v>
      </c>
      <c r="H98" s="1007">
        <f>+'WP08 Prepay'!G59</f>
        <v>2231661.6007692302</v>
      </c>
      <c r="K98" s="247"/>
    </row>
    <row r="99" spans="1:17">
      <c r="A99" s="71">
        <f t="shared" ref="A99:A104" si="2">+A98+1</f>
        <v>60</v>
      </c>
      <c r="B99" s="31"/>
      <c r="C99" s="53" t="s">
        <v>88</v>
      </c>
      <c r="D99" s="14"/>
      <c r="E99" s="31"/>
      <c r="F99" s="124" t="str">
        <f>"(Line "&amp;A$35&amp;")"</f>
        <v>(Line 18)</v>
      </c>
      <c r="G99" s="86">
        <f>+G$35</f>
        <v>0.31832180011930167</v>
      </c>
      <c r="H99" s="1016">
        <f>+H$35</f>
        <v>0.35169062683181029</v>
      </c>
      <c r="K99" s="247"/>
    </row>
    <row r="100" spans="1:17">
      <c r="A100" s="71">
        <f t="shared" si="2"/>
        <v>61</v>
      </c>
      <c r="B100" s="105"/>
      <c r="C100" s="53" t="str">
        <f>+"Total Transmission Allocated "&amp;C98</f>
        <v>Total Transmission Allocated Plant</v>
      </c>
      <c r="D100" s="9"/>
      <c r="E100" s="32"/>
      <c r="F100" s="124" t="str">
        <f>"(Line "&amp;A98&amp;" * Line "&amp;A99&amp;")"</f>
        <v>(Line 59 * Line 60)</v>
      </c>
      <c r="G100" s="594">
        <f>+G98*G99</f>
        <v>710386.53801398363</v>
      </c>
      <c r="H100" s="1017">
        <f>+H98*H99</f>
        <v>784854.46725101175</v>
      </c>
      <c r="K100" s="247"/>
    </row>
    <row r="101" spans="1:17">
      <c r="A101" s="71">
        <f t="shared" si="2"/>
        <v>62</v>
      </c>
      <c r="B101" s="105"/>
      <c r="C101" s="9" t="s">
        <v>144</v>
      </c>
      <c r="D101" s="9"/>
      <c r="E101" s="32" t="str">
        <f>"(Note "&amp;A$342&amp;")"</f>
        <v>(Note KK)</v>
      </c>
      <c r="F101" s="120" t="str">
        <f>+"WP08 Prepay Line "&amp;'WP08 Prepay'!A$59&amp;" Column "&amp;'WP08 Prepay'!H$5</f>
        <v>WP08 Prepay Line 8 Column G</v>
      </c>
      <c r="G101" s="612">
        <f>+'WP08 Prepay'!H59</f>
        <v>415389.71461538447</v>
      </c>
      <c r="H101" s="1007">
        <f>+'WP08 Prepay'!H59</f>
        <v>415389.71461538447</v>
      </c>
      <c r="K101" s="247"/>
    </row>
    <row r="102" spans="1:17" s="247" customFormat="1" ht="15.6">
      <c r="A102" s="104">
        <f t="shared" si="2"/>
        <v>63</v>
      </c>
      <c r="B102" s="46"/>
      <c r="C102" s="9" t="s">
        <v>110</v>
      </c>
      <c r="D102" s="9"/>
      <c r="E102" s="47"/>
      <c r="F102" s="120" t="str">
        <f>"(Line "&amp;A$24&amp;")"</f>
        <v>(Line 11)</v>
      </c>
      <c r="G102" s="237">
        <f>+G$24</f>
        <v>0.15203880084848126</v>
      </c>
      <c r="H102" s="1013">
        <f>H$24</f>
        <v>0.15203880084848126</v>
      </c>
      <c r="J102" s="1594"/>
    </row>
    <row r="103" spans="1:17">
      <c r="A103" s="71">
        <f t="shared" si="2"/>
        <v>64</v>
      </c>
      <c r="B103" s="105"/>
      <c r="C103" s="23" t="str">
        <f>+"Total Transmission Allocated "&amp;C101</f>
        <v>Total Transmission Allocated Labor</v>
      </c>
      <c r="D103" s="62"/>
      <c r="E103" s="70"/>
      <c r="F103" s="125" t="str">
        <f>"(Line "&amp;A101&amp;" * Line "&amp;A102&amp;")"</f>
        <v>(Line 62 * Line 63)</v>
      </c>
      <c r="G103" s="846">
        <f>+G101*G102</f>
        <v>63155.354094915907</v>
      </c>
      <c r="H103" s="1018">
        <f>+H101*H102</f>
        <v>63155.354094915907</v>
      </c>
      <c r="K103" s="247"/>
    </row>
    <row r="104" spans="1:17">
      <c r="A104" s="71">
        <f t="shared" si="2"/>
        <v>65</v>
      </c>
      <c r="B104" s="53" t="s">
        <v>303</v>
      </c>
      <c r="C104" s="53"/>
      <c r="D104" s="32"/>
      <c r="E104" s="433" t="str">
        <f>"(Note "&amp;A$306&amp;")"</f>
        <v>(Note A)</v>
      </c>
      <c r="F104" s="124" t="str">
        <f>"(Line "&amp;A97&amp;" + Line "&amp;A100&amp;" + Line "&amp;A103&amp;")"</f>
        <v>(Line 58 + Line 61 + Line 64)</v>
      </c>
      <c r="G104" s="594">
        <f>+G97+G100+G103</f>
        <v>773541.89210889954</v>
      </c>
      <c r="H104" s="1017">
        <f>+H97+H100+H103</f>
        <v>848009.82134592766</v>
      </c>
      <c r="K104" s="247"/>
    </row>
    <row r="105" spans="1:17">
      <c r="A105" s="71"/>
      <c r="B105" s="105"/>
      <c r="C105" s="15"/>
      <c r="D105" s="9"/>
      <c r="E105" s="31"/>
      <c r="F105" s="124"/>
      <c r="G105" s="84"/>
      <c r="H105" s="1019"/>
      <c r="K105" s="247"/>
    </row>
    <row r="106" spans="1:17">
      <c r="A106" s="71">
        <f>+A104+1</f>
        <v>66</v>
      </c>
      <c r="B106" s="56" t="s">
        <v>304</v>
      </c>
      <c r="C106" s="9"/>
      <c r="D106" s="9"/>
      <c r="E106" s="32" t="str">
        <f>"(Notes "&amp;A$307&amp;" &amp; "&amp;A$308&amp;")"</f>
        <v>(Notes B &amp; C)</v>
      </c>
      <c r="F106" s="934" t="str">
        <f>+"WP09 PHFU Line "&amp;'WP09 PHFU'!A11&amp;" Columns "&amp;'WP09 PHFU'!P5&amp;", "&amp;'WP09 PHFU'!O5</f>
        <v>WP09 PHFU Line 5 Columns O, N</v>
      </c>
      <c r="G106" s="65">
        <f>+'WP09 PHFU'!P11</f>
        <v>8691151.9800000023</v>
      </c>
      <c r="H106" s="1011">
        <f>+'WP09 PHFU'!O11</f>
        <v>8691151.9800000004</v>
      </c>
      <c r="K106" s="247"/>
    </row>
    <row r="107" spans="1:17">
      <c r="A107" s="71"/>
      <c r="B107" s="105"/>
      <c r="C107" s="53"/>
      <c r="D107" s="9"/>
      <c r="E107" s="31"/>
      <c r="F107" s="129"/>
      <c r="G107" s="81"/>
      <c r="H107" s="1006"/>
      <c r="K107" s="247"/>
    </row>
    <row r="108" spans="1:17" ht="15.6">
      <c r="A108" s="71"/>
      <c r="B108" s="36" t="s">
        <v>85</v>
      </c>
      <c r="C108" s="15"/>
      <c r="D108" s="9"/>
      <c r="E108" s="32"/>
      <c r="F108" s="129"/>
      <c r="G108" s="81"/>
      <c r="H108" s="1006"/>
      <c r="K108" s="247"/>
    </row>
    <row r="109" spans="1:17">
      <c r="A109" s="71">
        <f>+A106+1</f>
        <v>67</v>
      </c>
      <c r="B109" s="105"/>
      <c r="C109" s="53" t="s">
        <v>116</v>
      </c>
      <c r="D109" s="14"/>
      <c r="E109" s="32"/>
      <c r="F109" s="124" t="str">
        <f>"(Line "&amp;A$156&amp;")"</f>
        <v>(Line 102)</v>
      </c>
      <c r="G109" s="594">
        <f>+G156</f>
        <v>27372314.112039711</v>
      </c>
      <c r="H109" s="1017">
        <f>+H156</f>
        <v>27566747.3486031</v>
      </c>
      <c r="K109" s="247"/>
      <c r="L109" s="247"/>
      <c r="M109" s="247"/>
      <c r="N109" s="247"/>
      <c r="O109" s="247"/>
      <c r="P109" s="247"/>
      <c r="Q109" s="247"/>
    </row>
    <row r="110" spans="1:17">
      <c r="A110" s="71">
        <f>+A109+1</f>
        <v>68</v>
      </c>
      <c r="B110" s="105"/>
      <c r="C110" s="14" t="s">
        <v>142</v>
      </c>
      <c r="D110" s="14"/>
      <c r="E110" s="32" t="str">
        <f>"(Note "&amp;A$313&amp;")"</f>
        <v>(Note H)</v>
      </c>
      <c r="F110" s="850"/>
      <c r="G110" s="623">
        <v>0</v>
      </c>
      <c r="H110" s="1035">
        <v>0</v>
      </c>
      <c r="J110" s="1594" t="s">
        <v>1543</v>
      </c>
      <c r="K110" s="247"/>
    </row>
    <row r="111" spans="1:17" s="1" customFormat="1" ht="15.6">
      <c r="A111" s="71">
        <f>+A110+1</f>
        <v>69</v>
      </c>
      <c r="B111" s="106"/>
      <c r="C111" s="847" t="s">
        <v>72</v>
      </c>
      <c r="D111" s="848"/>
      <c r="E111" s="849"/>
      <c r="F111" s="124" t="str">
        <f>"(Line "&amp;A109&amp;" * Line "&amp;A110&amp;")"</f>
        <v>(Line 67 * Line 68)</v>
      </c>
      <c r="G111" s="594">
        <f>+G109*G110</f>
        <v>0</v>
      </c>
      <c r="H111" s="1017">
        <f>+H109*H110</f>
        <v>0</v>
      </c>
      <c r="J111" s="1593"/>
      <c r="K111" s="33"/>
    </row>
    <row r="112" spans="1:17" s="1" customFormat="1" ht="15.6">
      <c r="A112" s="71"/>
      <c r="B112" s="106"/>
      <c r="C112" s="36"/>
      <c r="D112" s="935"/>
      <c r="E112" s="177"/>
      <c r="F112" s="124"/>
      <c r="G112" s="615"/>
      <c r="H112" s="1027"/>
      <c r="J112" s="1593"/>
      <c r="K112" s="33"/>
    </row>
    <row r="113" spans="1:11" s="1" customFormat="1" ht="15.6">
      <c r="A113" s="107"/>
      <c r="B113" s="36" t="s">
        <v>149</v>
      </c>
      <c r="C113" s="34"/>
      <c r="D113" s="51"/>
      <c r="E113" s="34"/>
      <c r="F113" s="119"/>
      <c r="G113" s="615"/>
      <c r="H113" s="1027"/>
      <c r="J113" s="1593"/>
      <c r="K113" s="33"/>
    </row>
    <row r="114" spans="1:11" ht="15.6">
      <c r="A114" s="71">
        <f>+A111+1</f>
        <v>70</v>
      </c>
      <c r="B114" s="10"/>
      <c r="C114" s="15" t="s">
        <v>151</v>
      </c>
      <c r="D114" s="10"/>
      <c r="E114" s="32" t="str">
        <f>"(Notes "&amp;A$307&amp;" &amp; "&amp;A$319&amp;")"</f>
        <v>(Notes B &amp; N)</v>
      </c>
      <c r="F114" s="120"/>
      <c r="G114" s="196">
        <v>0</v>
      </c>
      <c r="H114" s="1020">
        <v>0</v>
      </c>
      <c r="J114" s="1594" t="s">
        <v>1544</v>
      </c>
      <c r="K114" s="33"/>
    </row>
    <row r="115" spans="1:11" ht="15.6">
      <c r="A115" s="102">
        <f>+A114+1</f>
        <v>71</v>
      </c>
      <c r="B115" s="15"/>
      <c r="C115" s="434" t="s">
        <v>618</v>
      </c>
      <c r="D115" s="434"/>
      <c r="E115" s="70" t="str">
        <f>"(Notes "&amp;A$307&amp;" &amp; "&amp;A$319&amp;")"</f>
        <v>(Notes B &amp; N)</v>
      </c>
      <c r="F115" s="245"/>
      <c r="G115" s="672">
        <v>0</v>
      </c>
      <c r="H115" s="1028">
        <v>0</v>
      </c>
      <c r="J115" s="1594" t="s">
        <v>1544</v>
      </c>
      <c r="K115" s="33"/>
    </row>
    <row r="116" spans="1:11" ht="15.6">
      <c r="A116" s="102">
        <f>+A115+1</f>
        <v>72</v>
      </c>
      <c r="B116" s="10"/>
      <c r="C116" s="10" t="s">
        <v>152</v>
      </c>
      <c r="D116" s="10"/>
      <c r="E116" s="32"/>
      <c r="F116" s="119" t="str">
        <f>"(Line "&amp;A114&amp;" - Line "&amp;A115&amp;")"</f>
        <v>(Line 70 - Line 71)</v>
      </c>
      <c r="G116" s="614">
        <f>+G114-G115</f>
        <v>0</v>
      </c>
      <c r="H116" s="1025">
        <f>+H114-H115</f>
        <v>0</v>
      </c>
      <c r="K116" s="33"/>
    </row>
    <row r="117" spans="1:11" ht="15.6">
      <c r="A117" s="102"/>
      <c r="B117" s="10"/>
      <c r="C117" s="10"/>
      <c r="D117" s="10"/>
      <c r="E117" s="32"/>
      <c r="F117" s="123"/>
      <c r="G117" s="616"/>
      <c r="H117" s="1029"/>
      <c r="K117" s="33"/>
    </row>
    <row r="118" spans="1:11" ht="16.2" thickBot="1">
      <c r="A118" s="102">
        <f>+A116+1</f>
        <v>73</v>
      </c>
      <c r="B118" s="4" t="s">
        <v>111</v>
      </c>
      <c r="C118" s="4"/>
      <c r="D118" s="4"/>
      <c r="E118" s="148"/>
      <c r="F118" s="943" t="str">
        <f>"(Line "&amp;A75&amp;" + Line "&amp;A77&amp;" + Line "&amp;A87&amp;" + Line "&amp;A94&amp;" + Line "&amp;A104&amp;" + Line "&amp;A106&amp;" + Line "&amp;A111&amp;" - Line "&amp;A116&amp;" )"</f>
        <v>(Line 43 + Line 44 + Line 52 + Line 57 + Line 65 + Line 66 + Line 69 - Line 72 )</v>
      </c>
      <c r="G118" s="556">
        <f>SUM(G75,G77,G87,G104,G106,G94,G111)-G116</f>
        <v>-196554816.72316581</v>
      </c>
      <c r="H118" s="1014">
        <f>SUM(H75,H87,H104,H106,H94,H111)-H116+H77</f>
        <v>-223079225.76614252</v>
      </c>
      <c r="K118" s="33"/>
    </row>
    <row r="119" spans="1:11" ht="16.2" thickTop="1">
      <c r="A119" s="102"/>
      <c r="B119" s="10"/>
      <c r="C119" s="10"/>
      <c r="D119" s="10"/>
      <c r="E119" s="26"/>
      <c r="F119" s="123"/>
      <c r="G119" s="616"/>
      <c r="H119" s="1029"/>
      <c r="K119" s="33"/>
    </row>
    <row r="120" spans="1:11" ht="16.2" thickBot="1">
      <c r="A120" s="100">
        <f>+A118+1</f>
        <v>74</v>
      </c>
      <c r="B120" s="4" t="s">
        <v>107</v>
      </c>
      <c r="C120" s="4"/>
      <c r="D120" s="4"/>
      <c r="E120" s="27"/>
      <c r="F120" s="121" t="str">
        <f>"(Line "&amp;A63&amp;" + Line "&amp;A118&amp;")"</f>
        <v>(Line 35 + Line 73)</v>
      </c>
      <c r="G120" s="617">
        <f>+G63+G118</f>
        <v>627583909.41143513</v>
      </c>
      <c r="H120" s="1030">
        <f>+H63+H118</f>
        <v>747653347.05446827</v>
      </c>
      <c r="K120" s="33"/>
    </row>
    <row r="121" spans="1:11" ht="16.2" thickTop="1">
      <c r="A121" s="108"/>
      <c r="B121" s="10"/>
      <c r="C121" s="10"/>
      <c r="D121" s="10"/>
      <c r="E121" s="26"/>
      <c r="F121" s="123"/>
      <c r="G121" s="616"/>
      <c r="H121" s="1029"/>
      <c r="K121" s="33"/>
    </row>
    <row r="122" spans="1:11" s="247" customFormat="1" ht="15.6">
      <c r="A122" s="997" t="s">
        <v>126</v>
      </c>
      <c r="B122" s="229"/>
      <c r="C122" s="230"/>
      <c r="D122" s="230"/>
      <c r="E122" s="840"/>
      <c r="F122" s="232"/>
      <c r="G122" s="618"/>
      <c r="H122" s="1031"/>
      <c r="J122" s="1594"/>
      <c r="K122" s="33"/>
    </row>
    <row r="123" spans="1:11" s="247" customFormat="1" ht="15.6">
      <c r="A123" s="109"/>
      <c r="B123" s="9"/>
      <c r="C123" s="9"/>
      <c r="D123" s="9"/>
      <c r="E123" s="47"/>
      <c r="F123" s="120"/>
      <c r="G123" s="619"/>
      <c r="H123" s="1032"/>
      <c r="J123" s="1594"/>
      <c r="K123" s="33"/>
    </row>
    <row r="124" spans="1:11" ht="15.6">
      <c r="A124" s="100"/>
      <c r="B124" s="5" t="s">
        <v>470</v>
      </c>
      <c r="C124" s="6"/>
      <c r="D124" s="44"/>
      <c r="E124" s="50"/>
      <c r="F124" s="123"/>
      <c r="G124" s="620"/>
      <c r="H124" s="1033"/>
      <c r="K124" s="33"/>
    </row>
    <row r="125" spans="1:11" ht="15.6">
      <c r="A125" s="71">
        <f>+A120+1</f>
        <v>75</v>
      </c>
      <c r="B125" s="31"/>
      <c r="C125" s="56" t="s">
        <v>100</v>
      </c>
      <c r="D125" s="9"/>
      <c r="E125" s="32" t="str">
        <f>"(Note "&amp;A$320&amp;")"</f>
        <v>(Note O)</v>
      </c>
      <c r="F125" s="124" t="s">
        <v>672</v>
      </c>
      <c r="G125" s="196">
        <v>28775450.609999992</v>
      </c>
      <c r="H125" s="1020">
        <v>28775450.609999992</v>
      </c>
      <c r="K125" s="33"/>
    </row>
    <row r="126" spans="1:11" ht="15.6">
      <c r="A126" s="71">
        <f>+A125+1</f>
        <v>76</v>
      </c>
      <c r="B126" s="31"/>
      <c r="C126" s="171" t="s">
        <v>481</v>
      </c>
      <c r="D126" s="9"/>
      <c r="E126" s="32" t="str">
        <f>"(Note "&amp;A$336&amp;")"</f>
        <v>(Note EE)</v>
      </c>
      <c r="F126" s="124" t="s">
        <v>928</v>
      </c>
      <c r="G126" s="196">
        <v>7269621</v>
      </c>
      <c r="H126" s="1020">
        <v>7269621</v>
      </c>
      <c r="K126" s="33"/>
    </row>
    <row r="127" spans="1:11" ht="15.6">
      <c r="A127" s="71">
        <f>+A126+1</f>
        <v>77</v>
      </c>
      <c r="B127" s="31"/>
      <c r="C127" s="171" t="s">
        <v>619</v>
      </c>
      <c r="D127" s="9"/>
      <c r="E127" s="851"/>
      <c r="F127" s="56" t="s">
        <v>756</v>
      </c>
      <c r="G127" s="196">
        <v>10842307.99</v>
      </c>
      <c r="H127" s="1020">
        <v>10842307.99</v>
      </c>
      <c r="K127" s="33"/>
    </row>
    <row r="128" spans="1:11" ht="15.6">
      <c r="A128" s="71">
        <f>+A127+1</f>
        <v>78</v>
      </c>
      <c r="B128" s="31"/>
      <c r="C128" s="171" t="s">
        <v>929</v>
      </c>
      <c r="D128" s="9"/>
      <c r="E128" s="851"/>
      <c r="F128" s="56" t="s">
        <v>930</v>
      </c>
      <c r="G128" s="196">
        <v>4543026</v>
      </c>
      <c r="H128" s="1020">
        <v>4543026</v>
      </c>
      <c r="J128" s="1594" t="s">
        <v>1552</v>
      </c>
      <c r="K128" s="33"/>
    </row>
    <row r="129" spans="1:11" ht="15.6">
      <c r="A129" s="71">
        <f>+A128+1</f>
        <v>79</v>
      </c>
      <c r="B129" s="31"/>
      <c r="C129" s="852" t="s">
        <v>508</v>
      </c>
      <c r="D129" s="9"/>
      <c r="E129" s="32" t="str">
        <f>"(Note "&amp;A$337&amp;")"</f>
        <v>(Note FF)</v>
      </c>
      <c r="F129" s="635" t="str">
        <f>+"WP02 Support Line "&amp;'WP02 Support'!A94&amp;" Column "&amp;'WP02 Support'!D86</f>
        <v>WP02 Support Line 32 Column C</v>
      </c>
      <c r="G129" s="621">
        <f>+'WP02 Support'!D94</f>
        <v>736027.41294114524</v>
      </c>
      <c r="H129" s="1003">
        <f>+'WP02 Support'!D94</f>
        <v>736027.41294114524</v>
      </c>
      <c r="K129" s="33"/>
    </row>
    <row r="130" spans="1:11" ht="15.6">
      <c r="A130" s="71">
        <f>+A129+1</f>
        <v>80</v>
      </c>
      <c r="B130" s="9"/>
      <c r="C130" s="271" t="s">
        <v>100</v>
      </c>
      <c r="D130" s="269"/>
      <c r="E130" s="270"/>
      <c r="F130" s="124" t="str">
        <f>"(Line "&amp;A125&amp;" - Line "&amp;A126&amp;" - Line "&amp;A127&amp;" + Line "&amp;A128&amp;" + "&amp;" Line "&amp;A129&amp;")"</f>
        <v>(Line 75 - Line 76 - Line 77 + Line 78 +  Line 79)</v>
      </c>
      <c r="G130" s="68">
        <f>+G125-G126-G127+G128+G129</f>
        <v>15942575.032941137</v>
      </c>
      <c r="H130" s="1012">
        <f>+H125-H126-H127+H128+H129</f>
        <v>15942575.032941137</v>
      </c>
      <c r="K130" s="33"/>
    </row>
    <row r="131" spans="1:11" ht="15.6">
      <c r="A131" s="71"/>
      <c r="B131" s="31"/>
      <c r="C131" s="5"/>
      <c r="D131" s="9"/>
      <c r="E131" s="101"/>
      <c r="F131" s="130"/>
      <c r="G131" s="68"/>
      <c r="H131" s="1012"/>
      <c r="K131" s="33"/>
    </row>
    <row r="132" spans="1:11" ht="15.6">
      <c r="A132" s="71"/>
      <c r="B132" s="5" t="s">
        <v>471</v>
      </c>
      <c r="C132" s="9"/>
      <c r="D132" s="9"/>
      <c r="E132" s="101"/>
      <c r="F132" s="130"/>
      <c r="G132" s="68"/>
      <c r="H132" s="1012"/>
      <c r="K132" s="33"/>
    </row>
    <row r="133" spans="1:11" ht="15.6">
      <c r="A133" s="71">
        <f>+A130+1</f>
        <v>81</v>
      </c>
      <c r="B133" s="31"/>
      <c r="C133" s="56" t="s">
        <v>103</v>
      </c>
      <c r="D133" s="9"/>
      <c r="E133" s="32" t="str">
        <f>"(Note "&amp;A$320&amp;")"</f>
        <v>(Note O)</v>
      </c>
      <c r="F133" s="124" t="s">
        <v>673</v>
      </c>
      <c r="G133" s="196">
        <v>80733776</v>
      </c>
      <c r="H133" s="1020">
        <v>80733776</v>
      </c>
      <c r="K133" s="33"/>
    </row>
    <row r="134" spans="1:11">
      <c r="A134" s="71">
        <f>+A133+1</f>
        <v>82</v>
      </c>
      <c r="B134" s="31"/>
      <c r="C134" s="171" t="s">
        <v>730</v>
      </c>
      <c r="D134" s="9"/>
      <c r="E134" s="32" t="str">
        <f>"(Note "&amp;A$309&amp;")"</f>
        <v>(Note D)</v>
      </c>
      <c r="F134" s="942" t="str">
        <f>+"WP12 PBOP Line "&amp;'WP12 PBOP'!A11&amp;" Column "&amp;'WP12 PBOP'!C6</f>
        <v>WP12 PBOP Line 3 Column B</v>
      </c>
      <c r="G134" s="1404">
        <f>+'WP12 PBOP'!$C11</f>
        <v>0</v>
      </c>
      <c r="H134" s="1427">
        <f>+'WP12 PBOP'!$C11</f>
        <v>0</v>
      </c>
      <c r="K134" s="247"/>
    </row>
    <row r="135" spans="1:11">
      <c r="A135" s="71">
        <f>+A134+1</f>
        <v>83</v>
      </c>
      <c r="B135" s="31"/>
      <c r="C135" s="171" t="s">
        <v>504</v>
      </c>
      <c r="D135" s="45"/>
      <c r="E135" s="32"/>
      <c r="F135" s="131" t="s">
        <v>674</v>
      </c>
      <c r="G135" s="196">
        <v>11626096.720000001</v>
      </c>
      <c r="H135" s="1020">
        <v>11626096.720000001</v>
      </c>
      <c r="K135" s="247"/>
    </row>
    <row r="136" spans="1:11">
      <c r="A136" s="71">
        <f t="shared" ref="A136:A143" si="3">+A135+1</f>
        <v>84</v>
      </c>
      <c r="B136" s="31"/>
      <c r="C136" s="171" t="s">
        <v>620</v>
      </c>
      <c r="D136" s="45"/>
      <c r="E136" s="32" t="str">
        <f>"(Note "&amp;A$310&amp;")"</f>
        <v>(Note E)</v>
      </c>
      <c r="F136" s="131" t="s">
        <v>675</v>
      </c>
      <c r="G136" s="196">
        <v>3827840.2499999991</v>
      </c>
      <c r="H136" s="1020">
        <v>3827840.2499999991</v>
      </c>
      <c r="K136" s="247"/>
    </row>
    <row r="137" spans="1:11">
      <c r="A137" s="71">
        <f t="shared" si="3"/>
        <v>85</v>
      </c>
      <c r="B137" s="31"/>
      <c r="C137" s="171" t="s">
        <v>621</v>
      </c>
      <c r="D137" s="45"/>
      <c r="E137" s="32"/>
      <c r="F137" s="131" t="s">
        <v>676</v>
      </c>
      <c r="G137" s="196">
        <v>352740.83999999997</v>
      </c>
      <c r="H137" s="1020">
        <v>352740.83999999997</v>
      </c>
      <c r="K137" s="247"/>
    </row>
    <row r="138" spans="1:11">
      <c r="A138" s="71">
        <f>+A137+1</f>
        <v>86</v>
      </c>
      <c r="B138" s="31"/>
      <c r="C138" s="171" t="s">
        <v>505</v>
      </c>
      <c r="D138" s="45"/>
      <c r="E138" s="32" t="str">
        <f>"(Notes "&amp;A$329&amp;" &amp; "&amp;A$337&amp;")"</f>
        <v>(Notes X &amp; FF)</v>
      </c>
      <c r="F138" s="120" t="str">
        <f>+"WP02 Support Line "&amp;'WP02 Support'!A112&amp;" Column "&amp;'WP02 Support'!$D$5</f>
        <v>WP02 Support Line 38 Column C</v>
      </c>
      <c r="G138" s="94">
        <f>'WP02 Support'!D112</f>
        <v>1854711</v>
      </c>
      <c r="H138" s="1002">
        <f>+G138</f>
        <v>1854711</v>
      </c>
      <c r="K138" s="247"/>
    </row>
    <row r="139" spans="1:11">
      <c r="A139" s="71">
        <f>+A138+1</f>
        <v>87</v>
      </c>
      <c r="B139" s="31"/>
      <c r="C139" s="171" t="s">
        <v>503</v>
      </c>
      <c r="D139" s="15"/>
      <c r="E139" s="32"/>
      <c r="F139" s="124" t="s">
        <v>670</v>
      </c>
      <c r="G139" s="196">
        <v>71912</v>
      </c>
      <c r="H139" s="1020">
        <v>71912</v>
      </c>
      <c r="K139" s="247"/>
    </row>
    <row r="140" spans="1:11">
      <c r="A140" s="71">
        <f>+A139+1</f>
        <v>88</v>
      </c>
      <c r="B140" s="31"/>
      <c r="C140" s="171" t="s">
        <v>757</v>
      </c>
      <c r="D140" s="9"/>
      <c r="E140" s="32" t="str">
        <f>"(Note "&amp;A$337&amp;")"</f>
        <v>(Note FF)</v>
      </c>
      <c r="F140" s="635" t="str">
        <f>+"WP02 Support Line "&amp;'WP02 Support'!A103&amp;" Column "&amp;'WP02 Support'!D5</f>
        <v>WP02 Support Line 35 Column C</v>
      </c>
      <c r="G140" s="621">
        <f>+'WP02 Support'!D103</f>
        <v>-55721.100000000006</v>
      </c>
      <c r="H140" s="1003">
        <f>+'WP02 Support'!D103</f>
        <v>-55721.100000000006</v>
      </c>
      <c r="K140" s="247"/>
    </row>
    <row r="141" spans="1:11" ht="15.6">
      <c r="A141" s="71">
        <f>+A140+1</f>
        <v>89</v>
      </c>
      <c r="B141" s="31"/>
      <c r="C141" s="271" t="s">
        <v>472</v>
      </c>
      <c r="D141" s="269"/>
      <c r="E141" s="268"/>
      <c r="F141" s="119" t="str">
        <f>"(Line "&amp;A133&amp;" -  Sum ("&amp;A134&amp;" to "&amp;A139&amp;")"&amp;" + "&amp;A140&amp;")"</f>
        <v>(Line 81 -  Sum (82 to 87) + 88)</v>
      </c>
      <c r="G141" s="94">
        <f>+G133-G134-G135-G136-G137-G138-G139+G140</f>
        <v>62944754.089999996</v>
      </c>
      <c r="H141" s="1002">
        <f>+H133-H134-H135-H136-H137-H138-H139+H140</f>
        <v>62944754.089999996</v>
      </c>
      <c r="K141" s="247"/>
    </row>
    <row r="142" spans="1:11">
      <c r="A142" s="71">
        <f t="shared" si="3"/>
        <v>90</v>
      </c>
      <c r="B142" s="31"/>
      <c r="C142" s="56" t="s">
        <v>110</v>
      </c>
      <c r="D142" s="12"/>
      <c r="E142" s="70"/>
      <c r="F142" s="132" t="str">
        <f>"(Line "&amp;A$24&amp;")"</f>
        <v>(Line 11)</v>
      </c>
      <c r="G142" s="636">
        <f>+G24</f>
        <v>0.15203880084848126</v>
      </c>
      <c r="H142" s="1013">
        <f>H$24</f>
        <v>0.15203880084848126</v>
      </c>
      <c r="K142" s="247"/>
    </row>
    <row r="143" spans="1:11" ht="15.6">
      <c r="A143" s="71">
        <f t="shared" si="3"/>
        <v>91</v>
      </c>
      <c r="B143" s="31"/>
      <c r="C143" s="266" t="str">
        <f>+B132</f>
        <v>Allocated General Expenses (EOY)</v>
      </c>
      <c r="D143" s="9"/>
      <c r="E143" s="9"/>
      <c r="F143" s="124" t="str">
        <f>"(Line "&amp;A141&amp;" * "&amp;A142&amp;")"</f>
        <v>(Line 89 * 90)</v>
      </c>
      <c r="G143" s="68">
        <f>+G142*G141</f>
        <v>9570044.9315461349</v>
      </c>
      <c r="H143" s="1012">
        <f>+H142*H141</f>
        <v>9570044.9315461349</v>
      </c>
      <c r="K143" s="247"/>
    </row>
    <row r="144" spans="1:11" ht="15.6">
      <c r="A144" s="71"/>
      <c r="B144" s="31"/>
      <c r="C144" s="5"/>
      <c r="D144" s="9"/>
      <c r="E144" s="101"/>
      <c r="F144" s="130"/>
      <c r="G144" s="94"/>
      <c r="H144" s="1002"/>
      <c r="K144" s="247"/>
    </row>
    <row r="145" spans="1:11" ht="15.6">
      <c r="A145" s="71"/>
      <c r="B145" s="5" t="s">
        <v>74</v>
      </c>
      <c r="C145" s="15"/>
      <c r="D145" s="9"/>
      <c r="E145" s="101"/>
      <c r="F145" s="130"/>
      <c r="G145" s="94"/>
      <c r="H145" s="1002"/>
      <c r="K145" s="247"/>
    </row>
    <row r="146" spans="1:11">
      <c r="A146" s="71">
        <f>+A143+1</f>
        <v>92</v>
      </c>
      <c r="B146" s="105"/>
      <c r="C146" s="53" t="s">
        <v>510</v>
      </c>
      <c r="D146" s="32"/>
      <c r="E146" s="32" t="str">
        <f>"(Notes "&amp;A$312&amp;" &amp; "&amp;A$337&amp;")"</f>
        <v>(Notes G &amp; FF)</v>
      </c>
      <c r="F146" s="120" t="str">
        <f>+"WP02 Support Line "&amp;'WP02 Support'!A121&amp;" Column "&amp;'WP02 Support'!$D$5</f>
        <v>WP02 Support Line 42 Column C</v>
      </c>
      <c r="G146" s="94">
        <f>+'WP02 Support'!D121</f>
        <v>4899</v>
      </c>
      <c r="H146" s="1002">
        <f>+'WP02 Support'!D121</f>
        <v>4899</v>
      </c>
      <c r="K146" s="247"/>
    </row>
    <row r="147" spans="1:11">
      <c r="A147" s="71">
        <f t="shared" ref="A147:A156" si="4">+A146+1</f>
        <v>93</v>
      </c>
      <c r="B147" s="105"/>
      <c r="C147" s="23" t="s">
        <v>622</v>
      </c>
      <c r="D147" s="62"/>
      <c r="E147" s="70" t="str">
        <f>"(Notes "&amp;A$316&amp;" &amp; "&amp;A$337&amp;")"</f>
        <v>(Notes K &amp; FF)</v>
      </c>
      <c r="F147" s="635"/>
      <c r="G147" s="672">
        <v>0</v>
      </c>
      <c r="H147" s="1028">
        <v>0</v>
      </c>
      <c r="J147" s="1594" t="s">
        <v>1545</v>
      </c>
      <c r="K147" s="247"/>
    </row>
    <row r="148" spans="1:11" ht="15.6">
      <c r="A148" s="71">
        <f t="shared" si="4"/>
        <v>94</v>
      </c>
      <c r="B148" s="105"/>
      <c r="C148" s="53" t="s">
        <v>122</v>
      </c>
      <c r="D148" s="110"/>
      <c r="E148" s="32"/>
      <c r="F148" s="124" t="str">
        <f>"(Line "&amp;A146&amp;" + "&amp;A147&amp;")"</f>
        <v>(Line 92 + 93)</v>
      </c>
      <c r="G148" s="615">
        <f>+G147+G146</f>
        <v>4899</v>
      </c>
      <c r="H148" s="1027">
        <f>+H147+H146</f>
        <v>4899</v>
      </c>
      <c r="K148" s="247"/>
    </row>
    <row r="149" spans="1:11">
      <c r="A149" s="71">
        <f t="shared" si="4"/>
        <v>95</v>
      </c>
      <c r="B149" s="105"/>
      <c r="C149" s="53"/>
      <c r="D149" s="110"/>
      <c r="E149" s="32"/>
      <c r="F149" s="133"/>
      <c r="G149" s="594"/>
      <c r="H149" s="1017"/>
      <c r="K149" s="247"/>
    </row>
    <row r="150" spans="1:11">
      <c r="A150" s="71">
        <f t="shared" si="4"/>
        <v>96</v>
      </c>
      <c r="B150" s="105"/>
      <c r="C150" s="53" t="s">
        <v>742</v>
      </c>
      <c r="D150" s="110"/>
      <c r="E150" s="32" t="str">
        <f>"(Note "&amp;A$311&amp;")"</f>
        <v>(Note F)</v>
      </c>
      <c r="F150" s="942" t="str">
        <f>+"WP10 Storm Line "&amp;'WP10 Storm'!A65&amp;" Column "&amp;'WP10 Storm'!E6</f>
        <v xml:space="preserve">WP10 Storm Line 28 Column D </v>
      </c>
      <c r="G150" s="594">
        <f>+'WP10 Storm'!$E$65</f>
        <v>5826792.7200000025</v>
      </c>
      <c r="H150" s="1017">
        <f>+'WP10 Storm'!$E$65</f>
        <v>5826792.7200000025</v>
      </c>
      <c r="K150" s="247"/>
    </row>
    <row r="151" spans="1:11">
      <c r="A151" s="71">
        <f t="shared" si="4"/>
        <v>97</v>
      </c>
      <c r="B151" s="105"/>
      <c r="C151" s="56" t="s">
        <v>549</v>
      </c>
      <c r="D151" s="12"/>
      <c r="E151" s="70" t="str">
        <f>"(Notes "&amp;A$340&amp;" &amp; "&amp;A$337&amp;")"</f>
        <v>(Notes II &amp; FF)</v>
      </c>
      <c r="F151" s="1266"/>
      <c r="G151" s="672">
        <v>0</v>
      </c>
      <c r="H151" s="1028">
        <v>0</v>
      </c>
      <c r="J151" s="1594" t="s">
        <v>1545</v>
      </c>
      <c r="K151" s="247"/>
    </row>
    <row r="152" spans="1:11">
      <c r="A152" s="71">
        <f t="shared" si="4"/>
        <v>98</v>
      </c>
      <c r="B152" s="105"/>
      <c r="C152" s="593" t="s">
        <v>113</v>
      </c>
      <c r="D152" s="276"/>
      <c r="E152" s="270"/>
      <c r="F152" s="124" t="str">
        <f>"(Line "&amp;A150&amp;" + "&amp;A151&amp;")"</f>
        <v>(Line 96 + 97)</v>
      </c>
      <c r="G152" s="594">
        <f>+G150+G151</f>
        <v>5826792.7200000025</v>
      </c>
      <c r="H152" s="1017">
        <f>+H150+H151</f>
        <v>5826792.7200000025</v>
      </c>
      <c r="K152" s="247"/>
    </row>
    <row r="153" spans="1:11">
      <c r="A153" s="71">
        <f t="shared" si="4"/>
        <v>99</v>
      </c>
      <c r="B153" s="31"/>
      <c r="C153" s="23" t="s">
        <v>88</v>
      </c>
      <c r="D153" s="14"/>
      <c r="E153" s="28"/>
      <c r="F153" s="125" t="str">
        <f>"(Line "&amp;A$35&amp;")"</f>
        <v>(Line 18)</v>
      </c>
      <c r="G153" s="86">
        <f>+G$35</f>
        <v>0.31832180011930167</v>
      </c>
      <c r="H153" s="1016">
        <f>+H$35</f>
        <v>0.35169062683181029</v>
      </c>
      <c r="K153" s="247"/>
    </row>
    <row r="154" spans="1:11" ht="15.6">
      <c r="A154" s="71">
        <f t="shared" si="4"/>
        <v>100</v>
      </c>
      <c r="B154" s="31"/>
      <c r="C154" s="271" t="s">
        <v>75</v>
      </c>
      <c r="D154" s="269"/>
      <c r="E154" s="32"/>
      <c r="F154" s="124" t="str">
        <f>"(Line "&amp;A152&amp;" * "&amp;A153&amp;")"</f>
        <v>(Line 98 * 99)</v>
      </c>
      <c r="G154" s="615">
        <f>+G153*G152</f>
        <v>1854795.147552443</v>
      </c>
      <c r="H154" s="1027">
        <f>+H153*H152</f>
        <v>2049228.3841158298</v>
      </c>
      <c r="K154" s="247"/>
    </row>
    <row r="155" spans="1:11" ht="15.6">
      <c r="A155" s="71">
        <f t="shared" si="4"/>
        <v>101</v>
      </c>
      <c r="B155" s="7"/>
      <c r="C155" s="5"/>
      <c r="D155" s="9"/>
      <c r="E155" s="50"/>
      <c r="F155" s="122"/>
      <c r="G155" s="620"/>
      <c r="H155" s="1033"/>
      <c r="K155" s="247"/>
    </row>
    <row r="156" spans="1:11" ht="16.2" thickBot="1">
      <c r="A156" s="71">
        <f t="shared" si="4"/>
        <v>102</v>
      </c>
      <c r="B156" s="3" t="s">
        <v>102</v>
      </c>
      <c r="C156" s="3"/>
      <c r="D156" s="19"/>
      <c r="E156" s="52"/>
      <c r="F156" s="66" t="str">
        <f>"(Line "&amp;A130&amp;" + "&amp;A143&amp;" + "&amp;A148&amp;" + "&amp;A154&amp;")"</f>
        <v>(Line 80 + 91 + 94 + 100)</v>
      </c>
      <c r="G156" s="622">
        <f>+G130+G143+G148+G154</f>
        <v>27372314.112039711</v>
      </c>
      <c r="H156" s="1034">
        <f>+H130+H143+H148+H154</f>
        <v>27566747.3486031</v>
      </c>
      <c r="K156" s="247"/>
    </row>
    <row r="157" spans="1:11" ht="16.2" thickTop="1">
      <c r="A157" s="103"/>
      <c r="B157" s="7"/>
      <c r="C157" s="5"/>
      <c r="D157" s="9"/>
      <c r="E157" s="50"/>
      <c r="F157" s="122"/>
      <c r="G157" s="67"/>
      <c r="H157" s="1008"/>
      <c r="K157" s="247"/>
    </row>
    <row r="158" spans="1:11" ht="15.6">
      <c r="A158" s="997" t="s">
        <v>96</v>
      </c>
      <c r="B158" s="229"/>
      <c r="C158" s="230"/>
      <c r="D158" s="230"/>
      <c r="E158" s="231"/>
      <c r="F158" s="232"/>
      <c r="G158" s="233"/>
      <c r="H158" s="1009"/>
      <c r="K158" s="247"/>
    </row>
    <row r="159" spans="1:11" ht="15.6">
      <c r="A159" s="111"/>
      <c r="B159" s="7"/>
      <c r="C159" s="5"/>
      <c r="D159" s="9"/>
      <c r="E159" s="50"/>
      <c r="F159" s="122"/>
      <c r="G159" s="67"/>
      <c r="H159" s="1008"/>
      <c r="K159" s="247"/>
    </row>
    <row r="160" spans="1:11" ht="15.6">
      <c r="A160" s="102"/>
      <c r="B160" s="24" t="s">
        <v>473</v>
      </c>
      <c r="C160" s="15"/>
      <c r="D160" s="9"/>
      <c r="E160" s="32"/>
      <c r="F160" s="146"/>
      <c r="G160" s="85"/>
      <c r="H160" s="1022"/>
      <c r="K160" s="247"/>
    </row>
    <row r="161" spans="1:11">
      <c r="A161" s="100">
        <f>+A156+1</f>
        <v>103</v>
      </c>
      <c r="B161" s="112"/>
      <c r="C161" s="56" t="s">
        <v>62</v>
      </c>
      <c r="D161" s="31"/>
      <c r="E161" s="32" t="str">
        <f>"(Note "&amp;A$321&amp;")"</f>
        <v>(Note P)</v>
      </c>
      <c r="F161" s="1810" t="str">
        <f>+"WP18 Deprec Line "&amp;'WP18 Deprec'!A51&amp;" Column C"</f>
        <v>WP18 Deprec Line 6.14 Column C</v>
      </c>
      <c r="G161" s="1555">
        <f>+'WP18 Deprec'!$E51</f>
        <v>21427519.640023574</v>
      </c>
      <c r="H161" s="1556">
        <f>+'WP18 Deprec'!$E51</f>
        <v>21427519.640023574</v>
      </c>
      <c r="J161" s="426" t="s">
        <v>1467</v>
      </c>
      <c r="K161" s="247"/>
    </row>
    <row r="162" spans="1:11">
      <c r="A162" s="100">
        <f t="shared" ref="A162:A170" si="5">+A161+1</f>
        <v>104</v>
      </c>
      <c r="B162" s="112"/>
      <c r="C162" s="53"/>
      <c r="D162" s="9"/>
      <c r="E162" s="31"/>
      <c r="F162" s="133"/>
      <c r="G162" s="594"/>
      <c r="H162" s="1017"/>
      <c r="J162" s="426"/>
      <c r="K162" s="247"/>
    </row>
    <row r="163" spans="1:11">
      <c r="A163" s="100">
        <f t="shared" si="5"/>
        <v>105</v>
      </c>
      <c r="B163" s="105"/>
      <c r="C163" s="53" t="s">
        <v>89</v>
      </c>
      <c r="D163" s="9"/>
      <c r="E163" s="32" t="str">
        <f>"(Note "&amp;A$306&amp;")"</f>
        <v>(Note A)</v>
      </c>
      <c r="F163" s="1810" t="str">
        <f>+"WP18 Deprec Line "&amp;'WP18 Deprec'!A35&amp;" Column C"</f>
        <v>WP18 Deprec Line 4.11 Column C</v>
      </c>
      <c r="G163" s="1557">
        <f>+'WP18 Deprec'!$E35</f>
        <v>6253019.2199999988</v>
      </c>
      <c r="H163" s="1558">
        <f>+'WP18 Deprec'!$E35</f>
        <v>6253019.2199999988</v>
      </c>
      <c r="J163" s="426" t="s">
        <v>1467</v>
      </c>
      <c r="K163" s="247"/>
    </row>
    <row r="164" spans="1:11" s="247" customFormat="1">
      <c r="A164" s="100">
        <f t="shared" si="5"/>
        <v>106</v>
      </c>
      <c r="B164" s="112"/>
      <c r="C164" s="53" t="s">
        <v>550</v>
      </c>
      <c r="D164" s="9"/>
      <c r="E164" s="1811" t="str">
        <f>"(Notes "&amp;A$306&amp;" &amp; "&amp;A$321&amp;")"</f>
        <v>(Notes A &amp; P)</v>
      </c>
      <c r="F164" s="1810" t="str">
        <f>+"WP18 Deprec Line "&amp;'WP18 Deprec'!A22&amp;" Column C"</f>
        <v>WP18 Deprec Line 2.14 Column C</v>
      </c>
      <c r="G164" s="1557">
        <f>+'WP18 Deprec'!$E22</f>
        <v>5121017.7499999991</v>
      </c>
      <c r="H164" s="1558">
        <f>+'WP18 Deprec'!$E22</f>
        <v>5121017.7499999991</v>
      </c>
      <c r="J164" s="426" t="s">
        <v>1467</v>
      </c>
    </row>
    <row r="165" spans="1:11" s="247" customFormat="1">
      <c r="A165" s="100">
        <f t="shared" si="5"/>
        <v>107</v>
      </c>
      <c r="B165" s="435"/>
      <c r="C165" s="23" t="s">
        <v>1469</v>
      </c>
      <c r="D165" s="434"/>
      <c r="E165" s="1812" t="str">
        <f>"(Notes "&amp;A$337&amp;" &amp; "&amp;A$343&amp;")"</f>
        <v>(Notes FF &amp; LL)</v>
      </c>
      <c r="F165" s="245" t="str">
        <f>+"WP02 Support Line "&amp;'WP02 Support'!A134&amp;" Column "&amp;'WP02 Support'!$D$5</f>
        <v>WP02 Support Line 48 Column C</v>
      </c>
      <c r="G165" s="613">
        <f>+'WP02 Support'!D134</f>
        <v>1358127.6833333333</v>
      </c>
      <c r="H165" s="1023">
        <f>+'WP02 Support'!D134</f>
        <v>1358127.6833333333</v>
      </c>
      <c r="J165" s="426" t="s">
        <v>1468</v>
      </c>
    </row>
    <row r="166" spans="1:11">
      <c r="A166" s="100">
        <f t="shared" si="5"/>
        <v>108</v>
      </c>
      <c r="B166" s="105"/>
      <c r="C166" s="53" t="s">
        <v>113</v>
      </c>
      <c r="D166" s="9"/>
      <c r="E166" s="31"/>
      <c r="F166" s="945" t="str">
        <f>"(Line "&amp;A163&amp;" + "&amp;A164&amp;" + "&amp;A165&amp;")"</f>
        <v>(Line 105 + 106 + 107)</v>
      </c>
      <c r="G166" s="594">
        <f>+G164+G165+G163</f>
        <v>12732164.653333332</v>
      </c>
      <c r="H166" s="1017">
        <f>+H164+H165+H163</f>
        <v>12732164.653333332</v>
      </c>
      <c r="K166" s="247"/>
    </row>
    <row r="167" spans="1:11">
      <c r="A167" s="71">
        <f t="shared" si="5"/>
        <v>109</v>
      </c>
      <c r="B167" s="105"/>
      <c r="C167" s="23" t="s">
        <v>110</v>
      </c>
      <c r="D167" s="12"/>
      <c r="E167" s="70"/>
      <c r="F167" s="132" t="str">
        <f>"(Line "&amp;A$24&amp;")"</f>
        <v>(Line 11)</v>
      </c>
      <c r="G167" s="86">
        <f>+G24</f>
        <v>0.15203880084848126</v>
      </c>
      <c r="H167" s="1013">
        <f>H$24</f>
        <v>0.15203880084848126</v>
      </c>
      <c r="K167" s="247"/>
    </row>
    <row r="168" spans="1:11" ht="15.6">
      <c r="A168" s="71">
        <f t="shared" si="5"/>
        <v>110</v>
      </c>
      <c r="B168" s="105"/>
      <c r="C168" s="36" t="s">
        <v>260</v>
      </c>
      <c r="D168" s="9"/>
      <c r="E168" s="9"/>
      <c r="F168" s="124" t="str">
        <f>"(Line "&amp;A166&amp;" * "&amp;A167&amp;")"</f>
        <v>(Line 108 * 109)</v>
      </c>
      <c r="G168" s="615">
        <f>(+G166*G167)</f>
        <v>1935783.046098219</v>
      </c>
      <c r="H168" s="1027">
        <f>(+H166*H167)</f>
        <v>1935783.046098219</v>
      </c>
      <c r="K168" s="247"/>
    </row>
    <row r="169" spans="1:11">
      <c r="A169" s="71">
        <f t="shared" si="5"/>
        <v>111</v>
      </c>
      <c r="B169" s="56"/>
      <c r="C169" s="53"/>
      <c r="D169" s="9"/>
      <c r="E169" s="31"/>
      <c r="F169" s="133"/>
      <c r="G169" s="594"/>
      <c r="H169" s="1017"/>
      <c r="K169" s="247"/>
    </row>
    <row r="170" spans="1:11" s="1" customFormat="1" ht="16.2" thickBot="1">
      <c r="A170" s="71">
        <f t="shared" si="5"/>
        <v>112</v>
      </c>
      <c r="B170" s="54" t="s">
        <v>97</v>
      </c>
      <c r="C170" s="54"/>
      <c r="D170" s="16"/>
      <c r="E170" s="55"/>
      <c r="F170" s="66" t="str">
        <f>"(Line "&amp;A161&amp;" + "&amp;A168&amp;")"</f>
        <v>(Line 103 + 110)</v>
      </c>
      <c r="G170" s="93">
        <f>+G161+G168</f>
        <v>23363302.686121792</v>
      </c>
      <c r="H170" s="1036">
        <f>+H161+H168</f>
        <v>23363302.686121792</v>
      </c>
      <c r="J170" s="1593"/>
      <c r="K170" s="33"/>
    </row>
    <row r="171" spans="1:11" ht="15.6" thickTop="1">
      <c r="A171" s="108"/>
      <c r="B171" s="6"/>
      <c r="C171" s="6"/>
      <c r="D171" s="6"/>
      <c r="E171" s="26"/>
      <c r="F171" s="123"/>
      <c r="G171" s="616"/>
      <c r="H171" s="1029"/>
      <c r="K171" s="247"/>
    </row>
    <row r="172" spans="1:11" ht="15.6">
      <c r="A172" s="997" t="s">
        <v>39</v>
      </c>
      <c r="B172" s="229"/>
      <c r="C172" s="230"/>
      <c r="D172" s="230"/>
      <c r="E172" s="231"/>
      <c r="F172" s="232"/>
      <c r="G172" s="618"/>
      <c r="H172" s="1037"/>
      <c r="K172" s="247"/>
    </row>
    <row r="173" spans="1:11" ht="15.6">
      <c r="A173" s="1806"/>
      <c r="B173" s="7"/>
      <c r="C173" s="5"/>
      <c r="D173" s="9"/>
      <c r="E173" s="101"/>
      <c r="F173" s="122"/>
      <c r="G173" s="624"/>
      <c r="H173" s="1038"/>
      <c r="K173" s="247"/>
    </row>
    <row r="174" spans="1:11" ht="15.6">
      <c r="A174" s="71">
        <f>+A170+1</f>
        <v>113</v>
      </c>
      <c r="B174" s="36"/>
      <c r="C174" s="9" t="s">
        <v>544</v>
      </c>
      <c r="D174" s="9"/>
      <c r="E174" s="32"/>
      <c r="F174" s="120" t="str">
        <f>+"WP13 TOTI Line "&amp;'WP13 TOTI'!A35&amp;" Column "&amp;'WP13 TOTI'!E$5</f>
        <v>WP13 TOTI Line 2 Column D</v>
      </c>
      <c r="G174" s="612">
        <f>+'WP13 TOTI'!E35</f>
        <v>0</v>
      </c>
      <c r="H174" s="1007">
        <f>+'WP13 TOTI'!E35</f>
        <v>0</v>
      </c>
      <c r="K174" s="247"/>
    </row>
    <row r="175" spans="1:11">
      <c r="A175" s="71">
        <f t="shared" ref="A175:A185" si="6">+A174+1</f>
        <v>114</v>
      </c>
      <c r="B175" s="105"/>
      <c r="C175" s="9"/>
      <c r="D175" s="9"/>
      <c r="E175" s="32"/>
      <c r="F175" s="120"/>
      <c r="G175" s="612"/>
      <c r="H175" s="1007"/>
      <c r="K175" s="247"/>
    </row>
    <row r="176" spans="1:11">
      <c r="A176" s="71">
        <f t="shared" si="6"/>
        <v>115</v>
      </c>
      <c r="B176" s="105"/>
      <c r="C176" s="9" t="s">
        <v>551</v>
      </c>
      <c r="D176" s="9"/>
      <c r="E176" s="32"/>
      <c r="F176" s="120" t="str">
        <f>+"WP13 TOTI Line "&amp;'WP13 TOTI'!A$35&amp;" Column "&amp;'WP13 TOTI'!F$5</f>
        <v>WP13 TOTI Line 2 Column E</v>
      </c>
      <c r="G176" s="612">
        <f>+'WP13 TOTI'!F35</f>
        <v>32090230.119999997</v>
      </c>
      <c r="H176" s="1007">
        <f>+'WP13 TOTI'!F35</f>
        <v>32090230.119999997</v>
      </c>
      <c r="K176" s="247"/>
    </row>
    <row r="177" spans="1:11">
      <c r="A177" s="71">
        <f t="shared" si="6"/>
        <v>116</v>
      </c>
      <c r="B177" s="105"/>
      <c r="C177" s="858" t="s">
        <v>552</v>
      </c>
      <c r="D177" s="9"/>
      <c r="E177" s="32" t="str">
        <f>"(Note "&amp;A$337&amp;")"</f>
        <v>(Note FF)</v>
      </c>
      <c r="F177" s="120" t="str">
        <f>+"WP02 Support Line "&amp;'WP02 Support'!A145&amp;" Column "&amp;'WP02 Support'!$D$5</f>
        <v>WP02 Support Line 53 Column C</v>
      </c>
      <c r="G177" s="432">
        <f>+'WP02 Support'!D145</f>
        <v>-1172.5</v>
      </c>
      <c r="H177" s="1039">
        <f>+'WP02 Support'!D145</f>
        <v>-1172.5</v>
      </c>
      <c r="I177" s="247"/>
      <c r="K177" s="247"/>
    </row>
    <row r="178" spans="1:11">
      <c r="A178" s="71">
        <f t="shared" si="6"/>
        <v>117</v>
      </c>
      <c r="B178" s="105"/>
      <c r="C178" s="859" t="s">
        <v>553</v>
      </c>
      <c r="D178" s="9"/>
      <c r="E178" s="32"/>
      <c r="F178" s="124" t="str">
        <f>"(Line "&amp;A176&amp;" + "&amp;A177&amp;")"</f>
        <v>(Line 115 + 116)</v>
      </c>
      <c r="G178" s="612">
        <f>+G176+G177</f>
        <v>32089057.619999997</v>
      </c>
      <c r="H178" s="1007">
        <f>+H176+H177</f>
        <v>32089057.619999997</v>
      </c>
      <c r="K178" s="247"/>
    </row>
    <row r="179" spans="1:11">
      <c r="A179" s="71">
        <f t="shared" si="6"/>
        <v>118</v>
      </c>
      <c r="B179" s="31"/>
      <c r="C179" s="53" t="str">
        <f>+B32</f>
        <v>Gross Plant Allocator</v>
      </c>
      <c r="D179" s="14"/>
      <c r="E179" s="31"/>
      <c r="F179" s="124" t="str">
        <f>"(Line "&amp;A$32&amp;")"</f>
        <v>(Line 16)</v>
      </c>
      <c r="G179" s="86">
        <f>+G$32</f>
        <v>0.28578751527461038</v>
      </c>
      <c r="H179" s="1016">
        <f>+H$32</f>
        <v>0.31009231892892691</v>
      </c>
      <c r="K179" s="247"/>
    </row>
    <row r="180" spans="1:11">
      <c r="A180" s="71">
        <f t="shared" si="6"/>
        <v>119</v>
      </c>
      <c r="B180" s="105"/>
      <c r="C180" s="171" t="str">
        <f>+"Total Transmission Allocated "&amp;C178</f>
        <v>Total Transmission Allocated Total Plant Associated</v>
      </c>
      <c r="D180" s="9"/>
      <c r="E180" s="32"/>
      <c r="F180" s="124" t="str">
        <f>"(Line "&amp;A178&amp;" * "&amp;A179&amp;")"</f>
        <v>(Line 117 * 118)</v>
      </c>
      <c r="G180" s="594">
        <f>+G178*G179</f>
        <v>9170652.044723602</v>
      </c>
      <c r="H180" s="1017">
        <f>+H178*H179</f>
        <v>9950570.2896297518</v>
      </c>
      <c r="K180" s="247"/>
    </row>
    <row r="181" spans="1:11">
      <c r="A181" s="71">
        <f t="shared" si="6"/>
        <v>120</v>
      </c>
      <c r="B181" s="105"/>
      <c r="C181" s="9"/>
      <c r="D181" s="9"/>
      <c r="E181" s="32"/>
      <c r="F181" s="120"/>
      <c r="G181" s="612"/>
      <c r="H181" s="1007"/>
      <c r="K181" s="247"/>
    </row>
    <row r="182" spans="1:11">
      <c r="A182" s="71">
        <f t="shared" si="6"/>
        <v>121</v>
      </c>
      <c r="B182" s="105"/>
      <c r="C182" s="9" t="s">
        <v>144</v>
      </c>
      <c r="D182" s="9"/>
      <c r="E182" s="32"/>
      <c r="F182" s="120" t="str">
        <f>+"WP13 TOTI Line "&amp;'WP13 TOTI'!A$35&amp;" Column "&amp;'WP13 TOTI'!G$5</f>
        <v>WP13 TOTI Line 2 Column F</v>
      </c>
      <c r="G182" s="612">
        <f>+'WP13 TOTI'!G35</f>
        <v>4103062.4099999969</v>
      </c>
      <c r="H182" s="1007">
        <f>+'WP13 TOTI'!G35</f>
        <v>4103062.4099999969</v>
      </c>
      <c r="K182" s="247"/>
    </row>
    <row r="183" spans="1:11" s="247" customFormat="1" ht="15.6">
      <c r="A183" s="104">
        <f t="shared" si="6"/>
        <v>122</v>
      </c>
      <c r="B183" s="46"/>
      <c r="C183" s="9" t="s">
        <v>110</v>
      </c>
      <c r="D183" s="9"/>
      <c r="E183" s="47"/>
      <c r="F183" s="120" t="str">
        <f>"(Line "&amp;A$24&amp;")"</f>
        <v>(Line 11)</v>
      </c>
      <c r="G183" s="237">
        <f>+G$24</f>
        <v>0.15203880084848126</v>
      </c>
      <c r="H183" s="1013">
        <f>H$24</f>
        <v>0.15203880084848126</v>
      </c>
      <c r="J183" s="1594"/>
    </row>
    <row r="184" spans="1:11">
      <c r="A184" s="71">
        <f t="shared" si="6"/>
        <v>123</v>
      </c>
      <c r="B184" s="105"/>
      <c r="C184" s="23" t="str">
        <f>+"Total Transmission Allocated "&amp;C182</f>
        <v>Total Transmission Allocated Labor</v>
      </c>
      <c r="D184" s="62"/>
      <c r="E184" s="70"/>
      <c r="F184" s="125" t="str">
        <f>"(Line "&amp;A182&amp;" * "&amp;A183&amp;")"</f>
        <v>(Line 121 * 122)</v>
      </c>
      <c r="G184" s="846">
        <f>+G182*G183</f>
        <v>623824.6886228791</v>
      </c>
      <c r="H184" s="1018">
        <f>+H182*H183</f>
        <v>623824.6886228791</v>
      </c>
      <c r="K184" s="247"/>
    </row>
    <row r="185" spans="1:11" s="1" customFormat="1" ht="16.2" thickBot="1">
      <c r="A185" s="71">
        <f t="shared" si="6"/>
        <v>124</v>
      </c>
      <c r="B185" s="3" t="s">
        <v>474</v>
      </c>
      <c r="C185" s="3"/>
      <c r="D185" s="436"/>
      <c r="E185" s="148"/>
      <c r="F185" s="66" t="str">
        <f>"(Line "&amp;A174&amp;" + "&amp;A180&amp;" + "&amp;A184&amp;")"</f>
        <v>(Line 113 + 119 + 123)</v>
      </c>
      <c r="G185" s="556">
        <f>+G174+G180+G184</f>
        <v>9794476.7333464809</v>
      </c>
      <c r="H185" s="1014">
        <f>+H174+H180+H184</f>
        <v>10574394.978252631</v>
      </c>
      <c r="J185" s="1594"/>
      <c r="K185" s="33"/>
    </row>
    <row r="186" spans="1:11" ht="15.6" thickTop="1">
      <c r="A186" s="102"/>
      <c r="B186" s="6"/>
      <c r="C186" s="6"/>
      <c r="D186" s="6"/>
      <c r="E186" s="26"/>
      <c r="F186" s="123"/>
      <c r="G186" s="79"/>
      <c r="H186" s="1026"/>
      <c r="K186" s="247"/>
    </row>
    <row r="187" spans="1:11" ht="15.6">
      <c r="A187" s="998" t="s">
        <v>759</v>
      </c>
      <c r="B187" s="229"/>
      <c r="C187" s="229"/>
      <c r="D187" s="230"/>
      <c r="E187" s="231"/>
      <c r="F187" s="234"/>
      <c r="G187" s="228"/>
      <c r="H187" s="1040"/>
      <c r="J187" s="1593"/>
      <c r="K187" s="247"/>
    </row>
    <row r="188" spans="1:11" ht="15.6">
      <c r="A188" s="1806"/>
      <c r="B188" s="7"/>
      <c r="C188" s="5"/>
      <c r="D188" s="9"/>
      <c r="E188" s="50"/>
      <c r="F188" s="122"/>
      <c r="G188" s="67"/>
      <c r="H188" s="1008"/>
      <c r="J188" s="1593"/>
      <c r="K188" s="247"/>
    </row>
    <row r="189" spans="1:11" ht="15.6">
      <c r="A189" s="71">
        <f>+A185+1</f>
        <v>125</v>
      </c>
      <c r="B189" s="31"/>
      <c r="C189" s="53" t="s">
        <v>760</v>
      </c>
      <c r="D189" s="9"/>
      <c r="E189" s="145" t="s">
        <v>763</v>
      </c>
      <c r="F189" s="120"/>
      <c r="G189" s="196">
        <v>0</v>
      </c>
      <c r="H189" s="1020">
        <v>0</v>
      </c>
      <c r="J189" s="1593"/>
      <c r="K189" s="247"/>
    </row>
    <row r="190" spans="1:11" ht="15.6">
      <c r="A190" s="71">
        <f>+A189+1</f>
        <v>126</v>
      </c>
      <c r="B190" s="31"/>
      <c r="C190" s="53" t="s">
        <v>761</v>
      </c>
      <c r="D190" s="9"/>
      <c r="E190" s="145" t="s">
        <v>763</v>
      </c>
      <c r="F190" s="120"/>
      <c r="G190" s="196">
        <v>0</v>
      </c>
      <c r="H190" s="1020">
        <v>0</v>
      </c>
      <c r="J190" s="1593"/>
      <c r="K190" s="247"/>
    </row>
    <row r="191" spans="1:11" ht="15.6">
      <c r="A191" s="71">
        <f>+A190+1</f>
        <v>127</v>
      </c>
      <c r="B191" s="31"/>
      <c r="C191" s="9" t="s">
        <v>110</v>
      </c>
      <c r="D191" s="9"/>
      <c r="E191" s="47"/>
      <c r="F191" s="120" t="str">
        <f>"(Line "&amp;A$24&amp;")"</f>
        <v>(Line 11)</v>
      </c>
      <c r="G191" s="237">
        <f>+G$24</f>
        <v>0.15203880084848126</v>
      </c>
      <c r="H191" s="1013">
        <f>H$24</f>
        <v>0.15203880084848126</v>
      </c>
      <c r="K191" s="247"/>
    </row>
    <row r="192" spans="1:11">
      <c r="A192" s="71">
        <f>+A191+1</f>
        <v>128</v>
      </c>
      <c r="B192" s="31"/>
      <c r="C192" s="23" t="str">
        <f>+"Total Allocated "&amp;C190</f>
        <v>Total Allocated (Gain) or Loss on Sales of General Plant Assets</v>
      </c>
      <c r="D192" s="62"/>
      <c r="E192" s="70"/>
      <c r="F192" s="125" t="str">
        <f>"(Line "&amp;A190&amp;" * "&amp;A191&amp;")"</f>
        <v>(Line 126 * 127)</v>
      </c>
      <c r="G192" s="846">
        <f>+G190*G191</f>
        <v>0</v>
      </c>
      <c r="H192" s="1018">
        <f>+H190*H191</f>
        <v>0</v>
      </c>
      <c r="K192" s="247"/>
    </row>
    <row r="193" spans="1:11" ht="16.2" thickBot="1">
      <c r="A193" s="71">
        <f>+A192+1</f>
        <v>129</v>
      </c>
      <c r="B193" s="1089" t="s">
        <v>762</v>
      </c>
      <c r="C193" s="1089"/>
      <c r="D193" s="436"/>
      <c r="E193" s="841" t="str">
        <f>"(Note "&amp;A$335&amp;")"</f>
        <v>(Note DD)</v>
      </c>
      <c r="F193" s="66" t="str">
        <f>"(Line "&amp;A189&amp;" + "&amp;A192&amp;")"</f>
        <v>(Line 125 + 128)</v>
      </c>
      <c r="G193" s="93">
        <f>+G189+G192</f>
        <v>0</v>
      </c>
      <c r="H193" s="1036">
        <f>+H189+H192</f>
        <v>0</v>
      </c>
      <c r="K193" s="247"/>
    </row>
    <row r="194" spans="1:11" ht="15.6" thickTop="1">
      <c r="A194" s="102"/>
      <c r="B194" s="6"/>
      <c r="C194" s="6"/>
      <c r="D194" s="6"/>
      <c r="E194" s="26"/>
      <c r="F194" s="123"/>
      <c r="G194" s="616"/>
      <c r="H194" s="1029"/>
      <c r="K194" s="247"/>
    </row>
    <row r="195" spans="1:11" ht="15.6">
      <c r="A195" s="997" t="s">
        <v>90</v>
      </c>
      <c r="B195" s="229"/>
      <c r="C195" s="230"/>
      <c r="D195" s="230"/>
      <c r="E195" s="231"/>
      <c r="F195" s="232"/>
      <c r="G195" s="618"/>
      <c r="H195" s="1037"/>
      <c r="K195" s="247"/>
    </row>
    <row r="196" spans="1:11" ht="15.6">
      <c r="A196" s="114"/>
      <c r="B196" s="31"/>
      <c r="C196" s="5"/>
      <c r="D196" s="9"/>
      <c r="E196" s="101"/>
      <c r="F196" s="130"/>
      <c r="G196" s="624"/>
      <c r="H196" s="1038"/>
      <c r="K196" s="247"/>
    </row>
    <row r="197" spans="1:11">
      <c r="A197" s="71">
        <f>+A193+1</f>
        <v>130</v>
      </c>
      <c r="B197" s="143" t="s">
        <v>452</v>
      </c>
      <c r="C197" s="143"/>
      <c r="D197" s="247"/>
      <c r="E197" s="32" t="str">
        <f>"(Notes "&amp;A$323&amp;" &amp; "&amp;A$339&amp;")"</f>
        <v>(Notes R &amp; HH)</v>
      </c>
      <c r="F197" s="946" t="str">
        <f>+"WP14 COC Line "&amp;'WP14 COC'!A12&amp;" Column "&amp;'WP14 COC'!Q5&amp;", Column O"</f>
        <v>WP14 COC Line 6 Column P, Column O</v>
      </c>
      <c r="G197" s="612">
        <f>+'WP14 COC'!$Q12</f>
        <v>1060955318.8884616</v>
      </c>
      <c r="H197" s="1007">
        <f>+'WP14 COC'!$P12</f>
        <v>1089312642.47</v>
      </c>
      <c r="K197" s="247"/>
    </row>
    <row r="198" spans="1:11">
      <c r="A198" s="71">
        <f>+A197+1</f>
        <v>131</v>
      </c>
      <c r="B198" s="143" t="s">
        <v>453</v>
      </c>
      <c r="C198" s="143"/>
      <c r="D198" s="247"/>
      <c r="E198" s="32" t="str">
        <f>"(Notes "&amp;A$323&amp;" &amp; "&amp;A$339&amp;")"</f>
        <v>(Notes R &amp; HH)</v>
      </c>
      <c r="F198" s="946" t="str">
        <f>+"WP14 COC Line "&amp;'WP14 COC'!A20&amp;" Column "&amp;'WP14 COC'!Q5&amp;", Column O"</f>
        <v>WP14 COC Line 14 Column P, Column O</v>
      </c>
      <c r="G198" s="612">
        <f>+'WP14 COC'!Q20</f>
        <v>1040891039.7992308</v>
      </c>
      <c r="H198" s="1007">
        <f>+'WP14 COC'!P20</f>
        <v>1069802836.9799999</v>
      </c>
      <c r="K198" s="247"/>
    </row>
    <row r="199" spans="1:11">
      <c r="A199" s="71">
        <f>+A198+1</f>
        <v>132</v>
      </c>
      <c r="B199" s="143" t="s">
        <v>305</v>
      </c>
      <c r="C199" s="143"/>
      <c r="D199" s="247"/>
      <c r="E199" s="32" t="str">
        <f>"(Notes "&amp;A$322&amp;" &amp; "&amp;A$323&amp;")"</f>
        <v>(Notes Q &amp; R)</v>
      </c>
      <c r="F199" s="946" t="str">
        <f>+"WP14 COC Line "&amp;'WP14 COC'!A30&amp;" Column O"</f>
        <v>WP14 COC Line 24 Column O</v>
      </c>
      <c r="G199" s="612">
        <f>'WP14 COC'!$P30</f>
        <v>63864211.399999999</v>
      </c>
      <c r="H199" s="1007">
        <f>'WP14 COC'!$P30</f>
        <v>63864211.399999999</v>
      </c>
      <c r="K199" s="247"/>
    </row>
    <row r="200" spans="1:11">
      <c r="A200" s="71">
        <f>+A199+1</f>
        <v>133</v>
      </c>
      <c r="B200" s="143" t="s">
        <v>70</v>
      </c>
      <c r="C200" s="143"/>
      <c r="D200" s="247"/>
      <c r="E200" s="32" t="str">
        <f>"(Note "&amp;A$339&amp;")"</f>
        <v>(Note HH)</v>
      </c>
      <c r="F200" s="946" t="str">
        <f>+"WP14 COC Line "&amp;'WP14 COC'!A39&amp;" Column P, Column O"</f>
        <v>WP14 COC Line 33 Column P, Column O</v>
      </c>
      <c r="G200" s="94">
        <f>+'WP14 COC'!Q39</f>
        <v>0</v>
      </c>
      <c r="H200" s="1007">
        <f>+'WP14 COC'!P39</f>
        <v>0</v>
      </c>
      <c r="K200" s="247"/>
    </row>
    <row r="201" spans="1:11">
      <c r="A201" s="71">
        <f>+A200+1</f>
        <v>134</v>
      </c>
      <c r="B201" s="143" t="s">
        <v>43</v>
      </c>
      <c r="C201" s="860"/>
      <c r="D201" s="247"/>
      <c r="E201" s="1090"/>
      <c r="F201" s="946" t="str">
        <f>+"WP14 COC Line "&amp;'WP14 COC'!A41&amp;" Column O"</f>
        <v>WP14 COC Line 35 Column O</v>
      </c>
      <c r="G201" s="94">
        <f>+'WP14 COC'!P41</f>
        <v>0</v>
      </c>
      <c r="H201" s="1007">
        <f>+'WP14 COC'!P41</f>
        <v>0</v>
      </c>
      <c r="K201" s="247"/>
    </row>
    <row r="202" spans="1:11">
      <c r="A202" s="71">
        <f>+A201+1</f>
        <v>135</v>
      </c>
      <c r="B202" s="143" t="s">
        <v>306</v>
      </c>
      <c r="C202" s="143"/>
      <c r="D202" s="247"/>
      <c r="E202" s="32" t="str">
        <f>"(Note "&amp;A$339&amp;")"</f>
        <v>(Note HH)</v>
      </c>
      <c r="F202" s="946" t="str">
        <f>+"WP14 COC Line "&amp;'WP14 COC'!A48&amp;" Column P, Column O"</f>
        <v>WP14 COC Line 42 Column P, Column O</v>
      </c>
      <c r="G202" s="94">
        <f>+'WP14 COC'!Q48</f>
        <v>1038324075.3453847</v>
      </c>
      <c r="H202" s="1007">
        <f>+'WP14 COC'!P48</f>
        <v>1095470540.1600001</v>
      </c>
      <c r="K202" s="247"/>
    </row>
    <row r="203" spans="1:11">
      <c r="A203" s="71"/>
      <c r="B203" s="143"/>
      <c r="C203" s="143"/>
      <c r="D203" s="143"/>
      <c r="E203" s="143"/>
      <c r="F203" s="142"/>
      <c r="G203" s="144"/>
      <c r="H203" s="1041"/>
      <c r="K203" s="247"/>
    </row>
    <row r="204" spans="1:11">
      <c r="A204" s="71">
        <f>+A202+1</f>
        <v>136</v>
      </c>
      <c r="B204" s="15"/>
      <c r="C204" s="53" t="s">
        <v>278</v>
      </c>
      <c r="D204" s="56" t="s">
        <v>57</v>
      </c>
      <c r="E204" s="32"/>
      <c r="F204" s="241" t="str">
        <f>"(1 - (Line "&amp;A205&amp;" + Line "&amp;A206&amp;"))"</f>
        <v>(1 - (Line 137 + Line 138))</v>
      </c>
      <c r="G204" s="87">
        <f>IF((1-G205-G206)=1,0,1-G205-G206)</f>
        <v>0.50539024095726348</v>
      </c>
      <c r="H204" s="1042">
        <f>IF((1-H205-H206)=1,0,1-H205-H206)</f>
        <v>0.49859073025210054</v>
      </c>
      <c r="K204" s="247"/>
    </row>
    <row r="205" spans="1:11">
      <c r="A205" s="71">
        <f>+A204+1</f>
        <v>137</v>
      </c>
      <c r="B205" s="15"/>
      <c r="C205" s="53" t="s">
        <v>279</v>
      </c>
      <c r="D205" s="56" t="s">
        <v>70</v>
      </c>
      <c r="E205" s="32"/>
      <c r="F205" s="241" t="str">
        <f>"(Line "&amp;A200&amp;" / (Line "&amp;A$197&amp;" + Line "&amp;A$200&amp;" + Line "&amp;A$202&amp;"))"</f>
        <v>(Line 133 / (Line 130 + Line 133 + Line 135))</v>
      </c>
      <c r="G205" s="258">
        <f>IF((G197+G200+G202)=0,0,G200/(G197+G200+G202))</f>
        <v>0</v>
      </c>
      <c r="H205" s="1043">
        <f>IF((H197+H200+H202)=0,0,H200/(H197+H200+H202))</f>
        <v>0</v>
      </c>
      <c r="K205" s="247"/>
    </row>
    <row r="206" spans="1:11">
      <c r="A206" s="71">
        <f>+A205+1</f>
        <v>138</v>
      </c>
      <c r="B206" s="15"/>
      <c r="C206" s="53" t="s">
        <v>280</v>
      </c>
      <c r="D206" s="56" t="s">
        <v>53</v>
      </c>
      <c r="E206" s="32"/>
      <c r="F206" s="241" t="str">
        <f>"(Line "&amp;A202&amp;" / (Line "&amp;A$197&amp;" + Line "&amp;A$200&amp;" + Line "&amp;A$202&amp;"))"</f>
        <v>(Line 135 / (Line 130 + Line 133 + Line 135))</v>
      </c>
      <c r="G206" s="258">
        <f>IF((G197+G200+G202)=0,0,G202/(G197+G200+G202))</f>
        <v>0.49460975904273657</v>
      </c>
      <c r="H206" s="1043">
        <f>IF((H197+H200+H202)=0,0,H202/(H197+H200+H202))</f>
        <v>0.50140926974789946</v>
      </c>
      <c r="K206" s="247"/>
    </row>
    <row r="207" spans="1:11" ht="15.6">
      <c r="A207" s="71"/>
      <c r="B207" s="15"/>
      <c r="C207" s="145"/>
      <c r="D207" s="9"/>
      <c r="E207" s="32"/>
      <c r="F207" s="124"/>
      <c r="G207" s="506"/>
      <c r="H207" s="1043"/>
      <c r="K207" s="247"/>
    </row>
    <row r="208" spans="1:11">
      <c r="A208" s="220">
        <f>+A206+1</f>
        <v>139</v>
      </c>
      <c r="B208" s="221"/>
      <c r="C208" s="222" t="s">
        <v>128</v>
      </c>
      <c r="D208" s="1687" t="s">
        <v>517</v>
      </c>
      <c r="E208" s="1687"/>
      <c r="F208" s="235" t="str">
        <f>"(Line "&amp;A199&amp;" / Line "&amp;A198&amp;")"</f>
        <v>(Line 132 / Line 131)</v>
      </c>
      <c r="G208" s="87">
        <f>IF(G198=0,0,G199/G198)</f>
        <v>6.1355328231395147E-2</v>
      </c>
      <c r="H208" s="1042">
        <f>IF(H198=0,0,H199/H198)</f>
        <v>5.9697178949614196E-2</v>
      </c>
      <c r="K208" s="247"/>
    </row>
    <row r="209" spans="1:11">
      <c r="A209" s="220">
        <f>+A208+1</f>
        <v>140</v>
      </c>
      <c r="B209" s="221"/>
      <c r="C209" s="222" t="s">
        <v>133</v>
      </c>
      <c r="D209" s="1687" t="s">
        <v>516</v>
      </c>
      <c r="E209" s="1687"/>
      <c r="F209" s="235" t="str">
        <f>"(Line "&amp;A201&amp;" / Line "&amp;A200&amp;")"</f>
        <v>(Line 134 / Line 133)</v>
      </c>
      <c r="G209" s="87">
        <f>IF(G201=0,0,G201/G200)</f>
        <v>0</v>
      </c>
      <c r="H209" s="1042">
        <f>IF(H201=0,0,H201/H200)</f>
        <v>0</v>
      </c>
      <c r="K209" s="247"/>
    </row>
    <row r="210" spans="1:11">
      <c r="A210" s="71">
        <f>+A209+1</f>
        <v>141</v>
      </c>
      <c r="B210" s="15"/>
      <c r="C210" s="145" t="s">
        <v>129</v>
      </c>
      <c r="D210" s="56" t="s">
        <v>53</v>
      </c>
      <c r="E210" s="32" t="str">
        <f>"(Note "&amp;A315&amp;")"</f>
        <v>(Note J)</v>
      </c>
      <c r="F210" s="124"/>
      <c r="G210" s="195">
        <f>'App A Support'!D9</f>
        <v>0.11975081967213114</v>
      </c>
      <c r="H210" s="1044">
        <f>'App A Support'!B8</f>
        <v>0.1082</v>
      </c>
      <c r="J210" s="1595" t="s">
        <v>1546</v>
      </c>
      <c r="K210" s="247"/>
    </row>
    <row r="211" spans="1:11">
      <c r="A211" s="71"/>
      <c r="B211" s="15"/>
      <c r="C211" s="145"/>
      <c r="D211" s="56"/>
      <c r="E211" s="32"/>
      <c r="F211" s="124"/>
      <c r="G211" s="87"/>
      <c r="H211" s="1042"/>
      <c r="K211" s="247"/>
    </row>
    <row r="212" spans="1:11">
      <c r="A212" s="71">
        <f>+A210+1</f>
        <v>142</v>
      </c>
      <c r="B212" s="31"/>
      <c r="C212" s="53" t="s">
        <v>130</v>
      </c>
      <c r="D212" s="56"/>
      <c r="E212" s="32"/>
      <c r="F212" s="124" t="str">
        <f>"(Line "&amp;A204&amp;" * "&amp;A208&amp;")"</f>
        <v>(Line 136 * 139)</v>
      </c>
      <c r="G212" s="87">
        <f t="shared" ref="G212:H214" si="7">+G204*G208</f>
        <v>3.1008384118876783E-2</v>
      </c>
      <c r="H212" s="1042">
        <f t="shared" si="7"/>
        <v>2.9764460046478466E-2</v>
      </c>
      <c r="K212" s="247"/>
    </row>
    <row r="213" spans="1:11">
      <c r="A213" s="71">
        <f>+A212+1</f>
        <v>143</v>
      </c>
      <c r="B213" s="31"/>
      <c r="C213" s="53" t="s">
        <v>135</v>
      </c>
      <c r="D213" s="56"/>
      <c r="E213" s="32"/>
      <c r="F213" s="124" t="str">
        <f>"(Line "&amp;A205&amp;" * "&amp;A209&amp;")"</f>
        <v>(Line 137 * 140)</v>
      </c>
      <c r="G213" s="87">
        <f t="shared" si="7"/>
        <v>0</v>
      </c>
      <c r="H213" s="1042">
        <f t="shared" si="7"/>
        <v>0</v>
      </c>
      <c r="K213" s="247"/>
    </row>
    <row r="214" spans="1:11">
      <c r="A214" s="71">
        <f>+A213+1</f>
        <v>144</v>
      </c>
      <c r="B214" s="25"/>
      <c r="C214" s="13" t="s">
        <v>131</v>
      </c>
      <c r="D214" s="43"/>
      <c r="E214" s="29"/>
      <c r="F214" s="125" t="str">
        <f>"(Line "&amp;A206&amp;" * "&amp;A210&amp;")"</f>
        <v>(Line 138 * 141)</v>
      </c>
      <c r="G214" s="239">
        <f t="shared" si="7"/>
        <v>5.9229924063202981E-2</v>
      </c>
      <c r="H214" s="1045">
        <f t="shared" si="7"/>
        <v>5.4252482986722722E-2</v>
      </c>
      <c r="K214" s="247"/>
    </row>
    <row r="215" spans="1:11" s="1" customFormat="1" ht="15.6">
      <c r="A215" s="100">
        <f>+A214+1</f>
        <v>145</v>
      </c>
      <c r="B215" s="11" t="s">
        <v>58</v>
      </c>
      <c r="C215" s="11"/>
      <c r="D215" s="20"/>
      <c r="E215" s="30"/>
      <c r="F215" s="124" t="str">
        <f>"(Line "&amp;A212&amp;" + Line "&amp;A213&amp;" + Line "&amp;A214&amp;")"</f>
        <v>(Line 142 + Line 143 + Line 144)</v>
      </c>
      <c r="G215" s="240">
        <f>SUM(G212:G214)</f>
        <v>9.0238308182079757E-2</v>
      </c>
      <c r="H215" s="1046">
        <f>SUM(H212:H214)</f>
        <v>8.4016943033201189E-2</v>
      </c>
      <c r="J215" s="1593"/>
      <c r="K215" s="33"/>
    </row>
    <row r="216" spans="1:11" s="1" customFormat="1" ht="15.6">
      <c r="A216" s="113"/>
      <c r="B216" s="1663"/>
      <c r="C216" s="11"/>
      <c r="D216" s="20"/>
      <c r="E216" s="30"/>
      <c r="F216" s="134"/>
      <c r="G216" s="88"/>
      <c r="H216" s="1047"/>
      <c r="J216" s="1593"/>
      <c r="K216" s="33"/>
    </row>
    <row r="217" spans="1:11" ht="16.2" thickBot="1">
      <c r="A217" s="100">
        <f>+A215+1</f>
        <v>146</v>
      </c>
      <c r="B217" s="18" t="s">
        <v>93</v>
      </c>
      <c r="C217" s="17"/>
      <c r="D217" s="16"/>
      <c r="E217" s="176"/>
      <c r="F217" s="128" t="str">
        <f>"(Line "&amp;A120&amp;" * Line "&amp;A215&amp;")"</f>
        <v>(Line 74 * Line 145)</v>
      </c>
      <c r="G217" s="128">
        <f>+G120*G215</f>
        <v>56632110.227583505</v>
      </c>
      <c r="H217" s="1048">
        <f>+H120*H215</f>
        <v>62815548.668057457</v>
      </c>
      <c r="K217" s="247"/>
    </row>
    <row r="218" spans="1:11" ht="15.6" thickTop="1">
      <c r="A218" s="100"/>
      <c r="B218" s="7"/>
      <c r="C218" s="49"/>
      <c r="D218" s="6"/>
      <c r="E218" s="26"/>
      <c r="F218" s="119"/>
      <c r="G218" s="89"/>
      <c r="H218" s="1049"/>
      <c r="K218" s="247"/>
    </row>
    <row r="219" spans="1:11" ht="15.6">
      <c r="A219" s="997" t="s">
        <v>21</v>
      </c>
      <c r="B219" s="229"/>
      <c r="C219" s="230"/>
      <c r="D219" s="230"/>
      <c r="E219" s="231"/>
      <c r="F219" s="232"/>
      <c r="G219" s="233"/>
      <c r="H219" s="1009"/>
      <c r="K219" s="247"/>
    </row>
    <row r="220" spans="1:11" ht="15.6">
      <c r="A220" s="114"/>
      <c r="B220" s="7"/>
      <c r="C220" s="5"/>
      <c r="D220" s="9"/>
      <c r="E220" s="50"/>
      <c r="F220" s="122"/>
      <c r="G220" s="67"/>
      <c r="H220" s="1008"/>
      <c r="K220" s="247"/>
    </row>
    <row r="221" spans="1:11" ht="15.6">
      <c r="A221" s="100" t="s">
        <v>65</v>
      </c>
      <c r="B221" s="21" t="s">
        <v>94</v>
      </c>
      <c r="C221" s="6"/>
      <c r="D221" s="6"/>
      <c r="E221" s="50"/>
      <c r="F221" s="119"/>
      <c r="G221" s="258"/>
      <c r="H221" s="1043"/>
      <c r="K221" s="247"/>
    </row>
    <row r="222" spans="1:11">
      <c r="A222" s="100">
        <f>+A217+1</f>
        <v>147</v>
      </c>
      <c r="B222" s="7"/>
      <c r="C222" s="6" t="s">
        <v>92</v>
      </c>
      <c r="D222" s="9"/>
      <c r="E222" s="32" t="str">
        <f>"(Note "&amp;A$314&amp;")"</f>
        <v>(Note I)</v>
      </c>
      <c r="F222" s="122"/>
      <c r="G222" s="664">
        <v>0.35</v>
      </c>
      <c r="H222" s="1050">
        <v>0.35</v>
      </c>
      <c r="K222" s="247"/>
    </row>
    <row r="223" spans="1:11">
      <c r="A223" s="100">
        <f>+A222+1</f>
        <v>148</v>
      </c>
      <c r="B223" s="7"/>
      <c r="C223" s="115" t="s">
        <v>91</v>
      </c>
      <c r="D223" s="259"/>
      <c r="E223" s="32" t="str">
        <f>"(Note "&amp;A$314&amp;")"</f>
        <v>(Note I)</v>
      </c>
      <c r="F223" s="122"/>
      <c r="G223" s="664">
        <v>0</v>
      </c>
      <c r="H223" s="1050">
        <v>0</v>
      </c>
      <c r="K223" s="247"/>
    </row>
    <row r="224" spans="1:11">
      <c r="A224" s="100">
        <f>+A223+1</f>
        <v>149</v>
      </c>
      <c r="B224" s="7"/>
      <c r="C224" s="115" t="s">
        <v>515</v>
      </c>
      <c r="D224" s="645"/>
      <c r="E224" s="32" t="str">
        <f>"(Note "&amp;A$314&amp;")"</f>
        <v>(Note I)</v>
      </c>
      <c r="F224" s="122"/>
      <c r="G224" s="664">
        <v>0</v>
      </c>
      <c r="H224" s="1050">
        <v>0</v>
      </c>
      <c r="K224" s="247"/>
    </row>
    <row r="225" spans="1:12">
      <c r="A225" s="100">
        <f>+A224+1</f>
        <v>150</v>
      </c>
      <c r="B225" s="7"/>
      <c r="C225" s="115" t="s">
        <v>24</v>
      </c>
      <c r="D225" s="937"/>
      <c r="E225" s="32"/>
      <c r="F225" s="122"/>
      <c r="G225" s="258">
        <f>IF(G222&gt;0,1-(((1-G223)*(1-G222))/(1-G223*G222*G224)),0)</f>
        <v>0.35</v>
      </c>
      <c r="H225" s="1043">
        <f>IF(H222&gt;0,1-(((1-H223)*(1-H222))/(1-H223*H222*H224)),0)</f>
        <v>0.35</v>
      </c>
      <c r="K225" s="247"/>
    </row>
    <row r="226" spans="1:12">
      <c r="A226" s="100">
        <f>+A225+1</f>
        <v>151</v>
      </c>
      <c r="B226" s="7"/>
      <c r="C226" s="115" t="s">
        <v>123</v>
      </c>
      <c r="D226" s="116"/>
      <c r="E226" s="26"/>
      <c r="F226" s="122"/>
      <c r="G226" s="90">
        <f>+G225/(1-G225)</f>
        <v>0.53846153846153844</v>
      </c>
      <c r="H226" s="1051">
        <f>+H225/(1-H225)</f>
        <v>0.53846153846153844</v>
      </c>
      <c r="K226" s="247"/>
    </row>
    <row r="227" spans="1:12">
      <c r="A227" s="100"/>
      <c r="B227" s="7"/>
      <c r="C227" s="6"/>
      <c r="D227" s="6"/>
      <c r="E227" s="117"/>
      <c r="F227" s="135"/>
      <c r="G227" s="91"/>
      <c r="H227" s="1052"/>
      <c r="K227" s="247"/>
    </row>
    <row r="228" spans="1:12" ht="15.6">
      <c r="A228" s="100"/>
      <c r="B228" s="21" t="s">
        <v>468</v>
      </c>
      <c r="C228" s="49"/>
      <c r="E228" s="32" t="str">
        <f>"(Note "&amp;A$314&amp;")"</f>
        <v>(Note I)</v>
      </c>
      <c r="F228" s="119"/>
      <c r="G228" s="92"/>
      <c r="H228" s="1053"/>
      <c r="K228" s="247"/>
    </row>
    <row r="229" spans="1:12">
      <c r="A229" s="100">
        <f>+A226+1</f>
        <v>152</v>
      </c>
      <c r="B229" s="7"/>
      <c r="C229" s="56" t="s">
        <v>623</v>
      </c>
      <c r="D229" s="101" t="s">
        <v>493</v>
      </c>
      <c r="E229" s="32" t="str">
        <f>"(Note "&amp;$A$306&amp;")"</f>
        <v>(Note A)</v>
      </c>
      <c r="F229" s="861" t="s">
        <v>254</v>
      </c>
      <c r="G229" s="196">
        <v>-900345</v>
      </c>
      <c r="H229" s="1020">
        <v>-900345</v>
      </c>
      <c r="J229" s="551"/>
      <c r="K229" s="247"/>
    </row>
    <row r="230" spans="1:12">
      <c r="A230" s="100" t="str">
        <f>+A$229&amp;"a"</f>
        <v>152a</v>
      </c>
      <c r="B230" s="7"/>
      <c r="C230" s="56" t="s">
        <v>1491</v>
      </c>
      <c r="D230" s="101" t="s">
        <v>493</v>
      </c>
      <c r="E230" s="32"/>
      <c r="F230" s="1575" t="str">
        <f>+"WP22 IT Adj Line "&amp;'WP22 IT Adj'!A$7&amp;" Column "&amp;'WP22 IT Adj'!B$5</f>
        <v>WP22 IT Adj Line 1 Column B</v>
      </c>
      <c r="G230" s="1404">
        <f>+'WP22 IT Adj'!$B7</f>
        <v>-203464.5</v>
      </c>
      <c r="H230" s="1427">
        <f>+'WP22 IT Adj'!$B7</f>
        <v>-203464.5</v>
      </c>
      <c r="J230" s="551" t="s">
        <v>1499</v>
      </c>
      <c r="K230" s="247"/>
      <c r="L230" s="1576"/>
    </row>
    <row r="231" spans="1:12">
      <c r="A231" s="100" t="str">
        <f>+A$229&amp;"b"</f>
        <v>152b</v>
      </c>
      <c r="B231" s="7"/>
      <c r="C231" s="56" t="s">
        <v>1492</v>
      </c>
      <c r="D231" s="101"/>
      <c r="E231" s="32"/>
      <c r="F231" s="1575" t="str">
        <f>+"WP22 IT Adj Line "&amp;'WP22 IT Adj'!A$7&amp;" Column "&amp;'WP22 IT Adj'!C$5</f>
        <v>WP22 IT Adj Line 1 Column C</v>
      </c>
      <c r="G231" s="1577">
        <f>+'WP22 IT Adj'!$C7</f>
        <v>3631063.8099999898</v>
      </c>
      <c r="H231" s="1578">
        <f>+'WP22 IT Adj'!$C7</f>
        <v>3631063.8099999898</v>
      </c>
      <c r="J231" s="551" t="s">
        <v>1499</v>
      </c>
      <c r="K231" s="247"/>
      <c r="L231" s="1576"/>
    </row>
    <row r="232" spans="1:12">
      <c r="A232" s="100" t="str">
        <f>+A$229&amp;"c"</f>
        <v>152c</v>
      </c>
      <c r="B232" s="7"/>
      <c r="C232" s="56" t="s">
        <v>1500</v>
      </c>
      <c r="D232" s="101"/>
      <c r="E232" s="32"/>
      <c r="F232" s="1575" t="str">
        <f>"Sum of (Line "&amp;A229&amp;" to Line "&amp;A231&amp;")"</f>
        <v>Sum of (Line 152 to Line 152b)</v>
      </c>
      <c r="G232" s="1404">
        <f>SUM(G229:G231)</f>
        <v>2527254.3099999898</v>
      </c>
      <c r="H232" s="1579">
        <f>SUM(H229:H231)</f>
        <v>2527254.3099999898</v>
      </c>
      <c r="J232" s="551" t="s">
        <v>1501</v>
      </c>
      <c r="K232" s="247"/>
      <c r="L232" s="1576"/>
    </row>
    <row r="233" spans="1:12">
      <c r="A233" s="100">
        <f>+A229+1</f>
        <v>153</v>
      </c>
      <c r="B233" s="7"/>
      <c r="C233" s="56" t="s">
        <v>162</v>
      </c>
      <c r="D233" s="9"/>
      <c r="E233" s="7"/>
      <c r="F233" s="124" t="str">
        <f>"(1 / (1 - Line "&amp;A225&amp;"))"</f>
        <v>(1 / (1 - Line 150))</v>
      </c>
      <c r="G233" s="1267">
        <f>IF(G225=0,0,1/(1-G225))</f>
        <v>1.5384615384615383</v>
      </c>
      <c r="H233" s="1428">
        <f>IF(H225=0,0,1/(1-H225))</f>
        <v>1.5384615384615383</v>
      </c>
      <c r="J233" s="551"/>
      <c r="K233" s="247"/>
    </row>
    <row r="234" spans="1:12">
      <c r="A234" s="100">
        <f>+A233+1</f>
        <v>154</v>
      </c>
      <c r="B234" s="7"/>
      <c r="C234" s="49" t="s">
        <v>88</v>
      </c>
      <c r="D234" s="12"/>
      <c r="E234" s="25"/>
      <c r="F234" s="127" t="str">
        <f>"(Line "&amp;A$35&amp;")"</f>
        <v>(Line 18)</v>
      </c>
      <c r="G234" s="85">
        <f>+G35</f>
        <v>0.31832180011930167</v>
      </c>
      <c r="H234" s="1022">
        <f>+H35</f>
        <v>0.35169062683181029</v>
      </c>
      <c r="J234" s="551"/>
      <c r="K234" s="247"/>
    </row>
    <row r="235" spans="1:12" ht="15.6">
      <c r="A235" s="100">
        <f>+A234+1</f>
        <v>155</v>
      </c>
      <c r="B235" s="7"/>
      <c r="C235" s="1685" t="s">
        <v>1502</v>
      </c>
      <c r="D235" s="1686"/>
      <c r="E235" s="32"/>
      <c r="F235" s="1599" t="str">
        <f>"(Line "&amp;A232&amp;" * Line "&amp;A233&amp;" * Line "&amp;A234&amp;")"</f>
        <v>(Line 152c * Line 153 * Line 154)</v>
      </c>
      <c r="G235" s="1598">
        <f>+G232*G233*G234</f>
        <v>1237661.7558745544</v>
      </c>
      <c r="H235" s="1598">
        <f>+H232*H233*H234</f>
        <v>1367402.5422266007</v>
      </c>
      <c r="J235" s="551" t="s">
        <v>1503</v>
      </c>
      <c r="K235" s="247"/>
    </row>
    <row r="236" spans="1:12" ht="15.6">
      <c r="A236" s="100"/>
      <c r="B236" s="7"/>
      <c r="C236" s="24"/>
      <c r="D236" s="9"/>
      <c r="E236" s="31"/>
      <c r="F236" s="119"/>
      <c r="G236" s="84"/>
      <c r="H236" s="1019"/>
      <c r="J236" s="551"/>
      <c r="K236" s="247"/>
    </row>
    <row r="237" spans="1:12" ht="15.6">
      <c r="A237" s="100">
        <f>+A235+1</f>
        <v>156</v>
      </c>
      <c r="B237" s="63" t="s">
        <v>108</v>
      </c>
      <c r="C237" s="10"/>
      <c r="D237" s="1680" t="s">
        <v>511</v>
      </c>
      <c r="E237" s="1680"/>
      <c r="F237" s="1682" t="str">
        <f>"[Line "&amp;A226&amp;" * Line "&amp;A217&amp;" * (1 - (Line "&amp;A212&amp;" / Line "&amp;A215&amp;"))]"</f>
        <v>[Line 151 * Line 146 * (1 - (Line 142 / Line 145))]</v>
      </c>
      <c r="G237" s="68">
        <f>IF(G215=0,0,+G226*(1-G212/G215)*G217)</f>
        <v>20015556.237237804</v>
      </c>
      <c r="H237" s="1012">
        <f>IF(H215=0,0,+H226*(1-H212/H215)*H217)</f>
        <v>21841104.110559374</v>
      </c>
      <c r="K237" s="247"/>
    </row>
    <row r="238" spans="1:12">
      <c r="A238" s="100"/>
      <c r="B238" s="7"/>
      <c r="C238" s="8"/>
      <c r="D238" s="1681"/>
      <c r="E238" s="1681"/>
      <c r="F238" s="1683"/>
      <c r="G238" s="626"/>
      <c r="H238" s="1054"/>
      <c r="K238" s="247"/>
    </row>
    <row r="239" spans="1:12" ht="16.2" thickBot="1">
      <c r="A239" s="100">
        <f>+A237+1</f>
        <v>157</v>
      </c>
      <c r="B239" s="18" t="s">
        <v>50</v>
      </c>
      <c r="C239" s="18"/>
      <c r="D239" s="16"/>
      <c r="E239" s="27"/>
      <c r="F239" s="128" t="str">
        <f>"(Line "&amp;A235&amp;" + Line "&amp;A237&amp;")"</f>
        <v>(Line 155 + Line 156)</v>
      </c>
      <c r="G239" s="93">
        <f>+G237+G235</f>
        <v>21253217.993112359</v>
      </c>
      <c r="H239" s="1036">
        <f>+H237+H235</f>
        <v>23208506.652785975</v>
      </c>
      <c r="K239" s="247"/>
    </row>
    <row r="240" spans="1:12" ht="15.6" thickTop="1">
      <c r="A240" s="100"/>
      <c r="B240" s="7"/>
      <c r="C240" s="57"/>
      <c r="D240" s="6"/>
      <c r="E240" s="26"/>
      <c r="F240" s="129"/>
      <c r="G240" s="594"/>
      <c r="H240" s="1017"/>
      <c r="K240" s="247"/>
    </row>
    <row r="241" spans="1:11" s="242" customFormat="1" ht="15.6">
      <c r="A241" s="997" t="s">
        <v>487</v>
      </c>
      <c r="B241" s="229"/>
      <c r="C241" s="230"/>
      <c r="D241" s="230"/>
      <c r="E241" s="231"/>
      <c r="F241" s="232"/>
      <c r="G241" s="618"/>
      <c r="H241" s="1037"/>
      <c r="J241" s="1594"/>
      <c r="K241" s="243"/>
    </row>
    <row r="242" spans="1:11">
      <c r="A242" s="102"/>
      <c r="B242" s="10"/>
      <c r="C242" s="10"/>
      <c r="D242" s="10"/>
      <c r="E242" s="26"/>
      <c r="F242" s="123"/>
      <c r="G242" s="616"/>
      <c r="H242" s="1029"/>
      <c r="K242" s="247"/>
    </row>
    <row r="243" spans="1:11" ht="15.6">
      <c r="A243" s="102"/>
      <c r="B243" s="63" t="s">
        <v>51</v>
      </c>
      <c r="C243" s="10"/>
      <c r="D243" s="10"/>
      <c r="E243" s="26"/>
      <c r="F243" s="123"/>
      <c r="G243" s="616"/>
      <c r="H243" s="1029"/>
      <c r="K243" s="247"/>
    </row>
    <row r="244" spans="1:11">
      <c r="A244" s="104">
        <f>+A239+1</f>
        <v>158</v>
      </c>
      <c r="B244" s="15"/>
      <c r="C244" s="15" t="str">
        <f>+B63</f>
        <v>TOTAL Net Property, Plant &amp; Equipment - Transmission</v>
      </c>
      <c r="D244" s="15"/>
      <c r="E244" s="32"/>
      <c r="F244" s="119" t="str">
        <f>"(Line "&amp;A63&amp;")"</f>
        <v>(Line 35)</v>
      </c>
      <c r="G244" s="616">
        <f>+G63</f>
        <v>824138726.13460088</v>
      </c>
      <c r="H244" s="1029">
        <f>+H63</f>
        <v>970732572.82061076</v>
      </c>
      <c r="K244" s="247"/>
    </row>
    <row r="245" spans="1:11">
      <c r="A245" s="71">
        <f>+A244+1</f>
        <v>159</v>
      </c>
      <c r="B245" s="15"/>
      <c r="C245" s="15" t="s">
        <v>104</v>
      </c>
      <c r="D245" s="15"/>
      <c r="E245" s="32"/>
      <c r="F245" s="127" t="str">
        <f>"(Line "&amp;A118&amp;")"</f>
        <v>(Line 73)</v>
      </c>
      <c r="G245" s="616">
        <f>+G118</f>
        <v>-196554816.72316581</v>
      </c>
      <c r="H245" s="1029">
        <f>+H118</f>
        <v>-223079225.76614252</v>
      </c>
      <c r="K245" s="247"/>
    </row>
    <row r="246" spans="1:11" ht="15.6">
      <c r="A246" s="71">
        <f>+A245+1</f>
        <v>160</v>
      </c>
      <c r="B246" s="31"/>
      <c r="C246" s="273" t="s">
        <v>107</v>
      </c>
      <c r="D246" s="274"/>
      <c r="E246" s="437"/>
      <c r="F246" s="119" t="str">
        <f>"(Line "&amp;A120&amp;")"</f>
        <v>(Line 74)</v>
      </c>
      <c r="G246" s="627">
        <f>+G120</f>
        <v>627583909.41143513</v>
      </c>
      <c r="H246" s="1055">
        <f>+H120</f>
        <v>747653347.05446827</v>
      </c>
      <c r="K246" s="247"/>
    </row>
    <row r="247" spans="1:11">
      <c r="A247" s="71"/>
      <c r="B247" s="31"/>
      <c r="C247" s="56"/>
      <c r="D247" s="9"/>
      <c r="E247" s="101"/>
      <c r="F247" s="122"/>
      <c r="G247" s="616"/>
      <c r="H247" s="1029"/>
      <c r="K247" s="247"/>
    </row>
    <row r="248" spans="1:11">
      <c r="A248" s="71">
        <f>+A246+1</f>
        <v>161</v>
      </c>
      <c r="B248" s="9"/>
      <c r="C248" s="56" t="s">
        <v>126</v>
      </c>
      <c r="D248" s="9"/>
      <c r="E248" s="32"/>
      <c r="F248" s="119" t="str">
        <f>"(Line "&amp;A156&amp;")"</f>
        <v>(Line 102)</v>
      </c>
      <c r="G248" s="616">
        <f>+G156</f>
        <v>27372314.112039711</v>
      </c>
      <c r="H248" s="1029">
        <f>+H156</f>
        <v>27566747.3486031</v>
      </c>
      <c r="K248" s="247"/>
    </row>
    <row r="249" spans="1:11">
      <c r="A249" s="71">
        <f t="shared" ref="A249:A255" si="8">+A248+1</f>
        <v>162</v>
      </c>
      <c r="B249" s="9"/>
      <c r="C249" s="53" t="s">
        <v>95</v>
      </c>
      <c r="D249" s="9"/>
      <c r="E249" s="32"/>
      <c r="F249" s="119" t="str">
        <f>"(Line "&amp;A170&amp;")"</f>
        <v>(Line 112)</v>
      </c>
      <c r="G249" s="616">
        <f>+G170</f>
        <v>23363302.686121792</v>
      </c>
      <c r="H249" s="1029">
        <f>+H170</f>
        <v>23363302.686121792</v>
      </c>
      <c r="K249" s="247"/>
    </row>
    <row r="250" spans="1:11">
      <c r="A250" s="71">
        <f t="shared" si="8"/>
        <v>163</v>
      </c>
      <c r="B250" s="31"/>
      <c r="C250" s="56" t="s">
        <v>52</v>
      </c>
      <c r="D250" s="9"/>
      <c r="E250" s="101"/>
      <c r="F250" s="124" t="str">
        <f>"(Line "&amp;A185&amp;")"</f>
        <v>(Line 124)</v>
      </c>
      <c r="G250" s="616">
        <f>+G185</f>
        <v>9794476.7333464809</v>
      </c>
      <c r="H250" s="1029">
        <f>+H185</f>
        <v>10574394.978252631</v>
      </c>
      <c r="K250" s="247"/>
    </row>
    <row r="251" spans="1:11">
      <c r="A251" s="71">
        <f t="shared" si="8"/>
        <v>164</v>
      </c>
      <c r="B251" s="31"/>
      <c r="C251" s="56" t="s">
        <v>759</v>
      </c>
      <c r="D251" s="9"/>
      <c r="E251" s="101"/>
      <c r="F251" s="124" t="str">
        <f>"(Line "&amp;A193&amp;")"</f>
        <v>(Line 129)</v>
      </c>
      <c r="G251" s="612">
        <f>G193</f>
        <v>0</v>
      </c>
      <c r="H251" s="1007">
        <f>H193</f>
        <v>0</v>
      </c>
      <c r="K251" s="247"/>
    </row>
    <row r="252" spans="1:11">
      <c r="A252" s="71">
        <f t="shared" si="8"/>
        <v>165</v>
      </c>
      <c r="B252" s="31"/>
      <c r="C252" s="238" t="s">
        <v>118</v>
      </c>
      <c r="D252" s="9"/>
      <c r="E252" s="101"/>
      <c r="F252" s="124" t="str">
        <f>"(Line "&amp;A217&amp;")"</f>
        <v>(Line 146)</v>
      </c>
      <c r="G252" s="616">
        <f>+G217</f>
        <v>56632110.227583505</v>
      </c>
      <c r="H252" s="1029">
        <f>+H217</f>
        <v>62815548.668057457</v>
      </c>
      <c r="K252" s="247"/>
    </row>
    <row r="253" spans="1:11">
      <c r="A253" s="71">
        <f t="shared" si="8"/>
        <v>166</v>
      </c>
      <c r="B253" s="31"/>
      <c r="C253" s="238" t="s">
        <v>119</v>
      </c>
      <c r="D253" s="9"/>
      <c r="E253" s="101"/>
      <c r="F253" s="124" t="str">
        <f>"(Line "&amp;A239&amp;")"</f>
        <v>(Line 157)</v>
      </c>
      <c r="G253" s="616">
        <f>+G239</f>
        <v>21253217.993112359</v>
      </c>
      <c r="H253" s="1029">
        <f>+H239</f>
        <v>23208506.652785975</v>
      </c>
      <c r="K253" s="247"/>
    </row>
    <row r="254" spans="1:11">
      <c r="A254" s="71">
        <f t="shared" si="8"/>
        <v>167</v>
      </c>
      <c r="B254" s="31"/>
      <c r="C254" s="238" t="s">
        <v>288</v>
      </c>
      <c r="D254" s="9"/>
      <c r="E254" s="32" t="str">
        <f>"(Note "&amp;A$325&amp;")"</f>
        <v>(Note T)</v>
      </c>
      <c r="F254" s="124"/>
      <c r="G254" s="196">
        <v>0</v>
      </c>
      <c r="H254" s="1020">
        <v>0</v>
      </c>
      <c r="I254" s="247"/>
      <c r="J254" s="1594" t="s">
        <v>1544</v>
      </c>
      <c r="K254" s="247"/>
    </row>
    <row r="255" spans="1:11">
      <c r="A255" s="71">
        <f t="shared" si="8"/>
        <v>168</v>
      </c>
      <c r="B255" s="31"/>
      <c r="C255" s="238" t="s">
        <v>289</v>
      </c>
      <c r="D255" s="9"/>
      <c r="E255" s="32" t="str">
        <f>"(Note "&amp;A$326&amp;")"</f>
        <v>(Note U)</v>
      </c>
      <c r="F255" s="124"/>
      <c r="G255" s="196">
        <v>0</v>
      </c>
      <c r="H255" s="1020">
        <v>0</v>
      </c>
      <c r="I255" s="247"/>
      <c r="J255" s="1594" t="s">
        <v>1544</v>
      </c>
      <c r="K255" s="247"/>
    </row>
    <row r="256" spans="1:11" ht="15.6" thickBot="1">
      <c r="A256" s="71"/>
      <c r="B256" s="31"/>
      <c r="C256" s="238"/>
      <c r="D256" s="9"/>
      <c r="E256" s="101"/>
      <c r="F256" s="130"/>
      <c r="G256" s="616"/>
      <c r="H256" s="1029"/>
      <c r="K256" s="247"/>
    </row>
    <row r="257" spans="1:11" ht="16.2" thickBot="1">
      <c r="A257" s="542">
        <f>+A255+1</f>
        <v>169</v>
      </c>
      <c r="B257" s="543"/>
      <c r="C257" s="544" t="s">
        <v>121</v>
      </c>
      <c r="D257" s="545"/>
      <c r="E257" s="1091"/>
      <c r="F257" s="938" t="str">
        <f>"Sum of (Line "&amp;A248&amp;" to Line "&amp;A253&amp;") - Line "&amp;A254&amp;" - Line "&amp;A255</f>
        <v>Sum of (Line 161 to Line 166) - Line 167 - Line 168</v>
      </c>
      <c r="G257" s="629">
        <f>SUM(G248:G253)-G254-G255</f>
        <v>138415421.75220385</v>
      </c>
      <c r="H257" s="1056">
        <f>SUM(H248:H253)-H254-H255</f>
        <v>147528500.33382097</v>
      </c>
      <c r="I257" s="33"/>
      <c r="K257" s="247"/>
    </row>
    <row r="258" spans="1:11" ht="15.6">
      <c r="A258" s="113"/>
      <c r="B258" s="7"/>
      <c r="C258" s="5"/>
      <c r="D258" s="46"/>
      <c r="E258" s="547"/>
      <c r="F258" s="1092"/>
      <c r="G258" s="628"/>
      <c r="H258" s="1057"/>
      <c r="K258" s="247"/>
    </row>
    <row r="259" spans="1:11" ht="15.6">
      <c r="A259" s="113"/>
      <c r="B259" s="24" t="s">
        <v>76</v>
      </c>
      <c r="C259" s="5"/>
      <c r="D259" s="46"/>
      <c r="E259" s="547"/>
      <c r="F259" s="1092"/>
      <c r="G259" s="628"/>
      <c r="H259" s="1057"/>
      <c r="K259" s="247"/>
    </row>
    <row r="260" spans="1:11" ht="15.6">
      <c r="A260" s="71">
        <f>+A257+1</f>
        <v>170</v>
      </c>
      <c r="B260" s="31"/>
      <c r="C260" s="56" t="str">
        <f>+C42</f>
        <v>Total Transmission Plant In Service</v>
      </c>
      <c r="D260" s="46"/>
      <c r="E260" s="547"/>
      <c r="F260" s="124" t="str">
        <f>"(Line "&amp;A42&amp;")"</f>
        <v>(Line 21)</v>
      </c>
      <c r="G260" s="612">
        <f>+G42</f>
        <v>1128203259.9215386</v>
      </c>
      <c r="H260" s="1007">
        <f>+H42</f>
        <v>1283666253.5173357</v>
      </c>
      <c r="K260" s="247"/>
    </row>
    <row r="261" spans="1:11" ht="15.6">
      <c r="A261" s="71">
        <f>+A260+1</f>
        <v>171</v>
      </c>
      <c r="B261" s="31"/>
      <c r="C261" s="58" t="s">
        <v>77</v>
      </c>
      <c r="D261" s="546"/>
      <c r="E261" s="70" t="str">
        <f>"(Notes "&amp;A$307&amp;", "&amp;A$318&amp;", "&amp;A$324&amp;")"</f>
        <v>(Notes B, M, S)</v>
      </c>
      <c r="F261" s="125" t="str">
        <f>+"WP02 Support Line "&amp;'WP02 Support'!A154&amp;" Columns "&amp;'WP02 Support'!$D$5&amp;" &amp; "&amp;'WP02 Support'!F5</f>
        <v>WP02 Support Line 58 Columns C &amp; E</v>
      </c>
      <c r="G261" s="432">
        <f>'WP02 Support'!D154</f>
        <v>90214385.692307696</v>
      </c>
      <c r="H261" s="1039">
        <f>'WP02 Support'!F154</f>
        <v>116576446.53</v>
      </c>
      <c r="K261" s="247"/>
    </row>
    <row r="262" spans="1:11" ht="15.6">
      <c r="A262" s="71">
        <f>+A261+1</f>
        <v>172</v>
      </c>
      <c r="B262" s="31"/>
      <c r="C262" s="56" t="s">
        <v>78</v>
      </c>
      <c r="D262" s="46"/>
      <c r="E262" s="547"/>
      <c r="F262" s="124" t="str">
        <f>"(Line "&amp;A260&amp;" - Line "&amp;A261&amp;")"</f>
        <v>(Line 170 - Line 171)</v>
      </c>
      <c r="G262" s="612">
        <f>+G260-G261</f>
        <v>1037988874.2292309</v>
      </c>
      <c r="H262" s="1007">
        <f>+H260-H261</f>
        <v>1167089806.9873357</v>
      </c>
      <c r="K262" s="247"/>
    </row>
    <row r="263" spans="1:11" s="247" customFormat="1" ht="15.6">
      <c r="A263" s="71">
        <f>+A262+1</f>
        <v>173</v>
      </c>
      <c r="B263" s="31"/>
      <c r="C263" s="56" t="s">
        <v>79</v>
      </c>
      <c r="D263" s="46"/>
      <c r="E263" s="547"/>
      <c r="F263" s="124" t="str">
        <f>"(Line "&amp;A262&amp;" / Line "&amp;A260&amp;")"</f>
        <v>(Line 172 / Line 170)</v>
      </c>
      <c r="G263" s="1268">
        <f>IF(G260 =0, 0,+G262/G260)</f>
        <v>0.92003711662862797</v>
      </c>
      <c r="H263" s="1429">
        <f>IF(H260 =0, 0,+H262/H260)</f>
        <v>0.90918476963106853</v>
      </c>
      <c r="J263" s="1594"/>
    </row>
    <row r="264" spans="1:11" ht="15.6">
      <c r="A264" s="71">
        <f>+A263+1</f>
        <v>174</v>
      </c>
      <c r="B264" s="31"/>
      <c r="C264" s="58" t="s">
        <v>121</v>
      </c>
      <c r="D264" s="546"/>
      <c r="E264" s="1093"/>
      <c r="F264" s="125" t="str">
        <f>"(Line "&amp;A257&amp;")"</f>
        <v>(Line 169)</v>
      </c>
      <c r="G264" s="432">
        <f>+G257</f>
        <v>138415421.75220385</v>
      </c>
      <c r="H264" s="1039">
        <f>+H257</f>
        <v>147528500.33382097</v>
      </c>
      <c r="K264" s="247"/>
    </row>
    <row r="265" spans="1:11" ht="15.6">
      <c r="A265" s="71">
        <f>+A264+1</f>
        <v>175</v>
      </c>
      <c r="B265" s="31"/>
      <c r="C265" s="5" t="s">
        <v>80</v>
      </c>
      <c r="D265" s="46"/>
      <c r="E265" s="547"/>
      <c r="F265" s="124" t="str">
        <f>"(Line "&amp;A263&amp;" * Line "&amp;A264&amp;")"</f>
        <v>(Line 173 * Line 174)</v>
      </c>
      <c r="G265" s="614">
        <f>+G264*G263</f>
        <v>127347325.5258331</v>
      </c>
      <c r="H265" s="1025">
        <f>+H264*H263</f>
        <v>134130665.59002204</v>
      </c>
      <c r="K265" s="247"/>
    </row>
    <row r="266" spans="1:11" ht="15.6">
      <c r="A266" s="1806"/>
      <c r="B266" s="7"/>
      <c r="C266" s="56"/>
      <c r="D266" s="9"/>
      <c r="E266" s="50"/>
      <c r="F266" s="122"/>
      <c r="G266" s="624"/>
      <c r="H266" s="1038"/>
      <c r="K266" s="247"/>
    </row>
    <row r="267" spans="1:11" ht="15.6">
      <c r="A267" s="999"/>
      <c r="B267" s="36" t="s">
        <v>154</v>
      </c>
      <c r="C267" s="56"/>
      <c r="D267" s="9"/>
      <c r="E267" s="50"/>
      <c r="F267" s="122"/>
      <c r="G267" s="620"/>
      <c r="H267" s="1033"/>
      <c r="K267" s="247"/>
    </row>
    <row r="268" spans="1:11" ht="15.6">
      <c r="A268" s="999"/>
      <c r="B268" s="36"/>
      <c r="C268" s="5" t="s">
        <v>765</v>
      </c>
      <c r="D268" s="9"/>
      <c r="E268" s="50"/>
      <c r="F268" s="122"/>
      <c r="G268" s="620"/>
      <c r="H268" s="1033"/>
      <c r="K268" s="247"/>
    </row>
    <row r="269" spans="1:11" ht="15.6">
      <c r="A269" s="104">
        <f>+A265+1</f>
        <v>176</v>
      </c>
      <c r="B269" s="36"/>
      <c r="C269" s="858" t="s">
        <v>136</v>
      </c>
      <c r="D269" s="9"/>
      <c r="E269" s="50"/>
      <c r="F269" s="120" t="str">
        <f>+"WP17 Rev Line "&amp;'WP17 Rev'!A$10&amp;" Column "&amp;'WP17 Rev'!D5</f>
        <v>WP17 Rev Line 2 Column C</v>
      </c>
      <c r="G269" s="612">
        <f>+'WP17 Rev'!D10</f>
        <v>32080.920000000002</v>
      </c>
      <c r="H269" s="1007">
        <f>+'WP17 Rev'!D10</f>
        <v>32080.920000000002</v>
      </c>
      <c r="K269" s="247"/>
    </row>
    <row r="270" spans="1:11" ht="15.6">
      <c r="A270" s="104">
        <f>+A269+1</f>
        <v>177</v>
      </c>
      <c r="B270" s="36"/>
      <c r="C270" s="858" t="s">
        <v>172</v>
      </c>
      <c r="D270" s="9"/>
      <c r="E270" s="50"/>
      <c r="F270" s="120" t="str">
        <f>+"WP17 Rev Line "&amp;'WP17 Rev'!A$10&amp;" Column "&amp;'WP17 Rev'!F5</f>
        <v>WP17 Rev Line 2 Column E</v>
      </c>
      <c r="G270" s="612">
        <f>+'WP17 Rev'!F10</f>
        <v>68310.17</v>
      </c>
      <c r="H270" s="1007">
        <f>+'WP17 Rev'!F10</f>
        <v>68310.17</v>
      </c>
      <c r="K270" s="247"/>
    </row>
    <row r="271" spans="1:11" ht="15.6">
      <c r="A271" s="104">
        <f>+A270+1</f>
        <v>178</v>
      </c>
      <c r="B271" s="36"/>
      <c r="C271" s="858" t="str">
        <f>+B$24</f>
        <v>Wages &amp; Salary Allocator</v>
      </c>
      <c r="D271" s="9"/>
      <c r="E271" s="50"/>
      <c r="F271" s="120" t="str">
        <f>"(Line "&amp;A$24&amp;")"</f>
        <v>(Line 11)</v>
      </c>
      <c r="G271" s="237">
        <f>+G$24</f>
        <v>0.15203880084848126</v>
      </c>
      <c r="H271" s="1013">
        <f>H$24</f>
        <v>0.15203880084848126</v>
      </c>
      <c r="K271" s="247"/>
    </row>
    <row r="272" spans="1:11" ht="15.6">
      <c r="A272" s="104">
        <f>+A271+1</f>
        <v>179</v>
      </c>
      <c r="B272" s="36"/>
      <c r="C272" s="857" t="str">
        <f>+"Total Transmission Allocated "&amp;C270</f>
        <v>Total Transmission Allocated General Plant</v>
      </c>
      <c r="D272" s="9"/>
      <c r="E272" s="50"/>
      <c r="F272" s="125" t="str">
        <f>"(Line "&amp;A270&amp;" * Line "&amp;A271&amp;")"</f>
        <v>(Line 177 * Line 178)</v>
      </c>
      <c r="G272" s="846">
        <f>+G270*G271</f>
        <v>10385.796332555899</v>
      </c>
      <c r="H272" s="1018">
        <f>+H270*H271</f>
        <v>10385.796332555899</v>
      </c>
      <c r="K272" s="247"/>
    </row>
    <row r="273" spans="1:11" ht="15.6">
      <c r="A273" s="104">
        <f>+A272+1</f>
        <v>180</v>
      </c>
      <c r="B273" s="36"/>
      <c r="C273" s="53" t="s">
        <v>766</v>
      </c>
      <c r="D273" s="9"/>
      <c r="E273" s="50"/>
      <c r="F273" s="124" t="str">
        <f>"(Line "&amp;A269&amp;" + Line "&amp;A272&amp;")"</f>
        <v>(Line 176 + Line 179)</v>
      </c>
      <c r="G273" s="94">
        <f>+G269+G272</f>
        <v>42466.716332555901</v>
      </c>
      <c r="H273" s="1002">
        <f>+H269+H272</f>
        <v>42466.716332555901</v>
      </c>
      <c r="K273" s="247"/>
    </row>
    <row r="274" spans="1:11">
      <c r="A274" s="108"/>
      <c r="B274" s="7"/>
      <c r="C274" s="56"/>
      <c r="D274" s="9"/>
      <c r="F274" s="122"/>
      <c r="G274" s="620"/>
      <c r="H274" s="1033"/>
      <c r="K274" s="247"/>
    </row>
    <row r="275" spans="1:11" ht="15.6">
      <c r="A275" s="1806"/>
      <c r="B275" s="24"/>
      <c r="C275" s="5" t="s">
        <v>767</v>
      </c>
      <c r="D275" s="9"/>
      <c r="E275" s="50"/>
      <c r="F275" s="130"/>
      <c r="G275" s="68"/>
      <c r="H275" s="1038"/>
      <c r="K275" s="247"/>
    </row>
    <row r="276" spans="1:11">
      <c r="A276" s="104">
        <f>+A273+1</f>
        <v>181</v>
      </c>
      <c r="B276" s="53"/>
      <c r="C276" s="1094" t="s">
        <v>794</v>
      </c>
      <c r="D276" s="9"/>
      <c r="E276" s="101"/>
      <c r="F276" s="120" t="str">
        <f>+"WP17 Rev Line "&amp;'WP17 Rev'!A$60&amp;" Column "&amp;'WP17 Rev'!D5</f>
        <v>WP17 Rev Line 7 Column C</v>
      </c>
      <c r="G276" s="94">
        <f>+'WP17 Rev'!$D60</f>
        <v>1939929.5151238095</v>
      </c>
      <c r="H276" s="1002">
        <f>+'WP17 Rev'!$D60</f>
        <v>1939929.5151238095</v>
      </c>
      <c r="K276" s="247"/>
    </row>
    <row r="277" spans="1:11">
      <c r="A277" s="71">
        <f t="shared" ref="A277:A285" si="9">+A276+1</f>
        <v>182</v>
      </c>
      <c r="B277" s="53"/>
      <c r="C277" s="1094" t="s">
        <v>796</v>
      </c>
      <c r="D277" s="9"/>
      <c r="E277" s="101"/>
      <c r="F277" s="120" t="str">
        <f>+"WP17 Rev Line "&amp;'WP17 Rev'!A$60&amp;" Column "&amp;'WP17 Rev'!E5</f>
        <v>WP17 Rev Line 7 Column D</v>
      </c>
      <c r="G277" s="621">
        <f>+'WP17 Rev'!$E60</f>
        <v>19389201.531567749</v>
      </c>
      <c r="H277" s="1003">
        <f>+'WP17 Rev'!$E60</f>
        <v>19389201.531567749</v>
      </c>
      <c r="K277" s="247"/>
    </row>
    <row r="278" spans="1:11" ht="15.6">
      <c r="A278" s="71">
        <f t="shared" si="9"/>
        <v>183</v>
      </c>
      <c r="B278" s="36"/>
      <c r="C278" s="858" t="s">
        <v>795</v>
      </c>
      <c r="D278" s="9"/>
      <c r="E278" s="32"/>
      <c r="F278" s="124" t="str">
        <f>"(Line "&amp;A276&amp;" + Line "&amp;A277&amp;")"</f>
        <v>(Line 181 + Line 182)</v>
      </c>
      <c r="G278" s="612">
        <f>SUM(G276:G277)</f>
        <v>21329131.046691559</v>
      </c>
      <c r="H278" s="1007">
        <f>SUM(H276:H277)</f>
        <v>21329131.046691559</v>
      </c>
      <c r="K278" s="247"/>
    </row>
    <row r="279" spans="1:11">
      <c r="A279" s="71">
        <f t="shared" si="9"/>
        <v>184</v>
      </c>
      <c r="B279" s="105"/>
      <c r="C279" s="858" t="s">
        <v>172</v>
      </c>
      <c r="D279" s="9"/>
      <c r="E279" s="32"/>
      <c r="F279" s="120" t="str">
        <f>+"WP17 Rev Line "&amp;'WP17 Rev'!A$60&amp;" Column "&amp;'WP17 Rev'!F5</f>
        <v>WP17 Rev Line 7 Column E</v>
      </c>
      <c r="G279" s="612">
        <f>+'WP17 Rev'!F60</f>
        <v>0</v>
      </c>
      <c r="H279" s="1007">
        <f>+'WP17 Rev'!F60</f>
        <v>0</v>
      </c>
      <c r="K279" s="247"/>
    </row>
    <row r="280" spans="1:11" s="247" customFormat="1" ht="15.6">
      <c r="A280" s="104">
        <f t="shared" si="9"/>
        <v>185</v>
      </c>
      <c r="B280" s="46"/>
      <c r="C280" s="858" t="str">
        <f>+B$24</f>
        <v>Wages &amp; Salary Allocator</v>
      </c>
      <c r="D280" s="9"/>
      <c r="E280" s="47"/>
      <c r="F280" s="120" t="str">
        <f>"(Line "&amp;A$24&amp;")"</f>
        <v>(Line 11)</v>
      </c>
      <c r="G280" s="237">
        <f>+G$24</f>
        <v>0.15203880084848126</v>
      </c>
      <c r="H280" s="1013">
        <f>H$24</f>
        <v>0.15203880084848126</v>
      </c>
      <c r="J280" s="1594"/>
    </row>
    <row r="281" spans="1:11">
      <c r="A281" s="71">
        <f t="shared" si="9"/>
        <v>186</v>
      </c>
      <c r="B281" s="105"/>
      <c r="C281" s="857" t="str">
        <f>+"Total Transmission Allocated "&amp;C279</f>
        <v>Total Transmission Allocated General Plant</v>
      </c>
      <c r="D281" s="62"/>
      <c r="E281" s="70"/>
      <c r="F281" s="125" t="str">
        <f>"(Line "&amp;A279&amp;" * "&amp;A280&amp;")"</f>
        <v>(Line 184 * 185)</v>
      </c>
      <c r="G281" s="846">
        <f>+G279*G280</f>
        <v>0</v>
      </c>
      <c r="H281" s="1018">
        <f>+H279*H280</f>
        <v>0</v>
      </c>
      <c r="K281" s="247"/>
    </row>
    <row r="282" spans="1:11">
      <c r="A282" s="71">
        <f t="shared" si="9"/>
        <v>187</v>
      </c>
      <c r="B282" s="15"/>
      <c r="C282" s="53" t="s">
        <v>446</v>
      </c>
      <c r="D282" s="9"/>
      <c r="E282" s="32"/>
      <c r="F282" s="124" t="str">
        <f>"(Line "&amp;A278&amp;" + "&amp;A281&amp;")"</f>
        <v>(Line 183 + 186)</v>
      </c>
      <c r="G282" s="94">
        <f>+G278+G281</f>
        <v>21329131.046691559</v>
      </c>
      <c r="H282" s="1002">
        <f>+H278+H281</f>
        <v>21329131.046691559</v>
      </c>
      <c r="K282" s="247"/>
    </row>
    <row r="283" spans="1:11">
      <c r="A283" s="71">
        <f t="shared" si="9"/>
        <v>188</v>
      </c>
      <c r="B283" s="15"/>
      <c r="C283" s="939" t="str">
        <f>+"Less "&amp;C277</f>
        <v>Less Transmission Network &amp; LTF Service Revenues</v>
      </c>
      <c r="D283" s="9"/>
      <c r="E283" s="32"/>
      <c r="F283" s="120" t="str">
        <f>"(Line "&amp;A$277&amp;")"</f>
        <v>(Line 182)</v>
      </c>
      <c r="G283" s="1095">
        <f>+G277</f>
        <v>19389201.531567749</v>
      </c>
      <c r="H283" s="1096">
        <f>+H277</f>
        <v>19389201.531567749</v>
      </c>
      <c r="K283" s="247"/>
    </row>
    <row r="284" spans="1:11">
      <c r="A284" s="71">
        <f t="shared" si="9"/>
        <v>189</v>
      </c>
      <c r="B284" s="15"/>
      <c r="C284" s="939" t="s">
        <v>688</v>
      </c>
      <c r="D284" s="9"/>
      <c r="E284" s="32" t="str">
        <f>"(Note "&amp;A$331&amp;")"</f>
        <v>(Note Z)</v>
      </c>
      <c r="F284" s="120" t="str">
        <f>+"WP17 Rev Line "&amp;'WP17 Rev'!A$52&amp;" Column "&amp;'WP17 Rev'!D5</f>
        <v>WP17 Rev Line 6.38 Column C</v>
      </c>
      <c r="G284" s="1095">
        <f>+'WP17 Rev'!$D52</f>
        <v>0</v>
      </c>
      <c r="H284" s="1096">
        <f>+'WP17 Rev'!$D52</f>
        <v>0</v>
      </c>
      <c r="I284" s="941"/>
      <c r="K284" s="247"/>
    </row>
    <row r="285" spans="1:11">
      <c r="A285" s="71">
        <f t="shared" si="9"/>
        <v>190</v>
      </c>
      <c r="B285" s="15"/>
      <c r="C285" s="940" t="s">
        <v>687</v>
      </c>
      <c r="D285" s="62"/>
      <c r="E285" s="70" t="str">
        <f>"(Note "&amp;A$332&amp;")"</f>
        <v>(Note AA)</v>
      </c>
      <c r="F285" s="245" t="str">
        <f>+"WP17 Rev Line "&amp;'WP17 Rev'!A$53&amp;" Column "&amp;'WP17 Rev'!D5</f>
        <v>WP17 Rev Line 6.39 Column C</v>
      </c>
      <c r="G285" s="684">
        <f>+'WP17 Rev'!D$53</f>
        <v>0</v>
      </c>
      <c r="H285" s="1097">
        <f>+'WP17 Rev'!E$53</f>
        <v>0</v>
      </c>
      <c r="I285" s="941"/>
      <c r="K285" s="247"/>
    </row>
    <row r="286" spans="1:11">
      <c r="A286" s="71">
        <f>+A285+1</f>
        <v>191</v>
      </c>
      <c r="B286" s="15"/>
      <c r="C286" s="53" t="str">
        <f>+"Revenue Credits - "&amp;C276</f>
        <v>Revenue Credits - Transmission Service Other Revenue Credits</v>
      </c>
      <c r="D286" s="9"/>
      <c r="E286" s="32"/>
      <c r="F286" s="130" t="str">
        <f>"(Line "&amp;A282&amp;" - Line "&amp;A283&amp;" - Line "&amp;A284&amp;" - Line "&amp;A285&amp;")"</f>
        <v>(Line 187 - Line 188 - Line 189 - Line 190)</v>
      </c>
      <c r="G286" s="94">
        <f>+G282-G283-G284-G285</f>
        <v>1939929.5151238106</v>
      </c>
      <c r="H286" s="1002">
        <f>+H282-H283-H284-H285</f>
        <v>1939929.5151238106</v>
      </c>
      <c r="K286" s="247"/>
    </row>
    <row r="287" spans="1:11">
      <c r="A287" s="71">
        <f>+A286+1</f>
        <v>192</v>
      </c>
      <c r="B287" s="10"/>
      <c r="C287" s="53" t="s">
        <v>153</v>
      </c>
      <c r="D287" s="9"/>
      <c r="E287" s="32" t="str">
        <f>"(Note "&amp;A$319&amp;")"</f>
        <v>(Note N)</v>
      </c>
      <c r="F287" s="130"/>
      <c r="G287" s="196">
        <v>0</v>
      </c>
      <c r="H287" s="1020">
        <v>0</v>
      </c>
      <c r="J287" s="1594" t="s">
        <v>1544</v>
      </c>
      <c r="K287" s="247"/>
    </row>
    <row r="288" spans="1:11" ht="16.2" thickBot="1">
      <c r="A288" s="100"/>
      <c r="B288" s="7"/>
      <c r="C288" s="15"/>
      <c r="D288" s="15"/>
      <c r="E288" s="32"/>
      <c r="F288" s="130"/>
      <c r="G288" s="67"/>
      <c r="H288" s="1008"/>
      <c r="K288" s="247"/>
    </row>
    <row r="289" spans="1:178" s="1" customFormat="1" ht="16.2" thickBot="1">
      <c r="A289" s="542">
        <f>+A287+1</f>
        <v>193</v>
      </c>
      <c r="B289" s="136"/>
      <c r="C289" s="932" t="s">
        <v>125</v>
      </c>
      <c r="D289" s="549"/>
      <c r="E289" s="933"/>
      <c r="F289" s="938" t="str">
        <f>"(Line "&amp;A265&amp;" - Line "&amp;A273&amp;" - Line "&amp;A286&amp;" + Line "&amp;A287&amp;")"</f>
        <v>(Line 175 - Line 180 - Line 191 + Line 192)</v>
      </c>
      <c r="G289" s="629">
        <f>+G265-G273-G286+G287</f>
        <v>125364929.29437673</v>
      </c>
      <c r="H289" s="1056">
        <f>+H265-H273-H286+H287</f>
        <v>132148269.35856567</v>
      </c>
      <c r="J289" s="1594"/>
      <c r="K289" s="247"/>
    </row>
    <row r="290" spans="1:178" ht="15.6">
      <c r="A290" s="1806"/>
      <c r="B290" s="7"/>
      <c r="C290" s="15"/>
      <c r="D290" s="15"/>
      <c r="E290" s="32"/>
      <c r="F290" s="130"/>
      <c r="G290" s="630"/>
      <c r="H290" s="1038"/>
      <c r="I290" s="1"/>
      <c r="K290" s="247"/>
    </row>
    <row r="291" spans="1:178" ht="15.6">
      <c r="A291" s="71">
        <f>+A289+1</f>
        <v>194</v>
      </c>
      <c r="B291" s="31"/>
      <c r="C291" s="15" t="s">
        <v>1142</v>
      </c>
      <c r="D291" s="15" t="s">
        <v>824</v>
      </c>
      <c r="E291" s="101"/>
      <c r="F291" s="126" t="str">
        <f>+"WP01 True-up Line "&amp;'WP01 True-Up'!A68&amp;" (EOY) Column "&amp;'WP01 True-Up'!F6</f>
        <v>WP01 True-up Line 29 (EOY) Column E</v>
      </c>
      <c r="G291" s="612"/>
      <c r="H291" s="1002">
        <f>+'WP01 True-Up'!F68</f>
        <v>-4579264.2329543056</v>
      </c>
      <c r="I291" s="1"/>
      <c r="K291" s="33"/>
    </row>
    <row r="292" spans="1:178" ht="16.2" thickBot="1">
      <c r="A292" s="71"/>
      <c r="B292" s="31"/>
      <c r="C292" s="15"/>
      <c r="D292" s="15"/>
      <c r="E292" s="101"/>
      <c r="F292" s="126"/>
      <c r="G292" s="631"/>
      <c r="H292" s="1058"/>
      <c r="I292" s="1"/>
      <c r="J292" s="1593"/>
      <c r="K292" s="33"/>
    </row>
    <row r="293" spans="1:178" ht="16.2" thickBot="1">
      <c r="A293" s="542">
        <f>+A291+1</f>
        <v>195</v>
      </c>
      <c r="B293" s="136"/>
      <c r="C293" s="548" t="s">
        <v>23</v>
      </c>
      <c r="D293" s="549"/>
      <c r="E293" s="550"/>
      <c r="F293" s="277" t="str">
        <f>"(Line "&amp;A289&amp;" + Line "&amp;A291&amp;")"</f>
        <v>(Line 193 + Line 194)</v>
      </c>
      <c r="G293" s="629"/>
      <c r="H293" s="1056">
        <f>+H289+H291</f>
        <v>127569005.12561136</v>
      </c>
      <c r="I293" s="1"/>
      <c r="J293" s="1593"/>
      <c r="K293" s="33"/>
    </row>
    <row r="294" spans="1:178" s="10" customFormat="1" ht="15.6">
      <c r="A294" s="71"/>
      <c r="B294" s="7"/>
      <c r="C294" s="15"/>
      <c r="D294" s="15"/>
      <c r="E294" s="26"/>
      <c r="F294" s="122"/>
      <c r="G294" s="632"/>
      <c r="H294" s="1012"/>
      <c r="I294" s="246"/>
      <c r="J294" s="1594"/>
      <c r="K294" s="247"/>
      <c r="L294" s="246"/>
      <c r="M294" s="246"/>
      <c r="N294" s="246"/>
      <c r="O294" s="246"/>
      <c r="P294" s="246"/>
      <c r="Q294" s="246"/>
      <c r="R294" s="246"/>
      <c r="S294" s="246"/>
      <c r="T294" s="246"/>
      <c r="U294" s="246"/>
      <c r="V294" s="246"/>
      <c r="W294" s="246"/>
      <c r="X294" s="246"/>
      <c r="Y294" s="246"/>
      <c r="Z294" s="246"/>
      <c r="AA294" s="246"/>
      <c r="AB294" s="246"/>
      <c r="AC294" s="246"/>
      <c r="AD294" s="246"/>
      <c r="AE294" s="246"/>
      <c r="AF294" s="246"/>
      <c r="AG294" s="246"/>
      <c r="AH294" s="246"/>
      <c r="AI294" s="246"/>
      <c r="AJ294" s="246"/>
      <c r="AK294" s="246"/>
      <c r="AL294" s="246"/>
      <c r="AM294" s="246"/>
      <c r="AN294" s="246"/>
      <c r="AO294" s="246"/>
      <c r="AP294" s="246"/>
      <c r="AQ294" s="246"/>
      <c r="AR294" s="246"/>
      <c r="AS294" s="246"/>
      <c r="AT294" s="246"/>
      <c r="AU294" s="246"/>
      <c r="AV294" s="246"/>
      <c r="AW294" s="246"/>
      <c r="AX294" s="246"/>
      <c r="AY294" s="246"/>
      <c r="AZ294" s="246"/>
      <c r="BA294" s="246"/>
      <c r="BB294" s="246"/>
      <c r="BC294" s="246"/>
      <c r="BD294" s="246"/>
      <c r="BE294" s="246"/>
      <c r="BF294" s="246"/>
      <c r="BG294" s="246"/>
      <c r="BH294" s="246"/>
      <c r="BI294" s="246"/>
      <c r="BJ294" s="246"/>
      <c r="BK294" s="246"/>
      <c r="BL294" s="246"/>
      <c r="BM294" s="246"/>
      <c r="BN294" s="246"/>
      <c r="BO294" s="246"/>
      <c r="BP294" s="246"/>
      <c r="BQ294" s="246"/>
      <c r="BR294" s="246"/>
      <c r="BS294" s="246"/>
      <c r="BT294" s="246"/>
      <c r="BU294" s="246"/>
      <c r="BV294" s="246"/>
      <c r="BW294" s="246"/>
      <c r="BX294" s="246"/>
      <c r="BY294" s="246"/>
      <c r="BZ294" s="246"/>
      <c r="CA294" s="246"/>
      <c r="CB294" s="246"/>
      <c r="CC294" s="246"/>
      <c r="CD294" s="246"/>
      <c r="CE294" s="246"/>
      <c r="CF294" s="246"/>
      <c r="CG294" s="246"/>
      <c r="CH294" s="246"/>
      <c r="CI294" s="246"/>
      <c r="CJ294" s="246"/>
      <c r="CK294" s="246"/>
      <c r="CL294" s="246"/>
      <c r="CM294" s="246"/>
      <c r="CN294" s="246"/>
      <c r="CO294" s="246"/>
      <c r="CP294" s="246"/>
      <c r="CQ294" s="246"/>
      <c r="CR294" s="246"/>
      <c r="CS294" s="246"/>
      <c r="CT294" s="246"/>
      <c r="CU294" s="246"/>
      <c r="CV294" s="246"/>
      <c r="CW294" s="246"/>
      <c r="CX294" s="246"/>
      <c r="CY294" s="246"/>
      <c r="CZ294" s="246"/>
      <c r="DA294" s="246"/>
      <c r="DB294" s="246"/>
      <c r="DC294" s="246"/>
      <c r="DD294" s="246"/>
      <c r="DE294" s="246"/>
      <c r="DF294" s="246"/>
      <c r="DG294" s="246"/>
      <c r="DH294" s="246"/>
      <c r="DI294" s="246"/>
      <c r="DJ294" s="246"/>
      <c r="DK294" s="246"/>
      <c r="DL294" s="246"/>
      <c r="DM294" s="246"/>
      <c r="DN294" s="246"/>
      <c r="DO294" s="246"/>
      <c r="DP294" s="246"/>
      <c r="DQ294" s="246"/>
      <c r="DR294" s="246"/>
      <c r="DS294" s="246"/>
      <c r="DT294" s="246"/>
      <c r="DU294" s="246"/>
      <c r="DV294" s="246"/>
      <c r="DW294" s="246"/>
      <c r="DX294" s="246"/>
      <c r="DY294" s="246"/>
      <c r="DZ294" s="246"/>
      <c r="EA294" s="246"/>
      <c r="EB294" s="246"/>
      <c r="EC294" s="246"/>
      <c r="ED294" s="246"/>
      <c r="EE294" s="246"/>
      <c r="EF294" s="246"/>
      <c r="EG294" s="246"/>
      <c r="EH294" s="246"/>
      <c r="EI294" s="246"/>
      <c r="EJ294" s="246"/>
      <c r="EK294" s="246"/>
      <c r="EL294" s="246"/>
      <c r="EM294" s="246"/>
      <c r="EN294" s="246"/>
      <c r="EO294" s="246"/>
      <c r="EP294" s="246"/>
      <c r="EQ294" s="246"/>
      <c r="ER294" s="246"/>
      <c r="ES294" s="246"/>
      <c r="ET294" s="246"/>
      <c r="EU294" s="246"/>
      <c r="EV294" s="246"/>
      <c r="EW294" s="246"/>
      <c r="EX294" s="246"/>
      <c r="EY294" s="246"/>
      <c r="EZ294" s="246"/>
      <c r="FA294" s="246"/>
      <c r="FB294" s="246"/>
      <c r="FC294" s="246"/>
      <c r="FD294" s="246"/>
      <c r="FE294" s="246"/>
      <c r="FF294" s="246"/>
      <c r="FG294" s="246"/>
      <c r="FH294" s="246"/>
      <c r="FI294" s="246"/>
      <c r="FJ294" s="246"/>
      <c r="FK294" s="246"/>
      <c r="FL294" s="246"/>
      <c r="FM294" s="246"/>
      <c r="FN294" s="246"/>
      <c r="FO294" s="246"/>
      <c r="FP294" s="246"/>
      <c r="FQ294" s="246"/>
      <c r="FR294" s="246"/>
      <c r="FS294" s="246"/>
      <c r="FT294" s="246"/>
      <c r="FU294" s="246"/>
      <c r="FV294" s="246"/>
    </row>
    <row r="295" spans="1:178" s="10" customFormat="1" ht="15.6">
      <c r="A295" s="71">
        <f>+A293+1</f>
        <v>196</v>
      </c>
      <c r="B295" s="15"/>
      <c r="C295" s="15" t="s">
        <v>806</v>
      </c>
      <c r="D295" s="15"/>
      <c r="E295" s="32"/>
      <c r="F295" s="130"/>
      <c r="G295" s="1098"/>
      <c r="H295" s="1012"/>
      <c r="I295" s="246"/>
      <c r="J295" s="1594"/>
      <c r="K295" s="247"/>
      <c r="L295" s="246"/>
      <c r="M295" s="246"/>
      <c r="N295" s="246"/>
      <c r="O295" s="246"/>
      <c r="P295" s="246"/>
      <c r="Q295" s="246"/>
      <c r="R295" s="246"/>
      <c r="S295" s="246"/>
      <c r="T295" s="246"/>
      <c r="U295" s="246"/>
      <c r="V295" s="246"/>
      <c r="W295" s="246"/>
      <c r="X295" s="246"/>
      <c r="Y295" s="246"/>
      <c r="Z295" s="246"/>
      <c r="AA295" s="246"/>
      <c r="AB295" s="246"/>
      <c r="AC295" s="246"/>
      <c r="AD295" s="246"/>
      <c r="AE295" s="246"/>
      <c r="AF295" s="246"/>
      <c r="AG295" s="246"/>
      <c r="AH295" s="246"/>
      <c r="AI295" s="246"/>
      <c r="AJ295" s="246"/>
      <c r="AK295" s="246"/>
      <c r="AL295" s="246"/>
      <c r="AM295" s="246"/>
      <c r="AN295" s="246"/>
      <c r="AO295" s="246"/>
      <c r="AP295" s="246"/>
      <c r="AQ295" s="246"/>
      <c r="AR295" s="246"/>
      <c r="AS295" s="246"/>
      <c r="AT295" s="246"/>
      <c r="AU295" s="246"/>
      <c r="AV295" s="246"/>
      <c r="AW295" s="246"/>
      <c r="AX295" s="246"/>
      <c r="AY295" s="246"/>
      <c r="AZ295" s="246"/>
      <c r="BA295" s="246"/>
      <c r="BB295" s="246"/>
      <c r="BC295" s="246"/>
      <c r="BD295" s="246"/>
      <c r="BE295" s="246"/>
      <c r="BF295" s="246"/>
      <c r="BG295" s="246"/>
      <c r="BH295" s="246"/>
      <c r="BI295" s="246"/>
      <c r="BJ295" s="246"/>
      <c r="BK295" s="246"/>
      <c r="BL295" s="246"/>
      <c r="BM295" s="246"/>
      <c r="BN295" s="246"/>
      <c r="BO295" s="246"/>
      <c r="BP295" s="246"/>
      <c r="BQ295" s="246"/>
      <c r="BR295" s="246"/>
      <c r="BS295" s="246"/>
      <c r="BT295" s="246"/>
      <c r="BU295" s="246"/>
      <c r="BV295" s="246"/>
      <c r="BW295" s="246"/>
      <c r="BX295" s="246"/>
      <c r="BY295" s="246"/>
      <c r="BZ295" s="246"/>
      <c r="CA295" s="246"/>
      <c r="CB295" s="246"/>
      <c r="CC295" s="246"/>
      <c r="CD295" s="246"/>
      <c r="CE295" s="246"/>
      <c r="CF295" s="246"/>
      <c r="CG295" s="246"/>
      <c r="CH295" s="246"/>
      <c r="CI295" s="246"/>
      <c r="CJ295" s="246"/>
      <c r="CK295" s="246"/>
      <c r="CL295" s="246"/>
      <c r="CM295" s="246"/>
      <c r="CN295" s="246"/>
      <c r="CO295" s="246"/>
      <c r="CP295" s="246"/>
      <c r="CQ295" s="246"/>
      <c r="CR295" s="246"/>
      <c r="CS295" s="246"/>
      <c r="CT295" s="246"/>
      <c r="CU295" s="246"/>
      <c r="CV295" s="246"/>
      <c r="CW295" s="246"/>
      <c r="CX295" s="246"/>
      <c r="CY295" s="246"/>
      <c r="CZ295" s="246"/>
      <c r="DA295" s="246"/>
      <c r="DB295" s="246"/>
      <c r="DC295" s="246"/>
      <c r="DD295" s="246"/>
      <c r="DE295" s="246"/>
      <c r="DF295" s="246"/>
      <c r="DG295" s="246"/>
      <c r="DH295" s="246"/>
      <c r="DI295" s="246"/>
      <c r="DJ295" s="246"/>
      <c r="DK295" s="246"/>
      <c r="DL295" s="246"/>
      <c r="DM295" s="246"/>
      <c r="DN295" s="246"/>
      <c r="DO295" s="246"/>
      <c r="DP295" s="246"/>
      <c r="DQ295" s="246"/>
      <c r="DR295" s="246"/>
      <c r="DS295" s="246"/>
      <c r="DT295" s="246"/>
      <c r="DU295" s="246"/>
      <c r="DV295" s="246"/>
      <c r="DW295" s="246"/>
      <c r="DX295" s="246"/>
      <c r="DY295" s="246"/>
      <c r="DZ295" s="246"/>
      <c r="EA295" s="246"/>
      <c r="EB295" s="246"/>
      <c r="EC295" s="246"/>
      <c r="ED295" s="246"/>
      <c r="EE295" s="246"/>
      <c r="EF295" s="246"/>
      <c r="EG295" s="246"/>
      <c r="EH295" s="246"/>
      <c r="EI295" s="246"/>
      <c r="EJ295" s="246"/>
      <c r="EK295" s="246"/>
      <c r="EL295" s="246"/>
      <c r="EM295" s="246"/>
      <c r="EN295" s="246"/>
      <c r="EO295" s="246"/>
      <c r="EP295" s="246"/>
      <c r="EQ295" s="246"/>
      <c r="ER295" s="246"/>
      <c r="ES295" s="246"/>
      <c r="ET295" s="246"/>
      <c r="EU295" s="246"/>
      <c r="EV295" s="246"/>
      <c r="EW295" s="246"/>
      <c r="EX295" s="246"/>
      <c r="EY295" s="246"/>
      <c r="EZ295" s="246"/>
      <c r="FA295" s="246"/>
      <c r="FB295" s="246"/>
      <c r="FC295" s="246"/>
      <c r="FD295" s="246"/>
      <c r="FE295" s="246"/>
      <c r="FF295" s="246"/>
      <c r="FG295" s="246"/>
      <c r="FH295" s="246"/>
      <c r="FI295" s="246"/>
      <c r="FJ295" s="246"/>
      <c r="FK295" s="246"/>
      <c r="FL295" s="246"/>
      <c r="FM295" s="246"/>
      <c r="FN295" s="246"/>
      <c r="FO295" s="246"/>
      <c r="FP295" s="246"/>
      <c r="FQ295" s="246"/>
      <c r="FR295" s="246"/>
      <c r="FS295" s="246"/>
      <c r="FT295" s="246"/>
      <c r="FU295" s="246"/>
      <c r="FV295" s="246"/>
    </row>
    <row r="296" spans="1:178" s="10" customFormat="1">
      <c r="A296" s="1270">
        <f>+A295+1</f>
        <v>197</v>
      </c>
      <c r="B296" s="31"/>
      <c r="C296" s="858" t="s">
        <v>671</v>
      </c>
      <c r="D296" s="15"/>
      <c r="E296" s="32" t="str">
        <f>"(Note "&amp;A$338&amp;")"</f>
        <v>(Note GG)</v>
      </c>
      <c r="F296" s="130"/>
      <c r="G296" s="94"/>
      <c r="H296" s="1020">
        <v>0</v>
      </c>
      <c r="I296" s="246"/>
      <c r="J296" s="1594" t="s">
        <v>1547</v>
      </c>
      <c r="K296" s="247"/>
      <c r="L296" s="246"/>
      <c r="M296" s="246"/>
      <c r="N296" s="246"/>
      <c r="O296" s="246"/>
      <c r="P296" s="246"/>
      <c r="Q296" s="246"/>
      <c r="R296" s="246"/>
      <c r="S296" s="246"/>
      <c r="T296" s="246"/>
      <c r="U296" s="246"/>
      <c r="V296" s="246"/>
      <c r="W296" s="246"/>
      <c r="X296" s="246"/>
      <c r="Y296" s="246"/>
      <c r="Z296" s="246"/>
      <c r="AA296" s="246"/>
      <c r="AB296" s="246"/>
      <c r="AC296" s="246"/>
      <c r="AD296" s="246"/>
      <c r="AE296" s="246"/>
      <c r="AF296" s="246"/>
      <c r="AG296" s="246"/>
      <c r="AH296" s="246"/>
      <c r="AI296" s="246"/>
      <c r="AJ296" s="246"/>
      <c r="AK296" s="246"/>
      <c r="AL296" s="246"/>
      <c r="AM296" s="246"/>
      <c r="AN296" s="246"/>
      <c r="AO296" s="246"/>
      <c r="AP296" s="246"/>
      <c r="AQ296" s="246"/>
      <c r="AR296" s="246"/>
      <c r="AS296" s="246"/>
      <c r="AT296" s="246"/>
      <c r="AU296" s="246"/>
      <c r="AV296" s="246"/>
      <c r="AW296" s="246"/>
      <c r="AX296" s="246"/>
      <c r="AY296" s="246"/>
      <c r="AZ296" s="246"/>
      <c r="BA296" s="246"/>
      <c r="BB296" s="246"/>
      <c r="BC296" s="246"/>
      <c r="BD296" s="246"/>
      <c r="BE296" s="246"/>
      <c r="BF296" s="246"/>
      <c r="BG296" s="246"/>
      <c r="BH296" s="246"/>
      <c r="BI296" s="246"/>
      <c r="BJ296" s="246"/>
      <c r="BK296" s="246"/>
      <c r="BL296" s="246"/>
      <c r="BM296" s="246"/>
      <c r="BN296" s="246"/>
      <c r="BO296" s="246"/>
      <c r="BP296" s="246"/>
      <c r="BQ296" s="246"/>
      <c r="BR296" s="246"/>
      <c r="BS296" s="246"/>
      <c r="BT296" s="246"/>
      <c r="BU296" s="246"/>
      <c r="BV296" s="246"/>
      <c r="BW296" s="246"/>
      <c r="BX296" s="246"/>
      <c r="BY296" s="246"/>
      <c r="BZ296" s="246"/>
      <c r="CA296" s="246"/>
      <c r="CB296" s="246"/>
      <c r="CC296" s="246"/>
      <c r="CD296" s="246"/>
      <c r="CE296" s="246"/>
      <c r="CF296" s="246"/>
      <c r="CG296" s="246"/>
      <c r="CH296" s="246"/>
      <c r="CI296" s="246"/>
      <c r="CJ296" s="246"/>
      <c r="CK296" s="246"/>
      <c r="CL296" s="246"/>
      <c r="CM296" s="246"/>
      <c r="CN296" s="246"/>
      <c r="CO296" s="246"/>
      <c r="CP296" s="246"/>
      <c r="CQ296" s="246"/>
      <c r="CR296" s="246"/>
      <c r="CS296" s="246"/>
      <c r="CT296" s="246"/>
      <c r="CU296" s="246"/>
      <c r="CV296" s="246"/>
      <c r="CW296" s="246"/>
      <c r="CX296" s="246"/>
      <c r="CY296" s="246"/>
      <c r="CZ296" s="246"/>
      <c r="DA296" s="246"/>
      <c r="DB296" s="246"/>
      <c r="DC296" s="246"/>
      <c r="DD296" s="246"/>
      <c r="DE296" s="246"/>
      <c r="DF296" s="246"/>
      <c r="DG296" s="246"/>
      <c r="DH296" s="246"/>
      <c r="DI296" s="246"/>
      <c r="DJ296" s="246"/>
      <c r="DK296" s="246"/>
      <c r="DL296" s="246"/>
      <c r="DM296" s="246"/>
      <c r="DN296" s="246"/>
      <c r="DO296" s="246"/>
      <c r="DP296" s="246"/>
      <c r="DQ296" s="246"/>
      <c r="DR296" s="246"/>
      <c r="DS296" s="246"/>
      <c r="DT296" s="246"/>
      <c r="DU296" s="246"/>
      <c r="DV296" s="246"/>
      <c r="DW296" s="246"/>
      <c r="DX296" s="246"/>
      <c r="DY296" s="246"/>
      <c r="DZ296" s="246"/>
      <c r="EA296" s="246"/>
      <c r="EB296" s="246"/>
      <c r="EC296" s="246"/>
      <c r="ED296" s="246"/>
      <c r="EE296" s="246"/>
      <c r="EF296" s="246"/>
      <c r="EG296" s="246"/>
      <c r="EH296" s="246"/>
      <c r="EI296" s="246"/>
      <c r="EJ296" s="246"/>
      <c r="EK296" s="246"/>
      <c r="EL296" s="246"/>
      <c r="EM296" s="246"/>
      <c r="EN296" s="246"/>
      <c r="EO296" s="246"/>
      <c r="EP296" s="246"/>
      <c r="EQ296" s="246"/>
      <c r="ER296" s="246"/>
      <c r="ES296" s="246"/>
      <c r="ET296" s="246"/>
      <c r="EU296" s="246"/>
      <c r="EV296" s="246"/>
      <c r="EW296" s="246"/>
      <c r="EX296" s="246"/>
      <c r="EY296" s="246"/>
      <c r="EZ296" s="246"/>
      <c r="FA296" s="246"/>
      <c r="FB296" s="246"/>
      <c r="FC296" s="246"/>
      <c r="FD296" s="246"/>
      <c r="FE296" s="246"/>
      <c r="FF296" s="246"/>
      <c r="FG296" s="246"/>
      <c r="FH296" s="246"/>
      <c r="FI296" s="246"/>
      <c r="FJ296" s="246"/>
      <c r="FK296" s="246"/>
      <c r="FL296" s="246"/>
      <c r="FM296" s="246"/>
      <c r="FN296" s="246"/>
      <c r="FO296" s="246"/>
      <c r="FP296" s="246"/>
      <c r="FQ296" s="246"/>
      <c r="FR296" s="246"/>
      <c r="FS296" s="246"/>
      <c r="FT296" s="246"/>
      <c r="FU296" s="246"/>
      <c r="FV296" s="246"/>
    </row>
    <row r="297" spans="1:178" s="10" customFormat="1">
      <c r="A297" s="1270">
        <f>+A296+1</f>
        <v>198</v>
      </c>
      <c r="B297" s="31"/>
      <c r="C297" s="1099" t="s">
        <v>811</v>
      </c>
      <c r="D297" s="434"/>
      <c r="E297" s="70" t="str">
        <f>"(Note "&amp;A$338&amp;")"</f>
        <v>(Note GG)</v>
      </c>
      <c r="F297" s="132"/>
      <c r="G297" s="621"/>
      <c r="H297" s="1028">
        <v>0</v>
      </c>
      <c r="I297" s="246"/>
      <c r="J297" s="1594" t="s">
        <v>1547</v>
      </c>
      <c r="K297" s="247"/>
      <c r="L297" s="246"/>
      <c r="M297" s="246"/>
      <c r="N297" s="246"/>
      <c r="O297" s="246"/>
      <c r="P297" s="246"/>
      <c r="Q297" s="246"/>
      <c r="R297" s="246"/>
      <c r="S297" s="246"/>
      <c r="T297" s="246"/>
      <c r="U297" s="246"/>
      <c r="V297" s="246"/>
      <c r="W297" s="246"/>
      <c r="X297" s="246"/>
      <c r="Y297" s="246"/>
      <c r="Z297" s="246"/>
      <c r="AA297" s="246"/>
      <c r="AB297" s="246"/>
      <c r="AC297" s="246"/>
      <c r="AD297" s="246"/>
      <c r="AE297" s="246"/>
      <c r="AF297" s="246"/>
      <c r="AG297" s="246"/>
      <c r="AH297" s="246"/>
      <c r="AI297" s="246"/>
      <c r="AJ297" s="246"/>
      <c r="AK297" s="246"/>
      <c r="AL297" s="246"/>
      <c r="AM297" s="246"/>
      <c r="AN297" s="246"/>
      <c r="AO297" s="246"/>
      <c r="AP297" s="246"/>
      <c r="AQ297" s="246"/>
      <c r="AR297" s="246"/>
      <c r="AS297" s="246"/>
      <c r="AT297" s="246"/>
      <c r="AU297" s="246"/>
      <c r="AV297" s="246"/>
      <c r="AW297" s="246"/>
      <c r="AX297" s="246"/>
      <c r="AY297" s="246"/>
      <c r="AZ297" s="246"/>
      <c r="BA297" s="246"/>
      <c r="BB297" s="246"/>
      <c r="BC297" s="246"/>
      <c r="BD297" s="246"/>
      <c r="BE297" s="246"/>
      <c r="BF297" s="246"/>
      <c r="BG297" s="246"/>
      <c r="BH297" s="246"/>
      <c r="BI297" s="246"/>
      <c r="BJ297" s="246"/>
      <c r="BK297" s="246"/>
      <c r="BL297" s="246"/>
      <c r="BM297" s="246"/>
      <c r="BN297" s="246"/>
      <c r="BO297" s="246"/>
      <c r="BP297" s="246"/>
      <c r="BQ297" s="246"/>
      <c r="BR297" s="246"/>
      <c r="BS297" s="246"/>
      <c r="BT297" s="246"/>
      <c r="BU297" s="246"/>
      <c r="BV297" s="246"/>
      <c r="BW297" s="246"/>
      <c r="BX297" s="246"/>
      <c r="BY297" s="246"/>
      <c r="BZ297" s="246"/>
      <c r="CA297" s="246"/>
      <c r="CB297" s="246"/>
      <c r="CC297" s="246"/>
      <c r="CD297" s="246"/>
      <c r="CE297" s="246"/>
      <c r="CF297" s="246"/>
      <c r="CG297" s="246"/>
      <c r="CH297" s="246"/>
      <c r="CI297" s="246"/>
      <c r="CJ297" s="246"/>
      <c r="CK297" s="246"/>
      <c r="CL297" s="246"/>
      <c r="CM297" s="246"/>
      <c r="CN297" s="246"/>
      <c r="CO297" s="246"/>
      <c r="CP297" s="246"/>
      <c r="CQ297" s="246"/>
      <c r="CR297" s="246"/>
      <c r="CS297" s="246"/>
      <c r="CT297" s="246"/>
      <c r="CU297" s="246"/>
      <c r="CV297" s="246"/>
      <c r="CW297" s="246"/>
      <c r="CX297" s="246"/>
      <c r="CY297" s="246"/>
      <c r="CZ297" s="246"/>
      <c r="DA297" s="246"/>
      <c r="DB297" s="246"/>
      <c r="DC297" s="246"/>
      <c r="DD297" s="246"/>
      <c r="DE297" s="246"/>
      <c r="DF297" s="246"/>
      <c r="DG297" s="246"/>
      <c r="DH297" s="246"/>
      <c r="DI297" s="246"/>
      <c r="DJ297" s="246"/>
      <c r="DK297" s="246"/>
      <c r="DL297" s="246"/>
      <c r="DM297" s="246"/>
      <c r="DN297" s="246"/>
      <c r="DO297" s="246"/>
      <c r="DP297" s="246"/>
      <c r="DQ297" s="246"/>
      <c r="DR297" s="246"/>
      <c r="DS297" s="246"/>
      <c r="DT297" s="246"/>
      <c r="DU297" s="246"/>
      <c r="DV297" s="246"/>
      <c r="DW297" s="246"/>
      <c r="DX297" s="246"/>
      <c r="DY297" s="246"/>
      <c r="DZ297" s="246"/>
      <c r="EA297" s="246"/>
      <c r="EB297" s="246"/>
      <c r="EC297" s="246"/>
      <c r="ED297" s="246"/>
      <c r="EE297" s="246"/>
      <c r="EF297" s="246"/>
      <c r="EG297" s="246"/>
      <c r="EH297" s="246"/>
      <c r="EI297" s="246"/>
      <c r="EJ297" s="246"/>
      <c r="EK297" s="246"/>
      <c r="EL297" s="246"/>
      <c r="EM297" s="246"/>
      <c r="EN297" s="246"/>
      <c r="EO297" s="246"/>
      <c r="EP297" s="246"/>
      <c r="EQ297" s="246"/>
      <c r="ER297" s="246"/>
      <c r="ES297" s="246"/>
      <c r="ET297" s="246"/>
      <c r="EU297" s="246"/>
      <c r="EV297" s="246"/>
      <c r="EW297" s="246"/>
      <c r="EX297" s="246"/>
      <c r="EY297" s="246"/>
      <c r="EZ297" s="246"/>
      <c r="FA297" s="246"/>
      <c r="FB297" s="246"/>
      <c r="FC297" s="246"/>
      <c r="FD297" s="246"/>
      <c r="FE297" s="246"/>
      <c r="FF297" s="246"/>
      <c r="FG297" s="246"/>
      <c r="FH297" s="246"/>
      <c r="FI297" s="246"/>
      <c r="FJ297" s="246"/>
      <c r="FK297" s="246"/>
      <c r="FL297" s="246"/>
      <c r="FM297" s="246"/>
      <c r="FN297" s="246"/>
      <c r="FO297" s="246"/>
      <c r="FP297" s="246"/>
      <c r="FQ297" s="246"/>
      <c r="FR297" s="246"/>
      <c r="FS297" s="246"/>
      <c r="FT297" s="246"/>
      <c r="FU297" s="246"/>
      <c r="FV297" s="246"/>
    </row>
    <row r="298" spans="1:178" s="10" customFormat="1" ht="15.6">
      <c r="A298" s="1270">
        <f>+A297+1</f>
        <v>199</v>
      </c>
      <c r="B298" s="31"/>
      <c r="C298" s="15" t="s">
        <v>769</v>
      </c>
      <c r="D298" s="15"/>
      <c r="E298" s="32"/>
      <c r="F298" s="130" t="str">
        <f>"(Line "&amp;A293&amp;" + Line "&amp;A296&amp;" + Line "&amp;A297&amp;")"</f>
        <v>(Line 195 + Line 197 + Line 198)</v>
      </c>
      <c r="G298" s="1098"/>
      <c r="H298" s="1012">
        <f>+H293+H296+H297</f>
        <v>127569005.12561136</v>
      </c>
      <c r="I298" s="246"/>
      <c r="J298" s="1594"/>
      <c r="K298" s="247"/>
      <c r="L298" s="246"/>
      <c r="M298" s="246"/>
      <c r="N298" s="246"/>
      <c r="O298" s="246"/>
      <c r="P298" s="246"/>
      <c r="Q298" s="246"/>
      <c r="R298" s="246"/>
      <c r="S298" s="246"/>
      <c r="T298" s="246"/>
      <c r="U298" s="246"/>
      <c r="V298" s="246"/>
      <c r="W298" s="246"/>
      <c r="X298" s="246"/>
      <c r="Y298" s="246"/>
      <c r="Z298" s="246"/>
      <c r="AA298" s="246"/>
      <c r="AB298" s="246"/>
      <c r="AC298" s="246"/>
      <c r="AD298" s="246"/>
      <c r="AE298" s="246"/>
      <c r="AF298" s="246"/>
      <c r="AG298" s="246"/>
      <c r="AH298" s="246"/>
      <c r="AI298" s="246"/>
      <c r="AJ298" s="246"/>
      <c r="AK298" s="246"/>
      <c r="AL298" s="246"/>
      <c r="AM298" s="246"/>
      <c r="AN298" s="246"/>
      <c r="AO298" s="246"/>
      <c r="AP298" s="246"/>
      <c r="AQ298" s="246"/>
      <c r="AR298" s="246"/>
      <c r="AS298" s="246"/>
      <c r="AT298" s="246"/>
      <c r="AU298" s="246"/>
      <c r="AV298" s="246"/>
      <c r="AW298" s="246"/>
      <c r="AX298" s="246"/>
      <c r="AY298" s="246"/>
      <c r="AZ298" s="246"/>
      <c r="BA298" s="246"/>
      <c r="BB298" s="246"/>
      <c r="BC298" s="246"/>
      <c r="BD298" s="246"/>
      <c r="BE298" s="246"/>
      <c r="BF298" s="246"/>
      <c r="BG298" s="246"/>
      <c r="BH298" s="246"/>
      <c r="BI298" s="246"/>
      <c r="BJ298" s="246"/>
      <c r="BK298" s="246"/>
      <c r="BL298" s="246"/>
      <c r="BM298" s="246"/>
      <c r="BN298" s="246"/>
      <c r="BO298" s="246"/>
      <c r="BP298" s="246"/>
      <c r="BQ298" s="246"/>
      <c r="BR298" s="246"/>
      <c r="BS298" s="246"/>
      <c r="BT298" s="246"/>
      <c r="BU298" s="246"/>
      <c r="BV298" s="246"/>
      <c r="BW298" s="246"/>
      <c r="BX298" s="246"/>
      <c r="BY298" s="246"/>
      <c r="BZ298" s="246"/>
      <c r="CA298" s="246"/>
      <c r="CB298" s="246"/>
      <c r="CC298" s="246"/>
      <c r="CD298" s="246"/>
      <c r="CE298" s="246"/>
      <c r="CF298" s="246"/>
      <c r="CG298" s="246"/>
      <c r="CH298" s="246"/>
      <c r="CI298" s="246"/>
      <c r="CJ298" s="246"/>
      <c r="CK298" s="246"/>
      <c r="CL298" s="246"/>
      <c r="CM298" s="246"/>
      <c r="CN298" s="246"/>
      <c r="CO298" s="246"/>
      <c r="CP298" s="246"/>
      <c r="CQ298" s="246"/>
      <c r="CR298" s="246"/>
      <c r="CS298" s="246"/>
      <c r="CT298" s="246"/>
      <c r="CU298" s="246"/>
      <c r="CV298" s="246"/>
      <c r="CW298" s="246"/>
      <c r="CX298" s="246"/>
      <c r="CY298" s="246"/>
      <c r="CZ298" s="246"/>
      <c r="DA298" s="246"/>
      <c r="DB298" s="246"/>
      <c r="DC298" s="246"/>
      <c r="DD298" s="246"/>
      <c r="DE298" s="246"/>
      <c r="DF298" s="246"/>
      <c r="DG298" s="246"/>
      <c r="DH298" s="246"/>
      <c r="DI298" s="246"/>
      <c r="DJ298" s="246"/>
      <c r="DK298" s="246"/>
      <c r="DL298" s="246"/>
      <c r="DM298" s="246"/>
      <c r="DN298" s="246"/>
      <c r="DO298" s="246"/>
      <c r="DP298" s="246"/>
      <c r="DQ298" s="246"/>
      <c r="DR298" s="246"/>
      <c r="DS298" s="246"/>
      <c r="DT298" s="246"/>
      <c r="DU298" s="246"/>
      <c r="DV298" s="246"/>
      <c r="DW298" s="246"/>
      <c r="DX298" s="246"/>
      <c r="DY298" s="246"/>
      <c r="DZ298" s="246"/>
      <c r="EA298" s="246"/>
      <c r="EB298" s="246"/>
      <c r="EC298" s="246"/>
      <c r="ED298" s="246"/>
      <c r="EE298" s="246"/>
      <c r="EF298" s="246"/>
      <c r="EG298" s="246"/>
      <c r="EH298" s="246"/>
      <c r="EI298" s="246"/>
      <c r="EJ298" s="246"/>
      <c r="EK298" s="246"/>
      <c r="EL298" s="246"/>
      <c r="EM298" s="246"/>
      <c r="EN298" s="246"/>
      <c r="EO298" s="246"/>
      <c r="EP298" s="246"/>
      <c r="EQ298" s="246"/>
      <c r="ER298" s="246"/>
      <c r="ES298" s="246"/>
      <c r="ET298" s="246"/>
      <c r="EU298" s="246"/>
      <c r="EV298" s="246"/>
      <c r="EW298" s="246"/>
      <c r="EX298" s="246"/>
      <c r="EY298" s="246"/>
      <c r="EZ298" s="246"/>
      <c r="FA298" s="246"/>
      <c r="FB298" s="246"/>
      <c r="FC298" s="246"/>
      <c r="FD298" s="246"/>
      <c r="FE298" s="246"/>
      <c r="FF298" s="246"/>
      <c r="FG298" s="246"/>
      <c r="FH298" s="246"/>
      <c r="FI298" s="246"/>
      <c r="FJ298" s="246"/>
      <c r="FK298" s="246"/>
      <c r="FL298" s="246"/>
      <c r="FM298" s="246"/>
      <c r="FN298" s="246"/>
      <c r="FO298" s="246"/>
      <c r="FP298" s="246"/>
      <c r="FQ298" s="246"/>
      <c r="FR298" s="246"/>
      <c r="FS298" s="246"/>
      <c r="FT298" s="246"/>
      <c r="FU298" s="246"/>
      <c r="FV298" s="246"/>
    </row>
    <row r="299" spans="1:178" s="10" customFormat="1" ht="15.6">
      <c r="A299" s="71"/>
      <c r="B299" s="7"/>
      <c r="C299" s="15"/>
      <c r="D299" s="15"/>
      <c r="E299" s="26"/>
      <c r="F299" s="122"/>
      <c r="G299" s="632"/>
      <c r="H299" s="1012"/>
      <c r="I299" s="246"/>
      <c r="J299" s="1594"/>
      <c r="K299" s="247"/>
      <c r="L299" s="246"/>
      <c r="M299" s="246"/>
      <c r="N299" s="246"/>
      <c r="O299" s="246"/>
      <c r="P299" s="246"/>
      <c r="Q299" s="246"/>
      <c r="R299" s="246"/>
      <c r="S299" s="246"/>
      <c r="T299" s="246"/>
      <c r="U299" s="246"/>
      <c r="V299" s="246"/>
      <c r="W299" s="246"/>
      <c r="X299" s="246"/>
      <c r="Y299" s="246"/>
      <c r="Z299" s="246"/>
      <c r="AA299" s="246"/>
      <c r="AB299" s="246"/>
      <c r="AC299" s="246"/>
      <c r="AD299" s="246"/>
      <c r="AE299" s="246"/>
      <c r="AF299" s="246"/>
      <c r="AG299" s="246"/>
      <c r="AH299" s="246"/>
      <c r="AI299" s="246"/>
      <c r="AJ299" s="246"/>
      <c r="AK299" s="246"/>
      <c r="AL299" s="246"/>
      <c r="AM299" s="246"/>
      <c r="AN299" s="246"/>
      <c r="AO299" s="246"/>
      <c r="AP299" s="246"/>
      <c r="AQ299" s="246"/>
      <c r="AR299" s="246"/>
      <c r="AS299" s="246"/>
      <c r="AT299" s="246"/>
      <c r="AU299" s="246"/>
      <c r="AV299" s="246"/>
      <c r="AW299" s="246"/>
      <c r="AX299" s="246"/>
      <c r="AY299" s="246"/>
      <c r="AZ299" s="246"/>
      <c r="BA299" s="246"/>
      <c r="BB299" s="246"/>
      <c r="BC299" s="246"/>
      <c r="BD299" s="246"/>
      <c r="BE299" s="246"/>
      <c r="BF299" s="246"/>
      <c r="BG299" s="246"/>
      <c r="BH299" s="246"/>
      <c r="BI299" s="246"/>
      <c r="BJ299" s="246"/>
      <c r="BK299" s="246"/>
      <c r="BL299" s="246"/>
      <c r="BM299" s="246"/>
      <c r="BN299" s="246"/>
      <c r="BO299" s="246"/>
      <c r="BP299" s="246"/>
      <c r="BQ299" s="246"/>
      <c r="BR299" s="246"/>
      <c r="BS299" s="246"/>
      <c r="BT299" s="246"/>
      <c r="BU299" s="246"/>
      <c r="BV299" s="246"/>
      <c r="BW299" s="246"/>
      <c r="BX299" s="246"/>
      <c r="BY299" s="246"/>
      <c r="BZ299" s="246"/>
      <c r="CA299" s="246"/>
      <c r="CB299" s="246"/>
      <c r="CC299" s="246"/>
      <c r="CD299" s="246"/>
      <c r="CE299" s="246"/>
      <c r="CF299" s="246"/>
      <c r="CG299" s="246"/>
      <c r="CH299" s="246"/>
      <c r="CI299" s="246"/>
      <c r="CJ299" s="246"/>
      <c r="CK299" s="246"/>
      <c r="CL299" s="246"/>
      <c r="CM299" s="246"/>
      <c r="CN299" s="246"/>
      <c r="CO299" s="246"/>
      <c r="CP299" s="246"/>
      <c r="CQ299" s="246"/>
      <c r="CR299" s="246"/>
      <c r="CS299" s="246"/>
      <c r="CT299" s="246"/>
      <c r="CU299" s="246"/>
      <c r="CV299" s="246"/>
      <c r="CW299" s="246"/>
      <c r="CX299" s="246"/>
      <c r="CY299" s="246"/>
      <c r="CZ299" s="246"/>
      <c r="DA299" s="246"/>
      <c r="DB299" s="246"/>
      <c r="DC299" s="246"/>
      <c r="DD299" s="246"/>
      <c r="DE299" s="246"/>
      <c r="DF299" s="246"/>
      <c r="DG299" s="246"/>
      <c r="DH299" s="246"/>
      <c r="DI299" s="246"/>
      <c r="DJ299" s="246"/>
      <c r="DK299" s="246"/>
      <c r="DL299" s="246"/>
      <c r="DM299" s="246"/>
      <c r="DN299" s="246"/>
      <c r="DO299" s="246"/>
      <c r="DP299" s="246"/>
      <c r="DQ299" s="246"/>
      <c r="DR299" s="246"/>
      <c r="DS299" s="246"/>
      <c r="DT299" s="246"/>
      <c r="DU299" s="246"/>
      <c r="DV299" s="246"/>
      <c r="DW299" s="246"/>
      <c r="DX299" s="246"/>
      <c r="DY299" s="246"/>
      <c r="DZ299" s="246"/>
      <c r="EA299" s="246"/>
      <c r="EB299" s="246"/>
      <c r="EC299" s="246"/>
      <c r="ED299" s="246"/>
      <c r="EE299" s="246"/>
      <c r="EF299" s="246"/>
      <c r="EG299" s="246"/>
      <c r="EH299" s="246"/>
      <c r="EI299" s="246"/>
      <c r="EJ299" s="246"/>
      <c r="EK299" s="246"/>
      <c r="EL299" s="246"/>
      <c r="EM299" s="246"/>
      <c r="EN299" s="246"/>
      <c r="EO299" s="246"/>
      <c r="EP299" s="246"/>
      <c r="EQ299" s="246"/>
      <c r="ER299" s="246"/>
      <c r="ES299" s="246"/>
      <c r="ET299" s="246"/>
      <c r="EU299" s="246"/>
      <c r="EV299" s="246"/>
      <c r="EW299" s="246"/>
      <c r="EX299" s="246"/>
      <c r="EY299" s="246"/>
      <c r="EZ299" s="246"/>
      <c r="FA299" s="246"/>
      <c r="FB299" s="246"/>
      <c r="FC299" s="246"/>
      <c r="FD299" s="246"/>
      <c r="FE299" s="246"/>
      <c r="FF299" s="246"/>
      <c r="FG299" s="246"/>
      <c r="FH299" s="246"/>
      <c r="FI299" s="246"/>
      <c r="FJ299" s="246"/>
      <c r="FK299" s="246"/>
      <c r="FL299" s="246"/>
      <c r="FM299" s="246"/>
      <c r="FN299" s="246"/>
      <c r="FO299" s="246"/>
      <c r="FP299" s="246"/>
      <c r="FQ299" s="246"/>
      <c r="FR299" s="246"/>
      <c r="FS299" s="246"/>
      <c r="FT299" s="246"/>
      <c r="FU299" s="246"/>
      <c r="FV299" s="246"/>
    </row>
    <row r="300" spans="1:178" ht="15.6">
      <c r="A300" s="71"/>
      <c r="B300" s="36" t="s">
        <v>22</v>
      </c>
      <c r="C300" s="15"/>
      <c r="D300" s="15"/>
      <c r="E300" s="26"/>
      <c r="F300" s="122"/>
      <c r="G300" s="632"/>
      <c r="H300" s="1012"/>
      <c r="K300" s="247"/>
    </row>
    <row r="301" spans="1:178" ht="15.6">
      <c r="A301" s="71">
        <f>+A298+1</f>
        <v>200</v>
      </c>
      <c r="B301" s="31"/>
      <c r="C301" s="53" t="s">
        <v>287</v>
      </c>
      <c r="D301" s="20" t="s">
        <v>65</v>
      </c>
      <c r="E301" s="32" t="str">
        <f>"(Note "&amp;A$317&amp;")"</f>
        <v>(Note L)</v>
      </c>
      <c r="F301" s="120" t="str">
        <f>+"WP19 Load Line "&amp;'WP19 Load'!A46&amp;" Column "&amp;'WP19 Load'!O5</f>
        <v xml:space="preserve">WP19 Load Line 25 Column N </v>
      </c>
      <c r="G301" s="632"/>
      <c r="H301" s="1027">
        <f>+'WP19 Load'!O46*1000</f>
        <v>3336416.6666666665</v>
      </c>
      <c r="K301" s="247"/>
    </row>
    <row r="302" spans="1:178" ht="15.6">
      <c r="A302" s="104">
        <f>+A301+1</f>
        <v>201</v>
      </c>
      <c r="B302" s="9"/>
      <c r="C302" s="8" t="s">
        <v>22</v>
      </c>
      <c r="D302" s="46"/>
      <c r="E302" s="177"/>
      <c r="F302" s="119" t="str">
        <f>"(Line "&amp;A298&amp;" / Line "&amp;A301&amp;")"</f>
        <v>(Line 199 / Line 200)</v>
      </c>
      <c r="G302" s="450"/>
      <c r="H302" s="1269">
        <f>IF(H301=0,0,H298/H301)</f>
        <v>38.235333853868582</v>
      </c>
      <c r="K302" s="247"/>
    </row>
    <row r="303" spans="1:178" ht="16.2" thickBot="1">
      <c r="A303" s="137">
        <f>+A302+1</f>
        <v>202</v>
      </c>
      <c r="B303" s="138"/>
      <c r="C303" s="139" t="s">
        <v>167</v>
      </c>
      <c r="D303" s="140"/>
      <c r="E303" s="178"/>
      <c r="F303" s="449" t="str">
        <f>"(Line "&amp;A302&amp;" / 12)"</f>
        <v>(Line 201 / 12)</v>
      </c>
      <c r="G303" s="451"/>
      <c r="H303" s="1059">
        <f>H302/12</f>
        <v>3.186277821155715</v>
      </c>
      <c r="K303" s="247"/>
    </row>
    <row r="304" spans="1:178" ht="15.6">
      <c r="A304" s="32"/>
      <c r="B304" s="31"/>
      <c r="C304" s="8"/>
      <c r="D304" s="6"/>
      <c r="E304" s="30"/>
      <c r="F304" s="44"/>
      <c r="G304" s="441"/>
      <c r="H304" s="441"/>
      <c r="K304" s="247"/>
    </row>
    <row r="305" spans="1:11" ht="15.75" customHeight="1">
      <c r="A305" s="1679" t="s">
        <v>124</v>
      </c>
      <c r="B305" s="1679"/>
      <c r="C305" s="6"/>
      <c r="D305" s="6"/>
      <c r="E305" s="30"/>
      <c r="F305" s="59"/>
      <c r="H305" s="42"/>
      <c r="K305" s="247"/>
    </row>
    <row r="306" spans="1:11" ht="15.75" customHeight="1">
      <c r="A306" s="149" t="s">
        <v>67</v>
      </c>
      <c r="B306" s="246"/>
      <c r="C306" s="1684" t="s">
        <v>127</v>
      </c>
      <c r="D306" s="1684"/>
      <c r="E306" s="1684"/>
      <c r="F306" s="1684"/>
      <c r="G306" s="1684"/>
      <c r="H306" s="1684"/>
      <c r="K306" s="247"/>
    </row>
    <row r="307" spans="1:11" ht="61.95" customHeight="1">
      <c r="A307" s="149" t="s">
        <v>114</v>
      </c>
      <c r="B307" s="246"/>
      <c r="C307" s="1678" t="s">
        <v>1124</v>
      </c>
      <c r="D307" s="1678"/>
      <c r="E307" s="1678"/>
      <c r="F307" s="1678"/>
      <c r="G307" s="1678"/>
      <c r="H307" s="1678"/>
      <c r="J307" s="1596"/>
      <c r="K307" s="247"/>
    </row>
    <row r="308" spans="1:11">
      <c r="A308" s="149" t="s">
        <v>55</v>
      </c>
      <c r="B308" s="894"/>
      <c r="C308" s="1678" t="s">
        <v>729</v>
      </c>
      <c r="D308" s="1678"/>
      <c r="E308" s="1678"/>
      <c r="F308" s="1678"/>
      <c r="G308" s="1678"/>
      <c r="H308" s="1678"/>
      <c r="K308" s="247"/>
    </row>
    <row r="309" spans="1:11" ht="33" customHeight="1">
      <c r="A309" s="149" t="s">
        <v>68</v>
      </c>
      <c r="B309" s="246"/>
      <c r="C309" s="1688" t="s">
        <v>810</v>
      </c>
      <c r="D309" s="1688"/>
      <c r="E309" s="1688"/>
      <c r="F309" s="1688"/>
      <c r="G309" s="1688"/>
      <c r="H309" s="1688"/>
      <c r="J309" s="1596"/>
      <c r="K309" s="247"/>
    </row>
    <row r="310" spans="1:11">
      <c r="A310" s="149" t="s">
        <v>66</v>
      </c>
      <c r="B310" s="246"/>
      <c r="C310" s="1692" t="s">
        <v>168</v>
      </c>
      <c r="D310" s="1692"/>
      <c r="E310" s="1692"/>
      <c r="F310" s="1692"/>
      <c r="G310" s="1692"/>
      <c r="H310" s="1692"/>
      <c r="K310" s="247"/>
    </row>
    <row r="311" spans="1:11" ht="33.6" customHeight="1">
      <c r="A311" s="149" t="s">
        <v>156</v>
      </c>
      <c r="B311" s="246"/>
      <c r="C311" s="1688" t="s">
        <v>1126</v>
      </c>
      <c r="D311" s="1688"/>
      <c r="E311" s="1688"/>
      <c r="F311" s="1688"/>
      <c r="G311" s="1688"/>
      <c r="H311" s="1688"/>
      <c r="K311" s="247"/>
    </row>
    <row r="312" spans="1:11" ht="32.4" customHeight="1">
      <c r="A312" s="149" t="s">
        <v>69</v>
      </c>
      <c r="B312" s="246"/>
      <c r="C312" s="1691" t="s">
        <v>554</v>
      </c>
      <c r="D312" s="1691"/>
      <c r="E312" s="1691"/>
      <c r="F312" s="1691"/>
      <c r="G312" s="1691"/>
      <c r="H312" s="1691"/>
      <c r="J312" s="1596"/>
      <c r="K312" s="247"/>
    </row>
    <row r="313" spans="1:11" ht="15.75" customHeight="1">
      <c r="A313" s="149" t="s">
        <v>169</v>
      </c>
      <c r="B313" s="246"/>
      <c r="C313" s="223" t="s">
        <v>143</v>
      </c>
      <c r="D313" s="1662"/>
      <c r="E313" s="1693"/>
      <c r="F313" s="1693"/>
      <c r="G313" s="1693"/>
      <c r="H313" s="1693"/>
      <c r="K313" s="247"/>
    </row>
    <row r="314" spans="1:11" ht="125.4" customHeight="1">
      <c r="A314" s="149" t="s">
        <v>59</v>
      </c>
      <c r="B314" s="246"/>
      <c r="C314" s="1691" t="s">
        <v>1504</v>
      </c>
      <c r="D314" s="1691"/>
      <c r="E314" s="1691"/>
      <c r="F314" s="1691"/>
      <c r="G314" s="1691"/>
      <c r="H314" s="1691"/>
      <c r="J314" s="1594" t="s">
        <v>1505</v>
      </c>
      <c r="K314" s="247"/>
    </row>
    <row r="315" spans="1:11" ht="63.6" customHeight="1">
      <c r="A315" s="149" t="s">
        <v>60</v>
      </c>
      <c r="B315" s="246"/>
      <c r="C315" s="1691" t="s">
        <v>1421</v>
      </c>
      <c r="D315" s="1691"/>
      <c r="E315" s="1691"/>
      <c r="F315" s="1691"/>
      <c r="G315" s="1691"/>
      <c r="H315" s="1691"/>
      <c r="J315" s="1597" t="s">
        <v>1466</v>
      </c>
      <c r="K315" s="247"/>
    </row>
    <row r="316" spans="1:11" ht="18" customHeight="1">
      <c r="A316" s="149" t="s">
        <v>71</v>
      </c>
      <c r="B316" s="246"/>
      <c r="C316" s="1688" t="s">
        <v>798</v>
      </c>
      <c r="D316" s="1688"/>
      <c r="E316" s="1688"/>
      <c r="F316" s="1688"/>
      <c r="G316" s="1688"/>
      <c r="H316" s="1688"/>
      <c r="I316" s="1772"/>
      <c r="K316" s="247"/>
    </row>
    <row r="317" spans="1:11" ht="32.4" customHeight="1">
      <c r="A317" s="149" t="s">
        <v>98</v>
      </c>
      <c r="B317" s="246"/>
      <c r="C317" s="1688" t="s">
        <v>809</v>
      </c>
      <c r="D317" s="1688"/>
      <c r="E317" s="1688"/>
      <c r="F317" s="1688"/>
      <c r="G317" s="1688"/>
      <c r="H317" s="1688"/>
      <c r="K317" s="247"/>
    </row>
    <row r="318" spans="1:11" ht="126" customHeight="1">
      <c r="A318" s="224" t="s">
        <v>99</v>
      </c>
      <c r="B318" s="246"/>
      <c r="C318" s="1678" t="s">
        <v>1125</v>
      </c>
      <c r="D318" s="1678"/>
      <c r="E318" s="1678"/>
      <c r="F318" s="1678"/>
      <c r="G318" s="1678"/>
      <c r="H318" s="1678"/>
      <c r="K318" s="247"/>
    </row>
    <row r="319" spans="1:11" ht="47.4" customHeight="1">
      <c r="A319" s="149" t="s">
        <v>157</v>
      </c>
      <c r="B319" s="246"/>
      <c r="C319" s="1690" t="s">
        <v>856</v>
      </c>
      <c r="D319" s="1690"/>
      <c r="E319" s="1690"/>
      <c r="F319" s="1690"/>
      <c r="G319" s="1690"/>
      <c r="H319" s="1690"/>
      <c r="K319" s="247"/>
    </row>
    <row r="320" spans="1:11" ht="47.4" customHeight="1">
      <c r="A320" s="149" t="s">
        <v>219</v>
      </c>
      <c r="B320" s="246"/>
      <c r="C320" s="1688" t="s">
        <v>745</v>
      </c>
      <c r="D320" s="1688"/>
      <c r="E320" s="1688"/>
      <c r="F320" s="1688"/>
      <c r="G320" s="1688"/>
      <c r="H320" s="1688"/>
      <c r="J320" s="1596"/>
      <c r="K320" s="247"/>
    </row>
    <row r="321" spans="1:11" ht="77.400000000000006" customHeight="1">
      <c r="A321" s="149" t="s">
        <v>220</v>
      </c>
      <c r="B321" s="246"/>
      <c r="C321" s="1690" t="s">
        <v>1385</v>
      </c>
      <c r="D321" s="1690"/>
      <c r="E321" s="1690"/>
      <c r="F321" s="1690"/>
      <c r="G321" s="1690"/>
      <c r="H321" s="1690"/>
      <c r="J321" s="1594" t="s">
        <v>1462</v>
      </c>
      <c r="K321" s="223"/>
    </row>
    <row r="322" spans="1:11" ht="32.4" customHeight="1">
      <c r="A322" s="149" t="s">
        <v>221</v>
      </c>
      <c r="B322" s="246"/>
      <c r="C322" s="1688" t="s">
        <v>857</v>
      </c>
      <c r="D322" s="1688"/>
      <c r="E322" s="1688"/>
      <c r="F322" s="1688"/>
      <c r="G322" s="1688"/>
      <c r="H322" s="1688"/>
      <c r="J322" s="1596"/>
      <c r="K322" s="247"/>
    </row>
    <row r="323" spans="1:11" ht="15" customHeight="1">
      <c r="A323" s="224" t="s">
        <v>222</v>
      </c>
      <c r="B323" s="246"/>
      <c r="C323" s="1689" t="s">
        <v>1648</v>
      </c>
      <c r="D323" s="1689"/>
      <c r="E323" s="1689"/>
      <c r="F323" s="1689"/>
      <c r="G323" s="1689"/>
      <c r="H323" s="1689"/>
      <c r="K323" s="247"/>
    </row>
    <row r="324" spans="1:11" ht="35.4" customHeight="1">
      <c r="A324" s="224" t="s">
        <v>223</v>
      </c>
      <c r="B324" s="246"/>
      <c r="C324" s="1688" t="s">
        <v>533</v>
      </c>
      <c r="D324" s="1688"/>
      <c r="E324" s="1688"/>
      <c r="F324" s="1688"/>
      <c r="G324" s="1688"/>
      <c r="H324" s="1688"/>
      <c r="J324" s="1596"/>
      <c r="K324" s="247"/>
    </row>
    <row r="325" spans="1:11" ht="31.2" customHeight="1">
      <c r="A325" s="224" t="s">
        <v>224</v>
      </c>
      <c r="B325" s="246"/>
      <c r="C325" s="1688" t="s">
        <v>1102</v>
      </c>
      <c r="D325" s="1688"/>
      <c r="E325" s="1688"/>
      <c r="F325" s="1688"/>
      <c r="G325" s="1688"/>
      <c r="H325" s="1688"/>
      <c r="K325" s="247"/>
    </row>
    <row r="326" spans="1:11" ht="31.95" customHeight="1">
      <c r="A326" s="224" t="s">
        <v>225</v>
      </c>
      <c r="B326" s="246"/>
      <c r="C326" s="1688" t="s">
        <v>1103</v>
      </c>
      <c r="D326" s="1688"/>
      <c r="E326" s="1688"/>
      <c r="F326" s="1688"/>
      <c r="G326" s="1688"/>
      <c r="H326" s="1688"/>
      <c r="K326" s="247"/>
    </row>
    <row r="327" spans="1:11" ht="31.95" customHeight="1">
      <c r="A327" s="224" t="s">
        <v>226</v>
      </c>
      <c r="B327" s="246"/>
      <c r="C327" s="1688" t="s">
        <v>1154</v>
      </c>
      <c r="D327" s="1688"/>
      <c r="E327" s="1688"/>
      <c r="F327" s="1688"/>
      <c r="G327" s="1688"/>
      <c r="H327" s="1688"/>
      <c r="K327" s="247"/>
    </row>
    <row r="328" spans="1:11">
      <c r="A328" s="224" t="s">
        <v>286</v>
      </c>
      <c r="B328" s="246"/>
      <c r="C328" s="1688" t="s">
        <v>653</v>
      </c>
      <c r="D328" s="1688"/>
      <c r="E328" s="1688"/>
      <c r="F328" s="1688"/>
      <c r="G328" s="1688"/>
      <c r="H328" s="1688"/>
    </row>
    <row r="329" spans="1:11" ht="48" customHeight="1">
      <c r="A329" s="224" t="s">
        <v>282</v>
      </c>
      <c r="B329" s="247"/>
      <c r="C329" s="1688" t="s">
        <v>1649</v>
      </c>
      <c r="D329" s="1688"/>
      <c r="E329" s="1688"/>
      <c r="F329" s="1688"/>
      <c r="G329" s="1688"/>
      <c r="H329" s="1688"/>
      <c r="J329" s="1596"/>
    </row>
    <row r="330" spans="1:11">
      <c r="A330" s="224" t="s">
        <v>283</v>
      </c>
      <c r="B330" s="247"/>
      <c r="C330" s="1688" t="s">
        <v>744</v>
      </c>
      <c r="D330" s="1688"/>
      <c r="E330" s="1688"/>
      <c r="F330" s="1688"/>
      <c r="G330" s="1688"/>
      <c r="H330" s="1688"/>
    </row>
    <row r="331" spans="1:11">
      <c r="A331" s="224" t="s">
        <v>284</v>
      </c>
      <c r="B331" s="247"/>
      <c r="C331" s="1688" t="s">
        <v>799</v>
      </c>
      <c r="D331" s="1688"/>
      <c r="E331" s="1688"/>
      <c r="F331" s="1688"/>
      <c r="G331" s="1688"/>
      <c r="H331" s="1688"/>
    </row>
    <row r="332" spans="1:11">
      <c r="A332" s="224" t="s">
        <v>285</v>
      </c>
      <c r="B332" s="247"/>
      <c r="C332" s="1688" t="s">
        <v>800</v>
      </c>
      <c r="D332" s="1688"/>
      <c r="E332" s="1688"/>
      <c r="F332" s="1688"/>
      <c r="G332" s="1688"/>
      <c r="H332" s="1688"/>
    </row>
    <row r="333" spans="1:11" ht="15" customHeight="1">
      <c r="A333" s="224" t="s">
        <v>307</v>
      </c>
      <c r="B333" s="247"/>
      <c r="C333" s="1688" t="s">
        <v>653</v>
      </c>
      <c r="D333" s="1688"/>
      <c r="E333" s="1688"/>
      <c r="F333" s="1688"/>
      <c r="G333" s="1688"/>
      <c r="H333" s="1688"/>
    </row>
    <row r="334" spans="1:11" ht="47.4" customHeight="1">
      <c r="A334" s="224" t="s">
        <v>308</v>
      </c>
      <c r="B334" s="247"/>
      <c r="C334" s="1688" t="s">
        <v>758</v>
      </c>
      <c r="D334" s="1688"/>
      <c r="E334" s="1688"/>
      <c r="F334" s="1688"/>
      <c r="G334" s="1688"/>
      <c r="H334" s="1688"/>
      <c r="J334" s="1596"/>
    </row>
    <row r="335" spans="1:11" ht="16.2" customHeight="1">
      <c r="A335" s="224" t="s">
        <v>309</v>
      </c>
      <c r="B335" s="247"/>
      <c r="C335" s="1688" t="s">
        <v>310</v>
      </c>
      <c r="D335" s="1688"/>
      <c r="E335" s="1688"/>
      <c r="F335" s="1688"/>
      <c r="G335" s="1688"/>
      <c r="H335" s="1688"/>
      <c r="J335" s="1596"/>
    </row>
    <row r="336" spans="1:11">
      <c r="A336" s="224" t="s">
        <v>534</v>
      </c>
      <c r="B336" s="246"/>
      <c r="C336" s="1688" t="s">
        <v>801</v>
      </c>
      <c r="D336" s="1688"/>
      <c r="E336" s="1688"/>
      <c r="F336" s="1688"/>
      <c r="G336" s="1688"/>
      <c r="H336" s="1688"/>
    </row>
    <row r="337" spans="1:11" ht="46.95" customHeight="1">
      <c r="A337" s="224" t="s">
        <v>538</v>
      </c>
      <c r="B337" s="247"/>
      <c r="C337" s="1688" t="s">
        <v>1153</v>
      </c>
      <c r="D337" s="1688"/>
      <c r="E337" s="1688"/>
      <c r="F337" s="1688"/>
      <c r="G337" s="1688"/>
      <c r="H337" s="1688"/>
      <c r="I337" s="662"/>
    </row>
    <row r="338" spans="1:11">
      <c r="A338" s="224" t="s">
        <v>539</v>
      </c>
      <c r="B338" s="247"/>
      <c r="C338" s="1688" t="s">
        <v>858</v>
      </c>
      <c r="D338" s="1688"/>
      <c r="E338" s="1688"/>
      <c r="F338" s="1688"/>
      <c r="G338" s="1688"/>
      <c r="H338" s="1688"/>
    </row>
    <row r="339" spans="1:11" ht="30.6" customHeight="1">
      <c r="A339" s="224" t="s">
        <v>540</v>
      </c>
      <c r="B339" s="246"/>
      <c r="C339" s="1678" t="s">
        <v>1104</v>
      </c>
      <c r="D339" s="1678"/>
      <c r="E339" s="1678"/>
      <c r="F339" s="1678"/>
      <c r="G339" s="1678"/>
      <c r="H339" s="1678"/>
    </row>
    <row r="340" spans="1:11" ht="30.6" customHeight="1">
      <c r="A340" s="224" t="s">
        <v>541</v>
      </c>
      <c r="B340" s="246"/>
      <c r="C340" s="1678" t="s">
        <v>1151</v>
      </c>
      <c r="D340" s="1678"/>
      <c r="E340" s="1678"/>
      <c r="F340" s="1678"/>
      <c r="G340" s="1678"/>
      <c r="H340" s="1678"/>
    </row>
    <row r="341" spans="1:11">
      <c r="A341" s="224" t="s">
        <v>542</v>
      </c>
      <c r="B341" s="247"/>
      <c r="C341" s="1688" t="s">
        <v>1105</v>
      </c>
      <c r="D341" s="1688"/>
      <c r="E341" s="1688"/>
      <c r="F341" s="1688"/>
      <c r="G341" s="1688"/>
      <c r="H341" s="1688"/>
    </row>
    <row r="342" spans="1:11">
      <c r="A342" s="224" t="s">
        <v>543</v>
      </c>
      <c r="B342" s="247"/>
      <c r="C342" s="1688" t="s">
        <v>1106</v>
      </c>
      <c r="D342" s="1688"/>
      <c r="E342" s="1688"/>
      <c r="F342" s="1688"/>
      <c r="G342" s="1688"/>
      <c r="H342" s="1688"/>
    </row>
    <row r="343" spans="1:11" ht="70.2" customHeight="1">
      <c r="A343" s="224" t="s">
        <v>1384</v>
      </c>
      <c r="B343" s="247"/>
      <c r="C343" s="1688" t="s">
        <v>1609</v>
      </c>
      <c r="D343" s="1697"/>
      <c r="E343" s="1697"/>
      <c r="F343" s="1697"/>
      <c r="G343" s="1697"/>
      <c r="H343" s="1697"/>
      <c r="J343" s="1594" t="s">
        <v>1548</v>
      </c>
      <c r="K343" s="247"/>
    </row>
    <row r="344" spans="1:11">
      <c r="A344" s="224"/>
      <c r="B344" s="247"/>
      <c r="C344" s="1688"/>
      <c r="D344" s="1688"/>
      <c r="E344" s="1688"/>
      <c r="F344" s="1688"/>
      <c r="G344" s="1688"/>
      <c r="H344" s="1688"/>
    </row>
    <row r="345" spans="1:11" ht="15.6">
      <c r="A345" s="1809" t="s">
        <v>54</v>
      </c>
      <c r="B345" s="22"/>
      <c r="C345" s="1694"/>
      <c r="D345" s="1694"/>
      <c r="E345" s="1694"/>
      <c r="F345" s="1694"/>
      <c r="G345" s="1694"/>
      <c r="H345" s="1694"/>
    </row>
  </sheetData>
  <mergeCells count="48">
    <mergeCell ref="C337:H337"/>
    <mergeCell ref="C338:H338"/>
    <mergeCell ref="C339:H339"/>
    <mergeCell ref="C343:H343"/>
    <mergeCell ref="C330:H330"/>
    <mergeCell ref="C331:H331"/>
    <mergeCell ref="C332:H332"/>
    <mergeCell ref="C333:H333"/>
    <mergeCell ref="C334:H334"/>
    <mergeCell ref="C336:H336"/>
    <mergeCell ref="C335:H335"/>
    <mergeCell ref="C344:H344"/>
    <mergeCell ref="C345:H345"/>
    <mergeCell ref="C340:H340"/>
    <mergeCell ref="C342:H342"/>
    <mergeCell ref="C341:H341"/>
    <mergeCell ref="C325:H325"/>
    <mergeCell ref="C326:H326"/>
    <mergeCell ref="C327:H327"/>
    <mergeCell ref="C328:H328"/>
    <mergeCell ref="C329:H329"/>
    <mergeCell ref="C315:H315"/>
    <mergeCell ref="C317:H317"/>
    <mergeCell ref="C318:H318"/>
    <mergeCell ref="E313:H313"/>
    <mergeCell ref="C316:I316"/>
    <mergeCell ref="C314:H314"/>
    <mergeCell ref="C312:H312"/>
    <mergeCell ref="C308:H308"/>
    <mergeCell ref="C309:H309"/>
    <mergeCell ref="C310:H310"/>
    <mergeCell ref="C311:H311"/>
    <mergeCell ref="C322:H322"/>
    <mergeCell ref="C323:H323"/>
    <mergeCell ref="C324:H324"/>
    <mergeCell ref="C319:H319"/>
    <mergeCell ref="C320:H320"/>
    <mergeCell ref="C321:H321"/>
    <mergeCell ref="A1:H1"/>
    <mergeCell ref="A3:H3"/>
    <mergeCell ref="C307:H307"/>
    <mergeCell ref="A305:B305"/>
    <mergeCell ref="D237:E238"/>
    <mergeCell ref="F237:F238"/>
    <mergeCell ref="C306:H306"/>
    <mergeCell ref="C235:D235"/>
    <mergeCell ref="D208:E208"/>
    <mergeCell ref="D209:E209"/>
  </mergeCells>
  <printOptions horizontalCentered="1"/>
  <pageMargins left="0.5" right="0.5" top="0.5" bottom="0.5" header="0.3" footer="0.4"/>
  <pageSetup scale="54" fitToHeight="6" orientation="portrait" r:id="rId1"/>
  <headerFooter>
    <oddFooter>&amp;R&amp;14&amp;A</oddFooter>
  </headerFooter>
  <rowBreaks count="3" manualBreakCount="3">
    <brk id="87" max="7" man="1"/>
    <brk id="157" max="7" man="1"/>
    <brk id="239" max="7"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workbookViewId="0">
      <selection activeCell="A9" sqref="A9"/>
    </sheetView>
  </sheetViews>
  <sheetFormatPr defaultColWidth="8.88671875" defaultRowHeight="13.2"/>
  <cols>
    <col min="1" max="1" width="3.44140625" style="489" customWidth="1"/>
    <col min="2" max="2" width="7.33203125" style="489" customWidth="1"/>
    <col min="3" max="3" width="13.33203125" style="489" customWidth="1"/>
    <col min="4" max="5" width="15.6640625" style="489" customWidth="1"/>
    <col min="6" max="6" width="14.6640625" style="489" customWidth="1"/>
    <col min="7" max="7" width="13.6640625" style="489" customWidth="1"/>
    <col min="8" max="8" width="12.109375" style="489" customWidth="1"/>
    <col min="9" max="9" width="16" style="489" bestFit="1" customWidth="1"/>
    <col min="10" max="10" width="16" style="489" customWidth="1"/>
    <col min="11" max="11" width="14.88671875" style="489" customWidth="1"/>
    <col min="12" max="12" width="8.88671875" style="489"/>
    <col min="13" max="13" width="18.44140625" style="501" bestFit="1" customWidth="1"/>
    <col min="14" max="16384" width="8.88671875" style="489"/>
  </cols>
  <sheetData>
    <row r="1" spans="1:20" s="163" customFormat="1">
      <c r="A1" s="1783" t="str">
        <f>+'MISO Cover'!C6</f>
        <v>Entergy Texas, Inc.</v>
      </c>
      <c r="B1" s="1780"/>
      <c r="C1" s="1780"/>
      <c r="D1" s="1780"/>
      <c r="E1" s="1780"/>
      <c r="F1" s="1780"/>
      <c r="G1" s="1780"/>
      <c r="H1" s="1780"/>
      <c r="I1" s="1780"/>
      <c r="J1" s="1780"/>
      <c r="K1" s="1780"/>
      <c r="L1" s="1552"/>
      <c r="M1" s="499"/>
      <c r="N1" s="1552"/>
      <c r="O1" s="1552"/>
      <c r="P1" s="1552"/>
      <c r="Q1" s="1552"/>
      <c r="R1" s="1552"/>
      <c r="S1" s="1552"/>
      <c r="T1" s="1552"/>
    </row>
    <row r="2" spans="1:20" s="163" customFormat="1">
      <c r="A2" s="1715" t="s">
        <v>1473</v>
      </c>
      <c r="B2" s="1715"/>
      <c r="C2" s="1715"/>
      <c r="D2" s="1715"/>
      <c r="E2" s="1715"/>
      <c r="F2" s="1715"/>
      <c r="G2" s="1715"/>
      <c r="H2" s="1715"/>
      <c r="I2" s="1715"/>
      <c r="J2" s="1715"/>
      <c r="K2" s="1715"/>
      <c r="L2" s="1562"/>
      <c r="M2" s="1851"/>
      <c r="N2" s="1562"/>
      <c r="O2" s="1562"/>
      <c r="P2" s="1562"/>
      <c r="Q2" s="1562"/>
      <c r="R2" s="1562"/>
      <c r="S2" s="1562"/>
      <c r="T2" s="1562"/>
    </row>
    <row r="3" spans="1:20">
      <c r="A3" s="1783" t="str">
        <f>+'MISO Cover'!K4</f>
        <v>For  the 12 Months Ended 12/31/2016</v>
      </c>
      <c r="B3" s="1780"/>
      <c r="C3" s="1780"/>
      <c r="D3" s="1780"/>
      <c r="E3" s="1780"/>
      <c r="F3" s="1780"/>
      <c r="G3" s="1780"/>
      <c r="H3" s="1780"/>
      <c r="I3" s="1780"/>
      <c r="J3" s="1780"/>
      <c r="K3" s="1780"/>
      <c r="L3" s="1552"/>
      <c r="M3" s="499"/>
      <c r="N3" s="1552"/>
      <c r="O3" s="1552"/>
      <c r="P3" s="1552"/>
      <c r="Q3" s="1552"/>
    </row>
    <row r="4" spans="1:20">
      <c r="A4" s="1551"/>
      <c r="B4" s="1551"/>
      <c r="C4" s="1551"/>
      <c r="D4" s="1551"/>
      <c r="E4" s="1551"/>
      <c r="F4" s="1551"/>
      <c r="G4" s="1551"/>
      <c r="H4" s="1551"/>
      <c r="I4" s="1551"/>
      <c r="J4" s="1551"/>
      <c r="K4" s="1551"/>
      <c r="L4" s="1552"/>
      <c r="M4" s="499"/>
      <c r="N4" s="1552"/>
      <c r="O4" s="1552"/>
      <c r="P4" s="1552"/>
      <c r="Q4" s="1552"/>
    </row>
    <row r="5" spans="1:20" s="39" customFormat="1">
      <c r="A5" s="1550" t="s">
        <v>67</v>
      </c>
      <c r="B5" s="1550" t="s">
        <v>114</v>
      </c>
      <c r="C5" s="1550" t="s">
        <v>55</v>
      </c>
      <c r="D5" s="1550" t="s">
        <v>68</v>
      </c>
      <c r="E5" s="1550" t="s">
        <v>66</v>
      </c>
      <c r="F5" s="1550" t="s">
        <v>1474</v>
      </c>
      <c r="G5" s="1550" t="s">
        <v>69</v>
      </c>
      <c r="H5" s="1550" t="s">
        <v>169</v>
      </c>
      <c r="I5" s="1550" t="s">
        <v>59</v>
      </c>
      <c r="J5" s="1550" t="s">
        <v>60</v>
      </c>
      <c r="K5" s="1550" t="s">
        <v>1475</v>
      </c>
      <c r="L5" s="172"/>
      <c r="M5" s="201"/>
      <c r="N5" s="172"/>
      <c r="O5" s="172"/>
      <c r="P5" s="172"/>
      <c r="Q5" s="172"/>
    </row>
    <row r="6" spans="1:20" s="163" customFormat="1">
      <c r="A6" s="1563"/>
      <c r="B6" s="1563"/>
      <c r="F6" s="1564"/>
      <c r="G6" s="1563"/>
      <c r="H6" s="1565"/>
      <c r="I6" s="1565"/>
      <c r="J6" s="1565"/>
      <c r="K6" s="1565"/>
      <c r="L6" s="1565"/>
      <c r="M6" s="1852"/>
    </row>
    <row r="7" spans="1:20">
      <c r="A7" s="489">
        <v>1</v>
      </c>
      <c r="B7" s="489" t="s">
        <v>461</v>
      </c>
      <c r="C7" s="1784" t="s">
        <v>1476</v>
      </c>
      <c r="D7" s="1785"/>
      <c r="E7" s="1785"/>
      <c r="F7" s="1786"/>
      <c r="G7" s="1784" t="s">
        <v>1477</v>
      </c>
      <c r="H7" s="1785"/>
      <c r="I7" s="1785"/>
      <c r="J7" s="1785"/>
      <c r="K7" s="1786"/>
    </row>
    <row r="8" spans="1:20" ht="105.6">
      <c r="A8" s="489">
        <f>+A7+1</f>
        <v>2</v>
      </c>
      <c r="C8" s="1566" t="s">
        <v>1478</v>
      </c>
      <c r="D8" s="1566" t="s">
        <v>1479</v>
      </c>
      <c r="E8" s="1566" t="s">
        <v>1480</v>
      </c>
      <c r="F8" s="1566" t="s">
        <v>1481</v>
      </c>
      <c r="G8" s="1566" t="s">
        <v>1482</v>
      </c>
      <c r="H8" s="1566" t="s">
        <v>1483</v>
      </c>
      <c r="I8" s="1566" t="s">
        <v>1484</v>
      </c>
      <c r="J8" s="1566" t="s">
        <v>1485</v>
      </c>
      <c r="K8" s="1566" t="s">
        <v>1486</v>
      </c>
    </row>
    <row r="9" spans="1:20">
      <c r="A9" s="489">
        <f t="shared" ref="A9:A23" si="0">+A8+1</f>
        <v>3</v>
      </c>
      <c r="B9" s="1567"/>
      <c r="C9" s="1568" t="s">
        <v>170</v>
      </c>
      <c r="D9" s="1569"/>
      <c r="E9" s="1569"/>
      <c r="F9" s="1570"/>
      <c r="G9" s="1569"/>
      <c r="H9" s="1568" t="s">
        <v>316</v>
      </c>
      <c r="I9" s="1570"/>
      <c r="J9" s="1570"/>
      <c r="K9" s="163"/>
      <c r="L9" s="163"/>
      <c r="M9" s="1828"/>
      <c r="N9" s="163"/>
      <c r="O9" s="163"/>
      <c r="P9" s="163"/>
    </row>
    <row r="10" spans="1:20">
      <c r="A10" s="489">
        <f t="shared" si="0"/>
        <v>4</v>
      </c>
      <c r="B10" s="1850" t="s">
        <v>37</v>
      </c>
      <c r="C10" s="192">
        <v>-85249125</v>
      </c>
      <c r="D10" s="192">
        <v>159084747</v>
      </c>
      <c r="E10" s="192">
        <v>0</v>
      </c>
      <c r="F10" s="494">
        <f t="shared" ref="F10:F22" si="1">C10+D10+E10</f>
        <v>73835622</v>
      </c>
      <c r="G10" s="192">
        <v>-772765</v>
      </c>
      <c r="H10" s="192">
        <v>-8059673.29</v>
      </c>
      <c r="I10" s="192">
        <v>-332791</v>
      </c>
      <c r="J10" s="192">
        <v>0</v>
      </c>
      <c r="K10" s="73">
        <f>G10+H10+I10+J10</f>
        <v>-9165229.2899999991</v>
      </c>
      <c r="L10" s="163"/>
      <c r="M10" s="1853" t="s">
        <v>1592</v>
      </c>
      <c r="N10" s="1853"/>
      <c r="O10" s="1853"/>
      <c r="P10" s="1853"/>
    </row>
    <row r="11" spans="1:20">
      <c r="A11" s="489">
        <f t="shared" si="0"/>
        <v>5</v>
      </c>
      <c r="B11" s="1850" t="s">
        <v>27</v>
      </c>
      <c r="C11" s="192">
        <v>-81123064</v>
      </c>
      <c r="D11" s="192">
        <v>158304889</v>
      </c>
      <c r="E11" s="192">
        <v>0</v>
      </c>
      <c r="F11" s="494">
        <f t="shared" si="1"/>
        <v>77181825</v>
      </c>
      <c r="G11" s="192">
        <v>-772765</v>
      </c>
      <c r="H11" s="192">
        <v>-8022172.1299999999</v>
      </c>
      <c r="I11" s="192">
        <v>-355218</v>
      </c>
      <c r="J11" s="192">
        <v>0</v>
      </c>
      <c r="K11" s="73">
        <f t="shared" ref="K11:K22" si="2">G11+H11+I11+J11</f>
        <v>-9150155.129999999</v>
      </c>
      <c r="L11" s="163"/>
      <c r="M11" s="1828"/>
      <c r="N11" s="163"/>
      <c r="O11" s="163"/>
      <c r="P11" s="163"/>
    </row>
    <row r="12" spans="1:20">
      <c r="A12" s="489">
        <f t="shared" si="0"/>
        <v>6</v>
      </c>
      <c r="B12" s="1850" t="s">
        <v>28</v>
      </c>
      <c r="C12" s="192">
        <v>-80760003</v>
      </c>
      <c r="D12" s="192">
        <v>157525031</v>
      </c>
      <c r="E12" s="192">
        <v>0</v>
      </c>
      <c r="F12" s="494">
        <f t="shared" si="1"/>
        <v>76765028</v>
      </c>
      <c r="G12" s="192">
        <v>-772765</v>
      </c>
      <c r="H12" s="192">
        <v>-7984670.9699999997</v>
      </c>
      <c r="I12" s="192">
        <v>-377645</v>
      </c>
      <c r="J12" s="192">
        <v>0</v>
      </c>
      <c r="K12" s="73">
        <f t="shared" si="2"/>
        <v>-9135080.9699999988</v>
      </c>
      <c r="L12" s="163"/>
      <c r="M12" s="1828"/>
      <c r="N12" s="163"/>
      <c r="O12" s="163"/>
      <c r="P12" s="163"/>
    </row>
    <row r="13" spans="1:20">
      <c r="A13" s="489">
        <f t="shared" si="0"/>
        <v>7</v>
      </c>
      <c r="B13" s="1850" t="s">
        <v>29</v>
      </c>
      <c r="C13" s="192">
        <v>-80361938</v>
      </c>
      <c r="D13" s="192">
        <v>156745173</v>
      </c>
      <c r="E13" s="192">
        <v>0</v>
      </c>
      <c r="F13" s="494">
        <f t="shared" si="1"/>
        <v>76383235</v>
      </c>
      <c r="G13" s="192">
        <v>-762348</v>
      </c>
      <c r="H13" s="192">
        <v>-7957586.8099999996</v>
      </c>
      <c r="I13" s="192">
        <v>-400072</v>
      </c>
      <c r="J13" s="192">
        <v>0</v>
      </c>
      <c r="K13" s="73">
        <f t="shared" si="2"/>
        <v>-9120006.8099999987</v>
      </c>
      <c r="L13" s="163"/>
      <c r="M13" s="1828"/>
      <c r="N13" s="163"/>
      <c r="O13" s="163"/>
      <c r="P13" s="163"/>
    </row>
    <row r="14" spans="1:20">
      <c r="A14" s="489">
        <f t="shared" si="0"/>
        <v>8</v>
      </c>
      <c r="B14" s="1850" t="s">
        <v>30</v>
      </c>
      <c r="C14" s="192">
        <v>-76797877</v>
      </c>
      <c r="D14" s="192">
        <v>155965315</v>
      </c>
      <c r="E14" s="192">
        <v>0</v>
      </c>
      <c r="F14" s="494">
        <f t="shared" si="1"/>
        <v>79167438</v>
      </c>
      <c r="G14" s="192">
        <v>-762348</v>
      </c>
      <c r="H14" s="192">
        <v>-7920085.6500000004</v>
      </c>
      <c r="I14" s="192">
        <v>-422499</v>
      </c>
      <c r="J14" s="192">
        <v>0</v>
      </c>
      <c r="K14" s="73">
        <f t="shared" si="2"/>
        <v>-9104932.6500000004</v>
      </c>
      <c r="L14" s="163"/>
      <c r="M14" s="1828"/>
      <c r="N14" s="163"/>
      <c r="O14" s="163"/>
      <c r="P14" s="163"/>
    </row>
    <row r="15" spans="1:20">
      <c r="A15" s="489">
        <f t="shared" si="0"/>
        <v>9</v>
      </c>
      <c r="B15" s="1850" t="s">
        <v>26</v>
      </c>
      <c r="C15" s="192">
        <v>-76434816</v>
      </c>
      <c r="D15" s="192">
        <v>155185457</v>
      </c>
      <c r="E15" s="192">
        <v>0</v>
      </c>
      <c r="F15" s="494">
        <f t="shared" si="1"/>
        <v>78750641</v>
      </c>
      <c r="G15" s="192">
        <v>-762348</v>
      </c>
      <c r="H15" s="192">
        <v>-7882584.4900000002</v>
      </c>
      <c r="I15" s="192">
        <v>-444926</v>
      </c>
      <c r="J15" s="192">
        <v>0</v>
      </c>
      <c r="K15" s="73">
        <f t="shared" si="2"/>
        <v>-9089858.4900000002</v>
      </c>
      <c r="L15" s="163"/>
      <c r="M15" s="1828"/>
      <c r="N15" s="163"/>
      <c r="O15" s="163"/>
      <c r="P15" s="163"/>
    </row>
    <row r="16" spans="1:20">
      <c r="A16" s="489">
        <f t="shared" si="0"/>
        <v>10</v>
      </c>
      <c r="B16" s="1850" t="s">
        <v>31</v>
      </c>
      <c r="C16" s="192">
        <v>-76071755</v>
      </c>
      <c r="D16" s="192">
        <v>154405599</v>
      </c>
      <c r="E16" s="192">
        <v>0</v>
      </c>
      <c r="F16" s="494">
        <f t="shared" si="1"/>
        <v>78333844</v>
      </c>
      <c r="G16" s="192">
        <v>-762348</v>
      </c>
      <c r="H16" s="192">
        <v>-7845083.3300000001</v>
      </c>
      <c r="I16" s="192">
        <v>-467353</v>
      </c>
      <c r="J16" s="192">
        <v>0</v>
      </c>
      <c r="K16" s="73">
        <f t="shared" si="2"/>
        <v>-9074784.3300000001</v>
      </c>
      <c r="L16" s="163"/>
      <c r="M16" s="1828"/>
      <c r="N16" s="163"/>
      <c r="O16" s="163"/>
      <c r="P16" s="163"/>
    </row>
    <row r="17" spans="1:16">
      <c r="A17" s="489">
        <f t="shared" si="0"/>
        <v>11</v>
      </c>
      <c r="B17" s="1850" t="s">
        <v>32</v>
      </c>
      <c r="C17" s="192">
        <v>-72437596</v>
      </c>
      <c r="D17" s="192">
        <v>153625741</v>
      </c>
      <c r="E17" s="192">
        <v>0</v>
      </c>
      <c r="F17" s="494">
        <f t="shared" si="1"/>
        <v>81188145</v>
      </c>
      <c r="G17" s="192">
        <v>-762348</v>
      </c>
      <c r="H17" s="192">
        <v>-7807582.1699999999</v>
      </c>
      <c r="I17" s="192">
        <v>-489780</v>
      </c>
      <c r="J17" s="192">
        <v>0</v>
      </c>
      <c r="K17" s="73">
        <f t="shared" si="2"/>
        <v>-9059710.1699999999</v>
      </c>
      <c r="L17" s="163"/>
      <c r="M17" s="1828"/>
      <c r="N17" s="163"/>
      <c r="O17" s="163"/>
      <c r="P17" s="163"/>
    </row>
    <row r="18" spans="1:16">
      <c r="A18" s="489">
        <f t="shared" si="0"/>
        <v>12</v>
      </c>
      <c r="B18" s="1850" t="s">
        <v>33</v>
      </c>
      <c r="C18" s="192">
        <v>-72074535</v>
      </c>
      <c r="D18" s="192">
        <v>152845883</v>
      </c>
      <c r="E18" s="192">
        <v>0</v>
      </c>
      <c r="F18" s="494">
        <f t="shared" si="1"/>
        <v>80771348</v>
      </c>
      <c r="G18" s="192">
        <v>-762348</v>
      </c>
      <c r="H18" s="192">
        <v>-7770081.0099999998</v>
      </c>
      <c r="I18" s="192">
        <v>-512207</v>
      </c>
      <c r="J18" s="192">
        <v>0</v>
      </c>
      <c r="K18" s="73">
        <f t="shared" si="2"/>
        <v>-9044636.0099999998</v>
      </c>
      <c r="L18" s="163"/>
      <c r="M18" s="1828"/>
      <c r="N18" s="163"/>
      <c r="O18" s="163"/>
      <c r="P18" s="163"/>
    </row>
    <row r="19" spans="1:16">
      <c r="A19" s="489">
        <f t="shared" si="0"/>
        <v>13</v>
      </c>
      <c r="B19" s="1850" t="s">
        <v>34</v>
      </c>
      <c r="C19" s="192">
        <v>-69332474</v>
      </c>
      <c r="D19" s="192">
        <v>152066025</v>
      </c>
      <c r="E19" s="192">
        <v>0</v>
      </c>
      <c r="F19" s="494">
        <f t="shared" si="1"/>
        <v>82733551</v>
      </c>
      <c r="G19" s="192">
        <v>-741513</v>
      </c>
      <c r="H19" s="192">
        <v>-7752017.8499999996</v>
      </c>
      <c r="I19" s="192">
        <v>-535399</v>
      </c>
      <c r="J19" s="192">
        <v>0</v>
      </c>
      <c r="K19" s="73">
        <f t="shared" si="2"/>
        <v>-9028929.8499999996</v>
      </c>
      <c r="L19" s="163"/>
      <c r="M19" s="1828"/>
      <c r="N19" s="163"/>
      <c r="O19" s="163"/>
      <c r="P19" s="163"/>
    </row>
    <row r="20" spans="1:16">
      <c r="A20" s="489">
        <f t="shared" si="0"/>
        <v>14</v>
      </c>
      <c r="B20" s="1850" t="s">
        <v>35</v>
      </c>
      <c r="C20" s="192">
        <v>-65698413</v>
      </c>
      <c r="D20" s="192">
        <v>151286167</v>
      </c>
      <c r="E20" s="192">
        <v>0</v>
      </c>
      <c r="F20" s="494">
        <f t="shared" si="1"/>
        <v>85587754</v>
      </c>
      <c r="G20" s="192">
        <v>-741513</v>
      </c>
      <c r="H20" s="192">
        <v>-7713119.6900000004</v>
      </c>
      <c r="I20" s="192">
        <v>-558591</v>
      </c>
      <c r="J20" s="192">
        <v>0</v>
      </c>
      <c r="K20" s="73">
        <f t="shared" si="2"/>
        <v>-9013223.6900000013</v>
      </c>
      <c r="L20" s="163"/>
      <c r="M20" s="1828"/>
      <c r="N20" s="163"/>
      <c r="O20" s="163"/>
      <c r="P20" s="163"/>
    </row>
    <row r="21" spans="1:16">
      <c r="A21" s="489">
        <f t="shared" si="0"/>
        <v>15</v>
      </c>
      <c r="B21" s="1850" t="s">
        <v>36</v>
      </c>
      <c r="C21" s="192">
        <v>-65335352</v>
      </c>
      <c r="D21" s="192">
        <v>150506309</v>
      </c>
      <c r="E21" s="192">
        <v>0</v>
      </c>
      <c r="F21" s="494">
        <f t="shared" si="1"/>
        <v>85170957</v>
      </c>
      <c r="G21" s="192">
        <v>-741513</v>
      </c>
      <c r="H21" s="192">
        <v>-7674221.5300000003</v>
      </c>
      <c r="I21" s="192">
        <v>-581783</v>
      </c>
      <c r="J21" s="192">
        <v>0</v>
      </c>
      <c r="K21" s="73">
        <f t="shared" si="2"/>
        <v>-8997517.5300000012</v>
      </c>
      <c r="L21" s="163"/>
      <c r="M21" s="1828"/>
      <c r="N21" s="163"/>
      <c r="O21" s="163"/>
      <c r="P21" s="163"/>
    </row>
    <row r="22" spans="1:16">
      <c r="A22" s="489">
        <f t="shared" si="0"/>
        <v>16</v>
      </c>
      <c r="B22" s="1850" t="s">
        <v>37</v>
      </c>
      <c r="C22" s="192">
        <v>-68789598</v>
      </c>
      <c r="D22" s="192">
        <v>153543758</v>
      </c>
      <c r="E22" s="192">
        <v>0</v>
      </c>
      <c r="F22" s="494">
        <f t="shared" si="1"/>
        <v>84754160</v>
      </c>
      <c r="G22" s="192">
        <v>-772876</v>
      </c>
      <c r="H22" s="192">
        <v>-7891715.3700000001</v>
      </c>
      <c r="I22" s="192">
        <v>-316122</v>
      </c>
      <c r="J22" s="192">
        <v>0</v>
      </c>
      <c r="K22" s="73">
        <f t="shared" si="2"/>
        <v>-8980713.370000001</v>
      </c>
      <c r="L22" s="163"/>
      <c r="M22" s="1828"/>
      <c r="N22" s="163"/>
      <c r="O22" s="163"/>
      <c r="P22" s="163"/>
    </row>
    <row r="23" spans="1:16">
      <c r="A23" s="489">
        <f t="shared" si="0"/>
        <v>17</v>
      </c>
      <c r="B23" s="1850"/>
      <c r="C23" s="1571" t="s">
        <v>170</v>
      </c>
      <c r="D23" s="236"/>
      <c r="E23" s="236"/>
      <c r="F23" s="494"/>
      <c r="G23" s="236"/>
      <c r="H23" s="1571" t="s">
        <v>316</v>
      </c>
      <c r="I23" s="236"/>
      <c r="J23" s="236"/>
      <c r="K23" s="236"/>
    </row>
    <row r="24" spans="1:16" s="39" customFormat="1">
      <c r="A24" s="39">
        <f t="shared" ref="A24" si="3">A23+1</f>
        <v>18</v>
      </c>
      <c r="B24" s="655" t="s">
        <v>1487</v>
      </c>
      <c r="C24" s="494"/>
      <c r="D24" s="494"/>
      <c r="E24" s="494"/>
      <c r="F24" s="494">
        <f>+SUM(F10:F22)/13</f>
        <v>80047965.230769232</v>
      </c>
      <c r="G24" s="494"/>
      <c r="H24" s="494"/>
      <c r="I24" s="494"/>
      <c r="J24" s="494"/>
      <c r="K24" s="494">
        <f>+SUM(K10:K22)/13</f>
        <v>-9074213.7146153841</v>
      </c>
      <c r="M24" s="78"/>
    </row>
    <row r="25" spans="1:16" s="39" customFormat="1">
      <c r="M25" s="78"/>
    </row>
    <row r="26" spans="1:16" s="39" customFormat="1">
      <c r="A26" s="39" t="s">
        <v>295</v>
      </c>
      <c r="M26" s="78"/>
    </row>
    <row r="27" spans="1:16" s="39" customFormat="1">
      <c r="A27" s="741" t="s">
        <v>170</v>
      </c>
      <c r="B27" s="39" t="s">
        <v>1488</v>
      </c>
      <c r="M27" s="78"/>
    </row>
    <row r="28" spans="1:16" s="39" customFormat="1">
      <c r="A28" s="741" t="s">
        <v>316</v>
      </c>
      <c r="B28" s="39" t="s">
        <v>1488</v>
      </c>
      <c r="M28" s="78"/>
    </row>
    <row r="29" spans="1:16" s="39" customFormat="1">
      <c r="A29" s="1572" t="s">
        <v>317</v>
      </c>
      <c r="B29" s="39" t="s">
        <v>1489</v>
      </c>
      <c r="M29" s="78"/>
    </row>
  </sheetData>
  <mergeCells count="6">
    <mergeCell ref="M10:P10"/>
    <mergeCell ref="A1:K1"/>
    <mergeCell ref="A2:K2"/>
    <mergeCell ref="A3:K3"/>
    <mergeCell ref="C7:F7"/>
    <mergeCell ref="G7:K7"/>
  </mergeCells>
  <printOptions horizontalCentered="1"/>
  <pageMargins left="0.7" right="0.7" top="0.75" bottom="0.75" header="0.3" footer="0.3"/>
  <pageSetup scale="85" orientation="landscape" r:id="rId1"/>
  <headerFooter>
    <oddFooter>&amp;R&amp;A</oddFooter>
  </headerFooter>
  <ignoredErrors>
    <ignoredError sqref="C23:H23 A27:A29 C9:H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A9" sqref="A9"/>
    </sheetView>
  </sheetViews>
  <sheetFormatPr defaultColWidth="15.6640625" defaultRowHeight="13.2"/>
  <cols>
    <col min="1" max="16384" width="15.6640625" style="489"/>
  </cols>
  <sheetData>
    <row r="1" spans="1:3">
      <c r="A1" s="1787" t="str">
        <f>+'MISO Cover'!C6</f>
        <v>Entergy Texas, Inc.</v>
      </c>
      <c r="B1" s="1788"/>
      <c r="C1" s="1788"/>
    </row>
    <row r="2" spans="1:3">
      <c r="A2" s="1789" t="s">
        <v>1490</v>
      </c>
      <c r="B2" s="1789"/>
      <c r="C2" s="1789"/>
    </row>
    <row r="3" spans="1:3">
      <c r="A3" s="1790" t="str">
        <f>+'MISO Cover'!K4</f>
        <v>For  the 12 Months Ended 12/31/2016</v>
      </c>
      <c r="B3" s="1791"/>
      <c r="C3" s="1791"/>
    </row>
    <row r="5" spans="1:3" s="1551" customFormat="1">
      <c r="A5" s="1551" t="s">
        <v>67</v>
      </c>
      <c r="B5" s="1551" t="s">
        <v>114</v>
      </c>
      <c r="C5" s="1551" t="s">
        <v>55</v>
      </c>
    </row>
    <row r="6" spans="1:3" s="1573" customFormat="1" ht="39.6">
      <c r="A6" s="1573" t="s">
        <v>277</v>
      </c>
      <c r="B6" s="1573" t="s">
        <v>1491</v>
      </c>
      <c r="C6" s="1573" t="s">
        <v>1492</v>
      </c>
    </row>
    <row r="7" spans="1:3">
      <c r="A7" s="1551">
        <v>1</v>
      </c>
      <c r="B7" s="192">
        <v>-203464.5</v>
      </c>
      <c r="C7" s="192">
        <v>3631063.8099999898</v>
      </c>
    </row>
    <row r="8" spans="1:3">
      <c r="A8" s="39"/>
      <c r="B8" s="741" t="s">
        <v>170</v>
      </c>
      <c r="C8" s="741" t="s">
        <v>316</v>
      </c>
    </row>
    <row r="9" spans="1:3">
      <c r="A9" s="39"/>
      <c r="B9" s="39"/>
      <c r="C9" s="39"/>
    </row>
    <row r="10" spans="1:3">
      <c r="A10" s="39" t="s">
        <v>295</v>
      </c>
      <c r="B10" s="39"/>
      <c r="C10" s="39"/>
    </row>
    <row r="11" spans="1:3">
      <c r="A11" s="1572" t="s">
        <v>1493</v>
      </c>
      <c r="B11" s="39"/>
      <c r="C11" s="39"/>
    </row>
    <row r="12" spans="1:3">
      <c r="A12" s="1572" t="s">
        <v>1494</v>
      </c>
      <c r="B12" s="39"/>
      <c r="C12" s="39"/>
    </row>
  </sheetData>
  <mergeCells count="3">
    <mergeCell ref="A1:C1"/>
    <mergeCell ref="A2:C2"/>
    <mergeCell ref="A3:C3"/>
  </mergeCells>
  <printOptions horizontalCentered="1"/>
  <pageMargins left="0.7" right="0.7" top="0.75" bottom="0.75" header="0.3" footer="0.5"/>
  <pageSetup orientation="portrait" r:id="rId1"/>
  <headerFooter>
    <oddFooter>&amp;R&amp;A</oddFooter>
  </headerFooter>
  <ignoredErrors>
    <ignoredError sqref="B8:C8"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R85"/>
  <sheetViews>
    <sheetView zoomScaleNormal="100" workbookViewId="0">
      <selection activeCell="A9" sqref="A9"/>
    </sheetView>
  </sheetViews>
  <sheetFormatPr defaultColWidth="8.88671875" defaultRowHeight="13.2"/>
  <cols>
    <col min="1" max="1" width="6.109375" style="573" customWidth="1"/>
    <col min="2" max="2" width="43.44140625" style="572" customWidth="1"/>
    <col min="3" max="3" width="11" style="572" bestFit="1" customWidth="1"/>
    <col min="4" max="4" width="7.109375" style="572" bestFit="1" customWidth="1"/>
    <col min="5" max="5" width="5.6640625" style="584" bestFit="1" customWidth="1"/>
    <col min="6" max="6" width="12.88671875" style="584" customWidth="1"/>
    <col min="7" max="7" width="10.109375" style="915" bestFit="1" customWidth="1"/>
    <col min="8" max="8" width="9.44140625" style="893" bestFit="1" customWidth="1"/>
    <col min="9" max="9" width="9.5546875" style="584" customWidth="1"/>
    <col min="10" max="10" width="7.88671875" style="584" customWidth="1"/>
    <col min="11" max="11" width="11.109375" style="915" bestFit="1" customWidth="1"/>
    <col min="12" max="12" width="9.88671875" style="572" customWidth="1"/>
    <col min="13" max="13" width="9.5546875" style="572" bestFit="1" customWidth="1"/>
    <col min="14" max="16384" width="8.88671875" style="572"/>
  </cols>
  <sheetData>
    <row r="1" spans="1:18">
      <c r="A1" s="1749" t="str">
        <f>+'MISO Cover'!C6</f>
        <v>Entergy Texas, Inc.</v>
      </c>
      <c r="B1" s="1749"/>
      <c r="C1" s="1749"/>
      <c r="D1" s="1749"/>
      <c r="E1" s="1749"/>
      <c r="F1" s="1749"/>
      <c r="G1" s="1749"/>
      <c r="H1" s="1749"/>
      <c r="I1" s="1749"/>
      <c r="J1" s="1749"/>
      <c r="K1" s="1749"/>
      <c r="L1" s="797"/>
    </row>
    <row r="2" spans="1:18">
      <c r="A2" s="1738" t="s">
        <v>1097</v>
      </c>
      <c r="B2" s="1738"/>
      <c r="C2" s="1738"/>
      <c r="D2" s="1738"/>
      <c r="E2" s="1738"/>
      <c r="F2" s="1738"/>
      <c r="G2" s="1738"/>
      <c r="H2" s="1738"/>
      <c r="I2" s="1738"/>
      <c r="J2" s="1738"/>
      <c r="K2" s="1738"/>
      <c r="L2" s="154"/>
    </row>
    <row r="3" spans="1:18">
      <c r="A3" s="1749" t="str">
        <f>+'MISO Cover'!K4</f>
        <v>For  the 12 Months Ended 12/31/2016</v>
      </c>
      <c r="B3" s="1749"/>
      <c r="C3" s="1749"/>
      <c r="D3" s="1749"/>
      <c r="E3" s="1749"/>
      <c r="F3" s="1749"/>
      <c r="G3" s="1749"/>
      <c r="H3" s="1749"/>
      <c r="I3" s="1749"/>
      <c r="J3" s="1749"/>
      <c r="K3" s="1749"/>
    </row>
    <row r="4" spans="1:18">
      <c r="B4" s="798"/>
      <c r="C4" s="798"/>
      <c r="D4" s="798"/>
      <c r="E4" s="791"/>
      <c r="F4" s="791"/>
      <c r="G4" s="791"/>
      <c r="I4" s="791"/>
      <c r="J4" s="791"/>
      <c r="K4" s="791"/>
      <c r="L4" s="797"/>
    </row>
    <row r="5" spans="1:18">
      <c r="A5" s="1738" t="s">
        <v>1114</v>
      </c>
      <c r="B5" s="1738"/>
      <c r="C5" s="1738"/>
      <c r="D5" s="1738"/>
      <c r="E5" s="1738"/>
      <c r="F5" s="1738"/>
      <c r="G5" s="1738"/>
      <c r="H5" s="1738"/>
      <c r="I5" s="1738"/>
      <c r="J5" s="1738"/>
      <c r="K5" s="1738"/>
    </row>
    <row r="6" spans="1:18">
      <c r="A6" s="1061"/>
      <c r="B6" s="1061"/>
      <c r="C6" s="1061"/>
      <c r="D6" s="1061"/>
      <c r="E6" s="1061"/>
      <c r="F6" s="1061"/>
      <c r="G6" s="1061"/>
      <c r="H6" s="1061"/>
      <c r="I6" s="1061"/>
      <c r="J6" s="1061"/>
      <c r="K6" s="1061"/>
    </row>
    <row r="7" spans="1:18" s="893" customFormat="1">
      <c r="A7" s="890"/>
      <c r="B7" s="1061"/>
      <c r="C7" s="1185"/>
      <c r="D7" s="1185"/>
      <c r="E7" s="1185" t="str">
        <f>+C8&amp;" + "&amp;D8</f>
        <v>B + C</v>
      </c>
      <c r="G7" s="208" t="str">
        <f>+"- ("&amp;E8&amp;"+"&amp;F8&amp;")"</f>
        <v>- (D+E)</v>
      </c>
      <c r="H7" s="890" t="str">
        <f>+G8&amp;" * "&amp;D8&amp;"/"&amp;E8</f>
        <v>F * C/D</v>
      </c>
      <c r="K7" s="890" t="str">
        <f>+G8&amp;" - "&amp;I8&amp;" - "&amp;J8</f>
        <v>F - H - I</v>
      </c>
      <c r="L7" s="914"/>
    </row>
    <row r="8" spans="1:18" s="893" customFormat="1" ht="13.2" customHeight="1">
      <c r="A8" s="890" t="s">
        <v>277</v>
      </c>
      <c r="B8" s="782" t="s">
        <v>67</v>
      </c>
      <c r="C8" s="782" t="s">
        <v>114</v>
      </c>
      <c r="D8" s="782" t="s">
        <v>55</v>
      </c>
      <c r="E8" s="783" t="s">
        <v>68</v>
      </c>
      <c r="F8" s="783" t="s">
        <v>66</v>
      </c>
      <c r="G8" s="783" t="s">
        <v>156</v>
      </c>
      <c r="H8" s="783" t="s">
        <v>69</v>
      </c>
      <c r="I8" s="783" t="s">
        <v>169</v>
      </c>
      <c r="J8" s="783" t="s">
        <v>59</v>
      </c>
      <c r="K8" s="783" t="s">
        <v>60</v>
      </c>
      <c r="M8" s="1073"/>
      <c r="N8" s="1073"/>
      <c r="O8" s="1073"/>
      <c r="P8" s="1073"/>
      <c r="Q8" s="1073"/>
      <c r="R8" s="1071"/>
    </row>
    <row r="9" spans="1:18" s="893" customFormat="1" ht="15">
      <c r="A9" s="890"/>
      <c r="B9" s="782"/>
      <c r="C9" s="1794" t="s">
        <v>817</v>
      </c>
      <c r="D9" s="1794"/>
      <c r="E9" s="1794"/>
      <c r="F9" s="1167" t="s">
        <v>812</v>
      </c>
      <c r="G9" s="1794" t="s">
        <v>820</v>
      </c>
      <c r="H9" s="1794"/>
      <c r="I9" s="1794" t="s">
        <v>815</v>
      </c>
      <c r="J9" s="1794"/>
      <c r="K9" s="1167" t="s">
        <v>820</v>
      </c>
      <c r="M9" s="1073"/>
      <c r="N9" s="1073"/>
      <c r="O9" s="1073"/>
      <c r="P9" s="1073"/>
      <c r="Q9" s="1073"/>
      <c r="R9" s="1071"/>
    </row>
    <row r="10" spans="1:18" s="890" customFormat="1" ht="15" customHeight="1">
      <c r="A10" s="891">
        <v>1</v>
      </c>
      <c r="B10" s="799" t="s">
        <v>173</v>
      </c>
      <c r="C10" s="1229" t="s">
        <v>898</v>
      </c>
      <c r="D10" s="1072" t="s">
        <v>818</v>
      </c>
      <c r="E10" s="1072" t="s">
        <v>113</v>
      </c>
      <c r="F10" s="1072" t="s">
        <v>819</v>
      </c>
      <c r="G10" s="1072" t="s">
        <v>822</v>
      </c>
      <c r="H10" s="1230" t="s">
        <v>821</v>
      </c>
      <c r="I10" s="1072" t="s">
        <v>814</v>
      </c>
      <c r="J10" s="1072" t="s">
        <v>816</v>
      </c>
      <c r="K10" s="1072" t="s">
        <v>113</v>
      </c>
      <c r="M10" s="1073"/>
      <c r="N10" s="1073"/>
      <c r="O10" s="1073"/>
      <c r="P10" s="1073"/>
      <c r="Q10" s="1073"/>
      <c r="R10" s="1071"/>
    </row>
    <row r="11" spans="1:18">
      <c r="A11" s="892">
        <f>+A10+0.01</f>
        <v>1.01</v>
      </c>
      <c r="B11" s="539" t="s">
        <v>1327</v>
      </c>
      <c r="C11" s="192">
        <f>IFERROR(INDEX(#REF!,MATCH($B11,#REF!,0)),0)</f>
        <v>0</v>
      </c>
      <c r="D11" s="192">
        <f>IFERROR(INDEX(#REF!,MATCH($B11,#REF!,0)),0)</f>
        <v>0</v>
      </c>
      <c r="E11" s="73">
        <f t="shared" ref="E11:E33" si="0">+C11+D11</f>
        <v>0</v>
      </c>
      <c r="F11" s="192">
        <f>IFERROR(INDEX(#REF!,MATCH($B11,#REF!,0)),0)</f>
        <v>0</v>
      </c>
      <c r="G11" s="73">
        <f>-(E11+F11)</f>
        <v>0</v>
      </c>
      <c r="H11" s="471">
        <f t="shared" ref="H11:H50" si="1">G11*IF($E11=0,0,+ABS($D11)/(ABS($C11)+ABS($D11)))</f>
        <v>0</v>
      </c>
      <c r="I11" s="192">
        <v>0</v>
      </c>
      <c r="J11" s="192">
        <v>0</v>
      </c>
      <c r="K11" s="800">
        <f>+G11-I11-J11</f>
        <v>0</v>
      </c>
      <c r="L11" s="994"/>
      <c r="M11" s="1073"/>
      <c r="N11" s="1073"/>
      <c r="O11" s="1073"/>
      <c r="P11" s="1073"/>
      <c r="Q11" s="1073"/>
    </row>
    <row r="12" spans="1:18">
      <c r="A12" s="892">
        <f t="shared" ref="A12:A52" si="2">+A11+0.01</f>
        <v>1.02</v>
      </c>
      <c r="B12" s="539" t="s">
        <v>1328</v>
      </c>
      <c r="C12" s="192">
        <f>IFERROR(INDEX(#REF!,MATCH($B12,#REF!,0)),0)</f>
        <v>0</v>
      </c>
      <c r="D12" s="192">
        <f>IFERROR(INDEX(#REF!,MATCH($B12,#REF!,0)),0)</f>
        <v>0</v>
      </c>
      <c r="E12" s="73">
        <f t="shared" si="0"/>
        <v>0</v>
      </c>
      <c r="F12" s="192">
        <f>IFERROR(INDEX(#REF!,MATCH($B12,#REF!,0)),0)</f>
        <v>0</v>
      </c>
      <c r="G12" s="73">
        <f t="shared" ref="G12:G50" si="3">-E12-F12</f>
        <v>0</v>
      </c>
      <c r="H12" s="471">
        <f t="shared" si="1"/>
        <v>0</v>
      </c>
      <c r="I12" s="192">
        <v>0</v>
      </c>
      <c r="J12" s="192">
        <v>0</v>
      </c>
      <c r="K12" s="800">
        <f t="shared" ref="K12:K51" si="4">+G12-I12-J12</f>
        <v>0</v>
      </c>
      <c r="L12" s="994"/>
      <c r="M12" s="1073"/>
      <c r="N12" s="1073"/>
      <c r="O12" s="1073"/>
      <c r="P12" s="1073"/>
      <c r="Q12" s="1073"/>
    </row>
    <row r="13" spans="1:18">
      <c r="A13" s="892">
        <f t="shared" si="2"/>
        <v>1.03</v>
      </c>
      <c r="B13" s="539" t="s">
        <v>1329</v>
      </c>
      <c r="C13" s="192">
        <f>IFERROR(INDEX(#REF!,MATCH($B13,#REF!,0)),0)</f>
        <v>0</v>
      </c>
      <c r="D13" s="192">
        <f>IFERROR(INDEX(#REF!,MATCH($B13,#REF!,0)),0)</f>
        <v>0</v>
      </c>
      <c r="E13" s="73">
        <f t="shared" si="0"/>
        <v>0</v>
      </c>
      <c r="F13" s="192">
        <f>IFERROR(INDEX(#REF!,MATCH($B13,#REF!,0)),0)</f>
        <v>0</v>
      </c>
      <c r="G13" s="73">
        <f t="shared" si="3"/>
        <v>0</v>
      </c>
      <c r="H13" s="471">
        <f t="shared" si="1"/>
        <v>0</v>
      </c>
      <c r="I13" s="192">
        <v>0</v>
      </c>
      <c r="J13" s="192">
        <v>0</v>
      </c>
      <c r="K13" s="800">
        <f t="shared" si="4"/>
        <v>0</v>
      </c>
      <c r="L13" s="994"/>
      <c r="M13" s="1073"/>
      <c r="N13" s="1073"/>
      <c r="O13" s="1073"/>
      <c r="P13" s="1073"/>
      <c r="Q13" s="1073"/>
    </row>
    <row r="14" spans="1:18">
      <c r="A14" s="892">
        <f t="shared" si="2"/>
        <v>1.04</v>
      </c>
      <c r="B14" s="539" t="s">
        <v>1330</v>
      </c>
      <c r="C14" s="192">
        <f>IFERROR(INDEX(#REF!,MATCH($B14,#REF!,0)),0)</f>
        <v>0</v>
      </c>
      <c r="D14" s="192">
        <f>IFERROR(INDEX(#REF!,MATCH($B14,#REF!,0)),0)</f>
        <v>0</v>
      </c>
      <c r="E14" s="73">
        <f t="shared" si="0"/>
        <v>0</v>
      </c>
      <c r="F14" s="192">
        <f>IFERROR(INDEX(#REF!,MATCH($B14,#REF!,0)),0)</f>
        <v>0</v>
      </c>
      <c r="G14" s="73">
        <f t="shared" si="3"/>
        <v>0</v>
      </c>
      <c r="H14" s="471">
        <f t="shared" si="1"/>
        <v>0</v>
      </c>
      <c r="I14" s="192">
        <v>0</v>
      </c>
      <c r="J14" s="192">
        <v>0</v>
      </c>
      <c r="K14" s="800">
        <f t="shared" si="4"/>
        <v>0</v>
      </c>
      <c r="L14" s="994"/>
      <c r="M14" s="1073"/>
      <c r="N14" s="1073"/>
      <c r="O14" s="1073"/>
      <c r="P14" s="1073"/>
      <c r="Q14" s="1073"/>
    </row>
    <row r="15" spans="1:18">
      <c r="A15" s="892">
        <f t="shared" si="2"/>
        <v>1.05</v>
      </c>
      <c r="B15" s="264" t="s">
        <v>1331</v>
      </c>
      <c r="C15" s="192">
        <f>IFERROR(INDEX(#REF!,MATCH($B15,#REF!,0)),0)</f>
        <v>0</v>
      </c>
      <c r="D15" s="192">
        <f>IFERROR(INDEX(#REF!,MATCH($B15,#REF!,0)),0)</f>
        <v>0</v>
      </c>
      <c r="E15" s="73">
        <f t="shared" si="0"/>
        <v>0</v>
      </c>
      <c r="F15" s="192">
        <f>IFERROR(INDEX(#REF!,MATCH($B15,#REF!,0)),0)</f>
        <v>0</v>
      </c>
      <c r="G15" s="73">
        <f t="shared" si="3"/>
        <v>0</v>
      </c>
      <c r="H15" s="471">
        <f t="shared" si="1"/>
        <v>0</v>
      </c>
      <c r="I15" s="192">
        <v>2090.4499999999998</v>
      </c>
      <c r="J15" s="192">
        <v>0</v>
      </c>
      <c r="K15" s="800">
        <f>+G15-I15-J15</f>
        <v>-2090.4499999999998</v>
      </c>
      <c r="L15" s="994"/>
      <c r="M15" s="1073"/>
      <c r="N15" s="1073"/>
    </row>
    <row r="16" spans="1:18">
      <c r="A16" s="892">
        <f t="shared" si="2"/>
        <v>1.06</v>
      </c>
      <c r="B16" s="264" t="s">
        <v>1332</v>
      </c>
      <c r="C16" s="192">
        <f>IFERROR(INDEX(#REF!,MATCH($B16,#REF!,0)),0)</f>
        <v>0</v>
      </c>
      <c r="D16" s="192">
        <f>IFERROR(INDEX(#REF!,MATCH($B16,#REF!,0)),0)</f>
        <v>0</v>
      </c>
      <c r="E16" s="73">
        <f t="shared" si="0"/>
        <v>0</v>
      </c>
      <c r="F16" s="192">
        <f>IFERROR(INDEX(#REF!,MATCH($B16,#REF!,0)),0)</f>
        <v>0</v>
      </c>
      <c r="G16" s="73">
        <f t="shared" si="3"/>
        <v>0</v>
      </c>
      <c r="H16" s="471">
        <f t="shared" si="1"/>
        <v>0</v>
      </c>
      <c r="I16" s="192">
        <v>1172.5</v>
      </c>
      <c r="J16" s="192">
        <v>0</v>
      </c>
      <c r="K16" s="800">
        <f t="shared" si="4"/>
        <v>-1172.5</v>
      </c>
      <c r="L16" s="994"/>
      <c r="M16" s="1073"/>
      <c r="N16" s="1073"/>
    </row>
    <row r="17" spans="1:14">
      <c r="A17" s="892">
        <f t="shared" si="2"/>
        <v>1.07</v>
      </c>
      <c r="B17" s="264" t="s">
        <v>1333</v>
      </c>
      <c r="C17" s="192">
        <f>IFERROR(INDEX(#REF!,MATCH($B17,#REF!,0)),0)</f>
        <v>0</v>
      </c>
      <c r="D17" s="192">
        <f>IFERROR(INDEX(#REF!,MATCH($B17,#REF!,0)),0)</f>
        <v>0</v>
      </c>
      <c r="E17" s="73">
        <f t="shared" si="0"/>
        <v>0</v>
      </c>
      <c r="F17" s="192">
        <f>IFERROR(INDEX(#REF!,MATCH($B17,#REF!,0)),0)</f>
        <v>0</v>
      </c>
      <c r="G17" s="73">
        <f t="shared" si="3"/>
        <v>0</v>
      </c>
      <c r="H17" s="471">
        <f t="shared" si="1"/>
        <v>0</v>
      </c>
      <c r="I17" s="192">
        <v>0</v>
      </c>
      <c r="J17" s="192">
        <v>0</v>
      </c>
      <c r="K17" s="800">
        <f t="shared" si="4"/>
        <v>0</v>
      </c>
      <c r="L17" s="994"/>
      <c r="M17" s="1073"/>
      <c r="N17" s="1073"/>
    </row>
    <row r="18" spans="1:14">
      <c r="A18" s="892">
        <f t="shared" si="2"/>
        <v>1.08</v>
      </c>
      <c r="B18" s="539" t="s">
        <v>1334</v>
      </c>
      <c r="C18" s="192">
        <f>IFERROR(INDEX(#REF!,MATCH($B18,#REF!,0)),0)</f>
        <v>0</v>
      </c>
      <c r="D18" s="192">
        <f>IFERROR(INDEX(#REF!,MATCH($B18,#REF!,0)),0)</f>
        <v>0</v>
      </c>
      <c r="E18" s="73">
        <f t="shared" si="0"/>
        <v>0</v>
      </c>
      <c r="F18" s="192">
        <f>IFERROR(INDEX(#REF!,MATCH($B18,#REF!,0)),0)</f>
        <v>0</v>
      </c>
      <c r="G18" s="73">
        <f t="shared" si="3"/>
        <v>0</v>
      </c>
      <c r="H18" s="471">
        <f t="shared" si="1"/>
        <v>0</v>
      </c>
      <c r="I18" s="192">
        <v>0</v>
      </c>
      <c r="J18" s="192">
        <v>0</v>
      </c>
      <c r="K18" s="800">
        <f t="shared" si="4"/>
        <v>0</v>
      </c>
      <c r="L18" s="994"/>
      <c r="M18" s="1073"/>
      <c r="N18" s="1073"/>
    </row>
    <row r="19" spans="1:14">
      <c r="A19" s="892">
        <f t="shared" si="2"/>
        <v>1.0900000000000001</v>
      </c>
      <c r="B19" s="539" t="s">
        <v>1335</v>
      </c>
      <c r="C19" s="192">
        <f>IFERROR(INDEX(#REF!,MATCH($B19,#REF!,0)),0)</f>
        <v>0</v>
      </c>
      <c r="D19" s="192">
        <f>IFERROR(INDEX(#REF!,MATCH($B19,#REF!,0)),0)</f>
        <v>0</v>
      </c>
      <c r="E19" s="73">
        <f t="shared" si="0"/>
        <v>0</v>
      </c>
      <c r="F19" s="192">
        <f>IFERROR(INDEX(#REF!,MATCH($B19,#REF!,0)),0)</f>
        <v>0</v>
      </c>
      <c r="G19" s="73">
        <f t="shared" si="3"/>
        <v>0</v>
      </c>
      <c r="H19" s="471">
        <f t="shared" si="1"/>
        <v>0</v>
      </c>
      <c r="I19" s="192">
        <v>0</v>
      </c>
      <c r="J19" s="192">
        <v>0</v>
      </c>
      <c r="K19" s="800">
        <f t="shared" si="4"/>
        <v>0</v>
      </c>
      <c r="L19" s="994"/>
      <c r="M19" s="1073"/>
      <c r="N19" s="1073"/>
    </row>
    <row r="20" spans="1:14">
      <c r="A20" s="892">
        <f t="shared" si="2"/>
        <v>1.1000000000000001</v>
      </c>
      <c r="B20" s="264" t="s">
        <v>1336</v>
      </c>
      <c r="C20" s="192">
        <f>IFERROR(INDEX(#REF!,MATCH($B20,#REF!,0)),0)</f>
        <v>0</v>
      </c>
      <c r="D20" s="192">
        <f>IFERROR(INDEX(#REF!,MATCH($B20,#REF!,0)),0)</f>
        <v>0</v>
      </c>
      <c r="E20" s="73">
        <f t="shared" si="0"/>
        <v>0</v>
      </c>
      <c r="F20" s="192">
        <f>IFERROR(INDEX(#REF!,MATCH($B20,#REF!,0)),0)</f>
        <v>0</v>
      </c>
      <c r="G20" s="73">
        <f t="shared" si="3"/>
        <v>0</v>
      </c>
      <c r="H20" s="471">
        <f t="shared" si="1"/>
        <v>0</v>
      </c>
      <c r="I20" s="192">
        <v>0</v>
      </c>
      <c r="J20" s="192">
        <v>0</v>
      </c>
      <c r="K20" s="800">
        <f t="shared" si="4"/>
        <v>0</v>
      </c>
      <c r="L20" s="994"/>
      <c r="M20" s="1073"/>
      <c r="N20" s="1073"/>
    </row>
    <row r="21" spans="1:14">
      <c r="A21" s="892">
        <f t="shared" si="2"/>
        <v>1.1100000000000001</v>
      </c>
      <c r="B21" s="264" t="s">
        <v>1337</v>
      </c>
      <c r="C21" s="192">
        <f>IFERROR(INDEX(#REF!,MATCH($B21,#REF!,0)),0)</f>
        <v>0</v>
      </c>
      <c r="D21" s="192">
        <f>IFERROR(INDEX(#REF!,MATCH($B21,#REF!,0)),0)</f>
        <v>0</v>
      </c>
      <c r="E21" s="73">
        <f t="shared" si="0"/>
        <v>0</v>
      </c>
      <c r="F21" s="192">
        <f>IFERROR(INDEX(#REF!,MATCH($B21,#REF!,0)),0)</f>
        <v>0</v>
      </c>
      <c r="G21" s="73">
        <f t="shared" si="3"/>
        <v>0</v>
      </c>
      <c r="H21" s="471">
        <f t="shared" si="1"/>
        <v>0</v>
      </c>
      <c r="I21" s="192">
        <v>0</v>
      </c>
      <c r="J21" s="192">
        <v>0</v>
      </c>
      <c r="K21" s="800">
        <f t="shared" si="4"/>
        <v>0</v>
      </c>
      <c r="L21" s="994"/>
      <c r="M21" s="1073"/>
      <c r="N21" s="1073"/>
    </row>
    <row r="22" spans="1:14">
      <c r="A22" s="892">
        <f t="shared" si="2"/>
        <v>1.1200000000000001</v>
      </c>
      <c r="B22" s="264" t="s">
        <v>1338</v>
      </c>
      <c r="C22" s="192">
        <f>IFERROR(INDEX(#REF!,MATCH($B22,#REF!,0)),0)</f>
        <v>0</v>
      </c>
      <c r="D22" s="192">
        <f>IFERROR(INDEX(#REF!,MATCH($B22,#REF!,0)),0)</f>
        <v>0</v>
      </c>
      <c r="E22" s="73">
        <f t="shared" si="0"/>
        <v>0</v>
      </c>
      <c r="F22" s="192">
        <f>IFERROR(INDEX(#REF!,MATCH($B22,#REF!,0)),0)</f>
        <v>0</v>
      </c>
      <c r="G22" s="73">
        <f t="shared" si="3"/>
        <v>0</v>
      </c>
      <c r="H22" s="471">
        <f t="shared" si="1"/>
        <v>0</v>
      </c>
      <c r="I22" s="192">
        <v>0</v>
      </c>
      <c r="J22" s="192">
        <v>0</v>
      </c>
      <c r="K22" s="800">
        <f t="shared" si="4"/>
        <v>0</v>
      </c>
      <c r="L22" s="994"/>
      <c r="M22" s="1073"/>
      <c r="N22" s="1073"/>
    </row>
    <row r="23" spans="1:14">
      <c r="A23" s="892">
        <f t="shared" si="2"/>
        <v>1.1300000000000001</v>
      </c>
      <c r="B23" s="264" t="s">
        <v>1339</v>
      </c>
      <c r="C23" s="192">
        <f>IFERROR(INDEX(#REF!,MATCH($B23,#REF!,0)),0)</f>
        <v>0</v>
      </c>
      <c r="D23" s="192">
        <f>IFERROR(INDEX(#REF!,MATCH($B23,#REF!,0)),0)</f>
        <v>0</v>
      </c>
      <c r="E23" s="73">
        <f t="shared" si="0"/>
        <v>0</v>
      </c>
      <c r="F23" s="192">
        <f>IFERROR(INDEX(#REF!,MATCH($B23,#REF!,0)),0)</f>
        <v>0</v>
      </c>
      <c r="G23" s="73">
        <f t="shared" si="3"/>
        <v>0</v>
      </c>
      <c r="H23" s="471">
        <f t="shared" si="1"/>
        <v>0</v>
      </c>
      <c r="I23" s="192">
        <v>43188.65</v>
      </c>
      <c r="J23" s="192">
        <v>0</v>
      </c>
      <c r="K23" s="800">
        <f t="shared" si="4"/>
        <v>-43188.65</v>
      </c>
      <c r="L23" s="994"/>
      <c r="M23" s="1073"/>
      <c r="N23" s="1073"/>
    </row>
    <row r="24" spans="1:14">
      <c r="A24" s="892">
        <f t="shared" si="2"/>
        <v>1.1400000000000001</v>
      </c>
      <c r="B24" s="264" t="s">
        <v>1340</v>
      </c>
      <c r="C24" s="192">
        <f>IFERROR(INDEX(#REF!,MATCH($B24,#REF!,0)),0)</f>
        <v>0</v>
      </c>
      <c r="D24" s="192">
        <f>IFERROR(INDEX(#REF!,MATCH($B24,#REF!,0)),0)</f>
        <v>0</v>
      </c>
      <c r="E24" s="73">
        <f t="shared" si="0"/>
        <v>0</v>
      </c>
      <c r="F24" s="192">
        <f>IFERROR(INDEX(#REF!,MATCH($B24,#REF!,0)),0)</f>
        <v>0</v>
      </c>
      <c r="G24" s="800">
        <f t="shared" si="3"/>
        <v>0</v>
      </c>
      <c r="H24" s="471">
        <f t="shared" si="1"/>
        <v>0</v>
      </c>
      <c r="I24" s="192">
        <v>3</v>
      </c>
      <c r="J24" s="192">
        <v>0</v>
      </c>
      <c r="K24" s="800">
        <f t="shared" si="4"/>
        <v>-3</v>
      </c>
      <c r="L24" s="994"/>
      <c r="M24" s="1073"/>
      <c r="N24" s="1073"/>
    </row>
    <row r="25" spans="1:14">
      <c r="A25" s="892">
        <f t="shared" si="2"/>
        <v>1.1500000000000001</v>
      </c>
      <c r="B25" s="264" t="s">
        <v>1341</v>
      </c>
      <c r="C25" s="192">
        <f>IFERROR(INDEX(#REF!,MATCH($B25,#REF!,0)),0)</f>
        <v>0</v>
      </c>
      <c r="D25" s="192">
        <f>IFERROR(INDEX(#REF!,MATCH($B25,#REF!,0)),0)</f>
        <v>0</v>
      </c>
      <c r="E25" s="73">
        <f t="shared" si="0"/>
        <v>0</v>
      </c>
      <c r="F25" s="192">
        <f>IFERROR(INDEX(#REF!,MATCH($B25,#REF!,0)),0)</f>
        <v>0</v>
      </c>
      <c r="G25" s="800">
        <f>-E25-F25</f>
        <v>0</v>
      </c>
      <c r="H25" s="471">
        <f>G25*IF($E25=0,0,+ABS($D25)/(ABS($C25)+ABS($D25)))</f>
        <v>0</v>
      </c>
      <c r="I25" s="192">
        <v>314.05</v>
      </c>
      <c r="J25" s="192">
        <v>0</v>
      </c>
      <c r="K25" s="800">
        <f t="shared" si="4"/>
        <v>-314.05</v>
      </c>
      <c r="L25" s="994"/>
      <c r="M25" s="1073"/>
      <c r="N25" s="1073"/>
    </row>
    <row r="26" spans="1:14">
      <c r="A26" s="892">
        <f t="shared" si="2"/>
        <v>1.1600000000000001</v>
      </c>
      <c r="B26" s="264" t="s">
        <v>1342</v>
      </c>
      <c r="C26" s="192">
        <f>IFERROR(INDEX(#REF!,MATCH($B26,#REF!,0)),0)</f>
        <v>0</v>
      </c>
      <c r="D26" s="192">
        <f>IFERROR(INDEX(#REF!,MATCH($B26,#REF!,0)),0)</f>
        <v>0</v>
      </c>
      <c r="E26" s="73">
        <f>+C26+D26</f>
        <v>0</v>
      </c>
      <c r="F26" s="192">
        <f>IFERROR(INDEX(#REF!,MATCH($B26,#REF!,0)),0)</f>
        <v>0</v>
      </c>
      <c r="G26" s="800">
        <f>-E26-F26</f>
        <v>0</v>
      </c>
      <c r="H26" s="471">
        <f>G26*IF($E26=0,0,+ABS($D26)/(ABS($C26)+ABS($D26)))</f>
        <v>0</v>
      </c>
      <c r="I26" s="192">
        <v>0</v>
      </c>
      <c r="J26" s="192">
        <v>0</v>
      </c>
      <c r="K26" s="800">
        <f>+G26-I26-J26</f>
        <v>0</v>
      </c>
      <c r="L26" s="994"/>
      <c r="M26" s="1073"/>
      <c r="N26" s="1073"/>
    </row>
    <row r="27" spans="1:14">
      <c r="A27" s="892">
        <f t="shared" si="2"/>
        <v>1.1700000000000002</v>
      </c>
      <c r="B27" s="264" t="s">
        <v>1343</v>
      </c>
      <c r="C27" s="192">
        <f>IFERROR(INDEX(#REF!,MATCH($B27,#REF!,0)),0)</f>
        <v>0</v>
      </c>
      <c r="D27" s="192">
        <f>IFERROR(INDEX(#REF!,MATCH($B27,#REF!,0)),0)</f>
        <v>0</v>
      </c>
      <c r="E27" s="73">
        <f t="shared" si="0"/>
        <v>0</v>
      </c>
      <c r="F27" s="192">
        <f>IFERROR(INDEX(#REF!,MATCH($B27,#REF!,0)),0)</f>
        <v>0</v>
      </c>
      <c r="G27" s="800">
        <f t="shared" si="3"/>
        <v>0</v>
      </c>
      <c r="H27" s="471">
        <f t="shared" si="1"/>
        <v>0</v>
      </c>
      <c r="I27" s="192">
        <v>170.05</v>
      </c>
      <c r="J27" s="192">
        <v>0</v>
      </c>
      <c r="K27" s="800">
        <f t="shared" si="4"/>
        <v>-170.05</v>
      </c>
      <c r="L27" s="994"/>
      <c r="M27" s="1073"/>
      <c r="N27" s="1073"/>
    </row>
    <row r="28" spans="1:14">
      <c r="A28" s="892">
        <f t="shared" si="2"/>
        <v>1.1800000000000002</v>
      </c>
      <c r="B28" s="264" t="s">
        <v>1344</v>
      </c>
      <c r="C28" s="192">
        <f>IFERROR(INDEX(#REF!,MATCH($B28,#REF!,0)),0)</f>
        <v>0</v>
      </c>
      <c r="D28" s="192">
        <f>IFERROR(INDEX(#REF!,MATCH($B28,#REF!,0)),0)</f>
        <v>0</v>
      </c>
      <c r="E28" s="73">
        <f t="shared" si="0"/>
        <v>0</v>
      </c>
      <c r="F28" s="192">
        <f>IFERROR(INDEX(#REF!,MATCH($B28,#REF!,0)),0)</f>
        <v>0</v>
      </c>
      <c r="G28" s="73">
        <f t="shared" si="3"/>
        <v>0</v>
      </c>
      <c r="H28" s="471">
        <f t="shared" si="1"/>
        <v>0</v>
      </c>
      <c r="I28" s="192">
        <v>15.6</v>
      </c>
      <c r="J28" s="192">
        <v>0</v>
      </c>
      <c r="K28" s="800">
        <f t="shared" si="4"/>
        <v>-15.6</v>
      </c>
      <c r="L28" s="994"/>
      <c r="M28" s="1073"/>
      <c r="N28" s="1073"/>
    </row>
    <row r="29" spans="1:14">
      <c r="A29" s="892">
        <f t="shared" si="2"/>
        <v>1.1900000000000002</v>
      </c>
      <c r="B29" s="264" t="s">
        <v>1345</v>
      </c>
      <c r="C29" s="192">
        <f>IFERROR(INDEX(#REF!,MATCH($B29,#REF!,0)),0)</f>
        <v>0</v>
      </c>
      <c r="D29" s="192">
        <f>IFERROR(INDEX(#REF!,MATCH($B29,#REF!,0)),0)</f>
        <v>0</v>
      </c>
      <c r="E29" s="73">
        <f>+C29+D29</f>
        <v>0</v>
      </c>
      <c r="F29" s="192">
        <f>IFERROR(INDEX(#REF!,MATCH($B29,#REF!,0)),0)</f>
        <v>0</v>
      </c>
      <c r="G29" s="73">
        <f>-E29-F29</f>
        <v>0</v>
      </c>
      <c r="H29" s="471">
        <f>G29*IF($E29=0,0,+ABS($D29)/(ABS($C29)+ABS($D29)))</f>
        <v>0</v>
      </c>
      <c r="I29" s="192">
        <v>0</v>
      </c>
      <c r="J29" s="192">
        <v>0</v>
      </c>
      <c r="K29" s="800">
        <f>+G29-I29-J29</f>
        <v>0</v>
      </c>
      <c r="L29" s="994"/>
      <c r="M29" s="1073"/>
      <c r="N29" s="1073"/>
    </row>
    <row r="30" spans="1:14">
      <c r="A30" s="892">
        <f t="shared" si="2"/>
        <v>1.2000000000000002</v>
      </c>
      <c r="B30" s="264" t="s">
        <v>1346</v>
      </c>
      <c r="C30" s="192">
        <f>IFERROR(INDEX(#REF!,MATCH($B30,#REF!,0)),0)</f>
        <v>0</v>
      </c>
      <c r="D30" s="192">
        <f>IFERROR(INDEX(#REF!,MATCH($B30,#REF!,0)),0)</f>
        <v>0</v>
      </c>
      <c r="E30" s="73">
        <f t="shared" si="0"/>
        <v>0</v>
      </c>
      <c r="F30" s="192">
        <f>IFERROR(INDEX(#REF!,MATCH($B30,#REF!,0)),0)</f>
        <v>0</v>
      </c>
      <c r="G30" s="73">
        <f t="shared" si="3"/>
        <v>0</v>
      </c>
      <c r="H30" s="471">
        <f t="shared" si="1"/>
        <v>0</v>
      </c>
      <c r="I30" s="192">
        <v>5750.65</v>
      </c>
      <c r="J30" s="192">
        <v>0</v>
      </c>
      <c r="K30" s="800">
        <f t="shared" si="4"/>
        <v>-5750.65</v>
      </c>
      <c r="L30" s="994"/>
      <c r="M30" s="1073"/>
      <c r="N30" s="1073"/>
    </row>
    <row r="31" spans="1:14">
      <c r="A31" s="892">
        <f t="shared" si="2"/>
        <v>1.2100000000000002</v>
      </c>
      <c r="B31" s="539" t="s">
        <v>1347</v>
      </c>
      <c r="C31" s="192">
        <f>IFERROR(INDEX(#REF!,MATCH($B31,#REF!,0)),0)</f>
        <v>0</v>
      </c>
      <c r="D31" s="192">
        <f>IFERROR(INDEX(#REF!,MATCH($B31,#REF!,0)),0)</f>
        <v>0</v>
      </c>
      <c r="E31" s="73">
        <f t="shared" si="0"/>
        <v>0</v>
      </c>
      <c r="F31" s="192">
        <f>IFERROR(INDEX(#REF!,MATCH($B31,#REF!,0)),0)</f>
        <v>0</v>
      </c>
      <c r="G31" s="73">
        <f>-E31-F31</f>
        <v>0</v>
      </c>
      <c r="H31" s="471">
        <f>G31*IF($E31=0,0,+ABS($D31)/(ABS($C31)+ABS($D31)))</f>
        <v>0</v>
      </c>
      <c r="I31" s="192">
        <v>0</v>
      </c>
      <c r="J31" s="192">
        <v>0</v>
      </c>
      <c r="K31" s="800">
        <f>+G31-I31-J31</f>
        <v>0</v>
      </c>
      <c r="L31" s="994"/>
      <c r="M31" s="1073"/>
      <c r="N31" s="1073"/>
    </row>
    <row r="32" spans="1:14">
      <c r="A32" s="892">
        <f t="shared" si="2"/>
        <v>1.2200000000000002</v>
      </c>
      <c r="B32" s="264" t="s">
        <v>1348</v>
      </c>
      <c r="C32" s="192">
        <f>IFERROR(INDEX(#REF!,MATCH($B32,#REF!,0)),0)</f>
        <v>0</v>
      </c>
      <c r="D32" s="192">
        <f>IFERROR(INDEX(#REF!,MATCH($B32,#REF!,0)),0)</f>
        <v>0</v>
      </c>
      <c r="E32" s="73">
        <f t="shared" si="0"/>
        <v>0</v>
      </c>
      <c r="F32" s="192">
        <f>IFERROR(INDEX(#REF!,MATCH($B32,#REF!,0)),0)</f>
        <v>0</v>
      </c>
      <c r="G32" s="73">
        <f>-E32-F32</f>
        <v>0</v>
      </c>
      <c r="H32" s="471">
        <f>G32*IF($E32=0,0,+ABS($D32)/(ABS($C32)+ABS($D32)))</f>
        <v>0</v>
      </c>
      <c r="I32" s="192">
        <v>30.25</v>
      </c>
      <c r="J32" s="192">
        <v>0</v>
      </c>
      <c r="K32" s="800">
        <f>+G32-I32-J32</f>
        <v>-30.25</v>
      </c>
      <c r="L32" s="994"/>
      <c r="M32" s="1073"/>
      <c r="N32" s="1073"/>
    </row>
    <row r="33" spans="1:14">
      <c r="A33" s="892">
        <f t="shared" si="2"/>
        <v>1.2300000000000002</v>
      </c>
      <c r="B33" s="539" t="s">
        <v>1349</v>
      </c>
      <c r="C33" s="192">
        <f>IFERROR(INDEX(#REF!,MATCH($B33,#REF!,0)),0)</f>
        <v>0</v>
      </c>
      <c r="D33" s="192">
        <f>IFERROR(INDEX(#REF!,MATCH($B33,#REF!,0)),0)</f>
        <v>0</v>
      </c>
      <c r="E33" s="73">
        <f t="shared" si="0"/>
        <v>0</v>
      </c>
      <c r="F33" s="192">
        <f>IFERROR(INDEX(#REF!,MATCH($B33,#REF!,0)),0)</f>
        <v>0</v>
      </c>
      <c r="G33" s="73">
        <f t="shared" si="3"/>
        <v>0</v>
      </c>
      <c r="H33" s="471">
        <f t="shared" si="1"/>
        <v>0</v>
      </c>
      <c r="I33" s="192">
        <v>0</v>
      </c>
      <c r="J33" s="192">
        <v>0</v>
      </c>
      <c r="K33" s="800">
        <f t="shared" si="4"/>
        <v>0</v>
      </c>
      <c r="L33" s="994"/>
      <c r="M33" s="1073"/>
      <c r="N33" s="1073"/>
    </row>
    <row r="34" spans="1:14">
      <c r="A34" s="892">
        <f t="shared" si="2"/>
        <v>1.2400000000000002</v>
      </c>
      <c r="B34" s="264" t="s">
        <v>1350</v>
      </c>
      <c r="C34" s="192">
        <f>IFERROR(INDEX(#REF!,MATCH($B34,#REF!,0)),0)</f>
        <v>0</v>
      </c>
      <c r="D34" s="192">
        <f>IFERROR(INDEX(#REF!,MATCH($B34,#REF!,0)),0)</f>
        <v>0</v>
      </c>
      <c r="E34" s="73">
        <f>+C34+D34</f>
        <v>0</v>
      </c>
      <c r="F34" s="192">
        <f>IFERROR(INDEX(#REF!,MATCH($B34,#REF!,0)),0)</f>
        <v>0</v>
      </c>
      <c r="G34" s="73">
        <f>-E34-F34</f>
        <v>0</v>
      </c>
      <c r="H34" s="471">
        <f>G34*IF($E34=0,0,+ABS($D34)/(ABS($C34)+ABS($D34)))</f>
        <v>0</v>
      </c>
      <c r="I34" s="192">
        <v>39.4</v>
      </c>
      <c r="J34" s="192">
        <v>0</v>
      </c>
      <c r="K34" s="800">
        <f>+G34-I34-J34</f>
        <v>-39.4</v>
      </c>
      <c r="L34" s="994"/>
      <c r="M34" s="1073"/>
      <c r="N34" s="1073"/>
    </row>
    <row r="35" spans="1:14">
      <c r="A35" s="892">
        <f t="shared" si="2"/>
        <v>1.2500000000000002</v>
      </c>
      <c r="B35" s="539" t="s">
        <v>1351</v>
      </c>
      <c r="C35" s="192">
        <f>IFERROR(INDEX(#REF!,MATCH($B35,#REF!,0)),0)</f>
        <v>0</v>
      </c>
      <c r="D35" s="192">
        <f>IFERROR(INDEX(#REF!,MATCH($B35,#REF!,0)),0)</f>
        <v>0</v>
      </c>
      <c r="E35" s="73">
        <f>+C35+D35</f>
        <v>0</v>
      </c>
      <c r="F35" s="192">
        <f>IFERROR(INDEX(#REF!,MATCH($B35,#REF!,0)),0)</f>
        <v>0</v>
      </c>
      <c r="G35" s="73">
        <f>-E35-F35</f>
        <v>0</v>
      </c>
      <c r="H35" s="471">
        <f>G35*IF($E35=0,0,+ABS($D35)/(ABS($C35)+ABS($D35)))</f>
        <v>0</v>
      </c>
      <c r="I35" s="192">
        <v>0</v>
      </c>
      <c r="J35" s="192">
        <v>0</v>
      </c>
      <c r="K35" s="800">
        <f>+G35-I35-J35</f>
        <v>0</v>
      </c>
      <c r="L35" s="994"/>
      <c r="M35" s="1073"/>
      <c r="N35" s="1073"/>
    </row>
    <row r="36" spans="1:14">
      <c r="A36" s="892">
        <f t="shared" si="2"/>
        <v>1.2600000000000002</v>
      </c>
      <c r="B36" s="539" t="s">
        <v>1352</v>
      </c>
      <c r="C36" s="192">
        <f>IFERROR(INDEX(#REF!,MATCH($B36,#REF!,0)),0)</f>
        <v>0</v>
      </c>
      <c r="D36" s="192">
        <f>IFERROR(INDEX(#REF!,MATCH($B36,#REF!,0)),0)</f>
        <v>0</v>
      </c>
      <c r="E36" s="73">
        <f t="shared" ref="E36:E44" si="5">+C36+D36</f>
        <v>0</v>
      </c>
      <c r="F36" s="192">
        <f>IFERROR(INDEX(#REF!,MATCH($B36,#REF!,0)),0)</f>
        <v>0</v>
      </c>
      <c r="G36" s="73">
        <f t="shared" si="3"/>
        <v>0</v>
      </c>
      <c r="H36" s="471">
        <f t="shared" si="1"/>
        <v>0</v>
      </c>
      <c r="I36" s="192">
        <v>12668.6</v>
      </c>
      <c r="J36" s="192">
        <v>0</v>
      </c>
      <c r="K36" s="800">
        <f t="shared" si="4"/>
        <v>-12668.6</v>
      </c>
      <c r="L36" s="994"/>
      <c r="M36" s="1073"/>
      <c r="N36" s="1073"/>
    </row>
    <row r="37" spans="1:14">
      <c r="A37" s="892">
        <f t="shared" si="2"/>
        <v>1.2700000000000002</v>
      </c>
      <c r="B37" s="264" t="s">
        <v>1353</v>
      </c>
      <c r="C37" s="192">
        <f>IFERROR(INDEX(#REF!,MATCH($B37,#REF!,0)),0)</f>
        <v>0</v>
      </c>
      <c r="D37" s="192">
        <f>IFERROR(INDEX(#REF!,MATCH($B37,#REF!,0)),0)</f>
        <v>0</v>
      </c>
      <c r="E37" s="73">
        <f t="shared" si="5"/>
        <v>0</v>
      </c>
      <c r="F37" s="192">
        <f>IFERROR(INDEX(#REF!,MATCH($B37,#REF!,0)),0)</f>
        <v>0</v>
      </c>
      <c r="G37" s="73">
        <f t="shared" si="3"/>
        <v>0</v>
      </c>
      <c r="H37" s="471">
        <f t="shared" si="1"/>
        <v>0</v>
      </c>
      <c r="I37" s="192">
        <v>0</v>
      </c>
      <c r="J37" s="192">
        <v>0</v>
      </c>
      <c r="K37" s="800">
        <f t="shared" si="4"/>
        <v>0</v>
      </c>
      <c r="L37" s="994"/>
      <c r="M37" s="1073"/>
      <c r="N37" s="1073"/>
    </row>
    <row r="38" spans="1:14">
      <c r="A38" s="892">
        <f t="shared" si="2"/>
        <v>1.2800000000000002</v>
      </c>
      <c r="B38" s="264" t="s">
        <v>1354</v>
      </c>
      <c r="C38" s="192">
        <f>IFERROR(INDEX(#REF!,MATCH($B38,#REF!,0)),0)</f>
        <v>0</v>
      </c>
      <c r="D38" s="192">
        <f>IFERROR(INDEX(#REF!,MATCH($B38,#REF!,0)),0)</f>
        <v>0</v>
      </c>
      <c r="E38" s="73">
        <f t="shared" si="5"/>
        <v>0</v>
      </c>
      <c r="F38" s="192">
        <f>IFERROR(INDEX(#REF!,MATCH($B38,#REF!,0)),0)</f>
        <v>0</v>
      </c>
      <c r="G38" s="73">
        <f t="shared" si="3"/>
        <v>0</v>
      </c>
      <c r="H38" s="471">
        <f t="shared" si="1"/>
        <v>0</v>
      </c>
      <c r="I38" s="192">
        <v>0</v>
      </c>
      <c r="J38" s="192">
        <v>0</v>
      </c>
      <c r="K38" s="800">
        <f t="shared" si="4"/>
        <v>0</v>
      </c>
      <c r="L38" s="994"/>
      <c r="M38" s="1073"/>
      <c r="N38" s="1073"/>
    </row>
    <row r="39" spans="1:14">
      <c r="A39" s="892">
        <f t="shared" si="2"/>
        <v>1.2900000000000003</v>
      </c>
      <c r="B39" s="539" t="s">
        <v>1355</v>
      </c>
      <c r="C39" s="192">
        <f>IFERROR(INDEX(#REF!,MATCH($B39,#REF!,0)),0)</f>
        <v>0</v>
      </c>
      <c r="D39" s="192">
        <f>IFERROR(INDEX(#REF!,MATCH($B39,#REF!,0)),0)</f>
        <v>0</v>
      </c>
      <c r="E39" s="73">
        <f>+C39+D39</f>
        <v>0</v>
      </c>
      <c r="F39" s="192">
        <f>IFERROR(INDEX(#REF!,MATCH($B39,#REF!,0)),0)</f>
        <v>0</v>
      </c>
      <c r="G39" s="73">
        <f>-E39-F39</f>
        <v>0</v>
      </c>
      <c r="H39" s="471">
        <f>G39*IF($E39=0,0,+ABS($D39)/(ABS($C39)+ABS($D39)))</f>
        <v>0</v>
      </c>
      <c r="I39" s="192">
        <v>0</v>
      </c>
      <c r="J39" s="192">
        <v>0</v>
      </c>
      <c r="K39" s="800">
        <f>+G39-I39-J39</f>
        <v>0</v>
      </c>
      <c r="L39" s="994"/>
      <c r="M39" s="1073"/>
      <c r="N39" s="1073"/>
    </row>
    <row r="40" spans="1:14">
      <c r="A40" s="892">
        <f t="shared" si="2"/>
        <v>1.3000000000000003</v>
      </c>
      <c r="B40" s="539" t="s">
        <v>1356</v>
      </c>
      <c r="C40" s="192">
        <f>IFERROR(INDEX(#REF!,MATCH($B40,#REF!,0)),0)</f>
        <v>0</v>
      </c>
      <c r="D40" s="192">
        <f>IFERROR(INDEX(#REF!,MATCH($B40,#REF!,0)),0)</f>
        <v>0</v>
      </c>
      <c r="E40" s="73">
        <f t="shared" si="5"/>
        <v>0</v>
      </c>
      <c r="F40" s="192">
        <f>IFERROR(INDEX(#REF!,MATCH($B40,#REF!,0)),0)</f>
        <v>0</v>
      </c>
      <c r="G40" s="73">
        <f t="shared" si="3"/>
        <v>0</v>
      </c>
      <c r="H40" s="471">
        <f t="shared" si="1"/>
        <v>0</v>
      </c>
      <c r="I40" s="192">
        <v>0</v>
      </c>
      <c r="J40" s="192">
        <v>0</v>
      </c>
      <c r="K40" s="800">
        <f t="shared" si="4"/>
        <v>0</v>
      </c>
      <c r="L40" s="994"/>
      <c r="M40" s="1073"/>
      <c r="N40" s="1073"/>
    </row>
    <row r="41" spans="1:14">
      <c r="A41" s="892">
        <f t="shared" si="2"/>
        <v>1.3100000000000003</v>
      </c>
      <c r="B41" s="264" t="s">
        <v>1357</v>
      </c>
      <c r="C41" s="192">
        <f>IFERROR(INDEX(#REF!,MATCH($B41,#REF!,0)),0)</f>
        <v>0</v>
      </c>
      <c r="D41" s="192">
        <f>IFERROR(INDEX(#REF!,MATCH($B41,#REF!,0)),0)</f>
        <v>0</v>
      </c>
      <c r="E41" s="73">
        <f t="shared" si="5"/>
        <v>0</v>
      </c>
      <c r="F41" s="192">
        <f>IFERROR(INDEX(#REF!,MATCH($B41,#REF!,0)),0)</f>
        <v>0</v>
      </c>
      <c r="G41" s="73">
        <f t="shared" si="3"/>
        <v>0</v>
      </c>
      <c r="H41" s="471">
        <f t="shared" si="1"/>
        <v>0</v>
      </c>
      <c r="I41" s="192">
        <v>0</v>
      </c>
      <c r="J41" s="192">
        <v>0</v>
      </c>
      <c r="K41" s="800">
        <f t="shared" si="4"/>
        <v>0</v>
      </c>
      <c r="L41" s="1119"/>
      <c r="M41" s="1073"/>
      <c r="N41" s="1073"/>
    </row>
    <row r="42" spans="1:14">
      <c r="A42" s="892">
        <f t="shared" si="2"/>
        <v>1.3200000000000003</v>
      </c>
      <c r="B42" s="264" t="s">
        <v>1358</v>
      </c>
      <c r="C42" s="192">
        <f>IFERROR(INDEX(#REF!,MATCH($B42,#REF!,0)),0)</f>
        <v>0</v>
      </c>
      <c r="D42" s="192">
        <f>IFERROR(INDEX(#REF!,MATCH($B42,#REF!,0)),0)</f>
        <v>0</v>
      </c>
      <c r="E42" s="73">
        <f t="shared" si="5"/>
        <v>0</v>
      </c>
      <c r="F42" s="192">
        <f>IFERROR(INDEX(#REF!,MATCH($B42,#REF!,0)),0)</f>
        <v>0</v>
      </c>
      <c r="G42" s="73">
        <f t="shared" si="3"/>
        <v>0</v>
      </c>
      <c r="H42" s="471">
        <f t="shared" si="1"/>
        <v>0</v>
      </c>
      <c r="I42" s="192">
        <v>1499.7</v>
      </c>
      <c r="J42" s="192">
        <v>0</v>
      </c>
      <c r="K42" s="800">
        <f t="shared" si="4"/>
        <v>-1499.7</v>
      </c>
      <c r="L42" s="994"/>
      <c r="M42" s="1073"/>
      <c r="N42" s="1073"/>
    </row>
    <row r="43" spans="1:14">
      <c r="A43" s="892">
        <f t="shared" si="2"/>
        <v>1.3300000000000003</v>
      </c>
      <c r="B43" s="264" t="s">
        <v>1359</v>
      </c>
      <c r="C43" s="192">
        <f>IFERROR(INDEX(#REF!,MATCH($B43,#REF!,0)),0)</f>
        <v>0</v>
      </c>
      <c r="D43" s="192">
        <f>IFERROR(INDEX(#REF!,MATCH($B43,#REF!,0)),0)</f>
        <v>0</v>
      </c>
      <c r="E43" s="73">
        <f t="shared" si="5"/>
        <v>0</v>
      </c>
      <c r="F43" s="192">
        <f>IFERROR(INDEX(#REF!,MATCH($B43,#REF!,0)),0)</f>
        <v>0</v>
      </c>
      <c r="G43" s="73">
        <f t="shared" si="3"/>
        <v>0</v>
      </c>
      <c r="H43" s="471">
        <f t="shared" si="1"/>
        <v>0</v>
      </c>
      <c r="I43" s="192">
        <v>40821.550000000003</v>
      </c>
      <c r="J43" s="192">
        <v>0</v>
      </c>
      <c r="K43" s="800">
        <f t="shared" si="4"/>
        <v>-40821.550000000003</v>
      </c>
      <c r="L43" s="994"/>
      <c r="M43" s="1073"/>
      <c r="N43" s="1073"/>
    </row>
    <row r="44" spans="1:14">
      <c r="A44" s="892">
        <f t="shared" si="2"/>
        <v>1.3400000000000003</v>
      </c>
      <c r="B44" s="264" t="s">
        <v>1360</v>
      </c>
      <c r="C44" s="192">
        <f>IFERROR(INDEX(#REF!,MATCH($B44,#REF!,0)),0)</f>
        <v>0</v>
      </c>
      <c r="D44" s="192">
        <f>IFERROR(INDEX(#REF!,MATCH($B44,#REF!,0)),0)</f>
        <v>0</v>
      </c>
      <c r="E44" s="73">
        <f t="shared" si="5"/>
        <v>0</v>
      </c>
      <c r="F44" s="192">
        <f>IFERROR(INDEX(#REF!,MATCH($B44,#REF!,0)),0)</f>
        <v>0</v>
      </c>
      <c r="G44" s="73">
        <f t="shared" si="3"/>
        <v>0</v>
      </c>
      <c r="H44" s="471">
        <f t="shared" si="1"/>
        <v>0</v>
      </c>
      <c r="I44" s="192">
        <v>2</v>
      </c>
      <c r="J44" s="192">
        <v>0</v>
      </c>
      <c r="K44" s="800">
        <f t="shared" si="4"/>
        <v>-2</v>
      </c>
      <c r="L44" s="994"/>
      <c r="M44" s="1073"/>
      <c r="N44" s="1073"/>
    </row>
    <row r="45" spans="1:14" ht="14.25" customHeight="1">
      <c r="A45" s="892">
        <f t="shared" si="2"/>
        <v>1.3500000000000003</v>
      </c>
      <c r="B45" s="264" t="s">
        <v>1361</v>
      </c>
      <c r="C45" s="192">
        <f>IFERROR(INDEX(#REF!,MATCH($B45,#REF!,0)),0)</f>
        <v>0</v>
      </c>
      <c r="D45" s="192">
        <f>IFERROR(INDEX(#REF!,MATCH($B45,#REF!,0)),0)</f>
        <v>0</v>
      </c>
      <c r="E45" s="73">
        <f t="shared" ref="E45:E51" si="6">+C45+D45</f>
        <v>0</v>
      </c>
      <c r="F45" s="192">
        <f>IFERROR(INDEX(#REF!,MATCH($B45,#REF!,0)),0)</f>
        <v>0</v>
      </c>
      <c r="G45" s="73">
        <f t="shared" si="3"/>
        <v>0</v>
      </c>
      <c r="H45" s="471">
        <f t="shared" si="1"/>
        <v>0</v>
      </c>
      <c r="I45" s="192">
        <v>0.45</v>
      </c>
      <c r="J45" s="192">
        <v>0</v>
      </c>
      <c r="K45" s="800">
        <f t="shared" si="4"/>
        <v>-0.45</v>
      </c>
      <c r="L45" s="994"/>
      <c r="M45" s="1073"/>
      <c r="N45" s="1073"/>
    </row>
    <row r="46" spans="1:14" ht="14.25" customHeight="1">
      <c r="A46" s="892">
        <f t="shared" si="2"/>
        <v>1.3600000000000003</v>
      </c>
      <c r="B46" s="264" t="s">
        <v>1362</v>
      </c>
      <c r="C46" s="192">
        <f>IFERROR(INDEX(#REF!,MATCH($B46,#REF!,0)),0)</f>
        <v>0</v>
      </c>
      <c r="D46" s="192">
        <f>IFERROR(INDEX(#REF!,MATCH($B46,#REF!,0)),0)</f>
        <v>0</v>
      </c>
      <c r="E46" s="73">
        <f t="shared" si="6"/>
        <v>0</v>
      </c>
      <c r="F46" s="192">
        <f>IFERROR(INDEX(#REF!,MATCH($B46,#REF!,0)),0)</f>
        <v>0</v>
      </c>
      <c r="G46" s="73">
        <f t="shared" si="3"/>
        <v>0</v>
      </c>
      <c r="H46" s="471">
        <f t="shared" si="1"/>
        <v>0</v>
      </c>
      <c r="I46" s="192">
        <v>9141.15</v>
      </c>
      <c r="J46" s="192">
        <v>0</v>
      </c>
      <c r="K46" s="800">
        <f t="shared" si="4"/>
        <v>-9141.15</v>
      </c>
      <c r="L46" s="994"/>
      <c r="M46" s="1073"/>
      <c r="N46" s="1073"/>
    </row>
    <row r="47" spans="1:14" ht="14.25" customHeight="1">
      <c r="A47" s="892">
        <f t="shared" si="2"/>
        <v>1.3700000000000003</v>
      </c>
      <c r="B47" s="264" t="s">
        <v>1363</v>
      </c>
      <c r="C47" s="192">
        <f>IFERROR(INDEX(#REF!,MATCH($B47,#REF!,0)),0)</f>
        <v>0</v>
      </c>
      <c r="D47" s="192">
        <f>IFERROR(INDEX(#REF!,MATCH($B47,#REF!,0)),0)</f>
        <v>0</v>
      </c>
      <c r="E47" s="73">
        <f t="shared" si="6"/>
        <v>0</v>
      </c>
      <c r="F47" s="192">
        <f>IFERROR(INDEX(#REF!,MATCH($B47,#REF!,0)),0)</f>
        <v>0</v>
      </c>
      <c r="G47" s="800">
        <f t="shared" si="3"/>
        <v>0</v>
      </c>
      <c r="H47" s="471">
        <f t="shared" si="1"/>
        <v>0</v>
      </c>
      <c r="I47" s="192">
        <v>3294.3</v>
      </c>
      <c r="J47" s="192">
        <v>0</v>
      </c>
      <c r="K47" s="800">
        <f t="shared" si="4"/>
        <v>-3294.3</v>
      </c>
      <c r="L47" s="994"/>
      <c r="M47" s="1073"/>
      <c r="N47" s="1073"/>
    </row>
    <row r="48" spans="1:14" ht="14.25" customHeight="1">
      <c r="A48" s="892">
        <f t="shared" si="2"/>
        <v>1.3800000000000003</v>
      </c>
      <c r="B48" s="264" t="s">
        <v>1364</v>
      </c>
      <c r="C48" s="192">
        <f>IFERROR(INDEX(#REF!,MATCH($B48,#REF!,0)),0)</f>
        <v>0</v>
      </c>
      <c r="D48" s="192">
        <f>IFERROR(INDEX(#REF!,MATCH($B48,#REF!,0)),0)</f>
        <v>0</v>
      </c>
      <c r="E48" s="73">
        <f t="shared" si="6"/>
        <v>0</v>
      </c>
      <c r="F48" s="192">
        <f>IFERROR(INDEX(#REF!,MATCH($B48,#REF!,0)),0)</f>
        <v>0</v>
      </c>
      <c r="G48" s="800">
        <f t="shared" si="3"/>
        <v>0</v>
      </c>
      <c r="H48" s="471">
        <f t="shared" si="1"/>
        <v>0</v>
      </c>
      <c r="I48" s="192">
        <v>226.6</v>
      </c>
      <c r="J48" s="192">
        <v>0</v>
      </c>
      <c r="K48" s="800">
        <f t="shared" si="4"/>
        <v>-226.6</v>
      </c>
      <c r="L48" s="994"/>
      <c r="M48" s="1073"/>
      <c r="N48" s="1073"/>
    </row>
    <row r="49" spans="1:14">
      <c r="A49" s="892">
        <f t="shared" si="2"/>
        <v>1.3900000000000003</v>
      </c>
      <c r="B49" s="264" t="s">
        <v>1365</v>
      </c>
      <c r="C49" s="192">
        <f>IFERROR(INDEX(#REF!,MATCH($B49,#REF!,0)),0)</f>
        <v>0</v>
      </c>
      <c r="D49" s="192">
        <f>IFERROR(INDEX(#REF!,MATCH($B49,#REF!,0)),0)</f>
        <v>0</v>
      </c>
      <c r="E49" s="73">
        <f t="shared" si="6"/>
        <v>0</v>
      </c>
      <c r="F49" s="192">
        <f>IFERROR(INDEX(#REF!,MATCH($B49,#REF!,0)),0)</f>
        <v>0</v>
      </c>
      <c r="G49" s="73">
        <f t="shared" si="3"/>
        <v>0</v>
      </c>
      <c r="H49" s="471">
        <f t="shared" si="1"/>
        <v>0</v>
      </c>
      <c r="I49" s="192">
        <v>715.55</v>
      </c>
      <c r="J49" s="192">
        <v>0</v>
      </c>
      <c r="K49" s="800">
        <f t="shared" si="4"/>
        <v>-715.55</v>
      </c>
      <c r="L49" s="994"/>
      <c r="N49" s="1073"/>
    </row>
    <row r="50" spans="1:14">
      <c r="A50" s="892">
        <f t="shared" si="2"/>
        <v>1.4000000000000004</v>
      </c>
      <c r="B50" s="264" t="s">
        <v>1366</v>
      </c>
      <c r="C50" s="192">
        <f>IFERROR(INDEX(#REF!,MATCH($B50,#REF!,0)),0)</f>
        <v>0</v>
      </c>
      <c r="D50" s="192">
        <f>IFERROR(INDEX(#REF!,MATCH($B50,#REF!,0)),0)</f>
        <v>0</v>
      </c>
      <c r="E50" s="73">
        <f t="shared" si="6"/>
        <v>0</v>
      </c>
      <c r="F50" s="192">
        <f>IFERROR(INDEX(#REF!,MATCH($B50,#REF!,0)),0)</f>
        <v>0</v>
      </c>
      <c r="G50" s="73">
        <f t="shared" si="3"/>
        <v>0</v>
      </c>
      <c r="H50" s="471">
        <f t="shared" si="1"/>
        <v>0</v>
      </c>
      <c r="I50" s="192">
        <v>17.75</v>
      </c>
      <c r="J50" s="192">
        <v>0</v>
      </c>
      <c r="K50" s="800">
        <f t="shared" si="4"/>
        <v>-17.75</v>
      </c>
      <c r="N50" s="1073"/>
    </row>
    <row r="51" spans="1:14">
      <c r="A51" s="892">
        <f t="shared" si="2"/>
        <v>1.4100000000000004</v>
      </c>
      <c r="B51" s="264" t="s">
        <v>1367</v>
      </c>
      <c r="C51" s="192">
        <f>IFERROR(INDEX(#REF!,MATCH($B51,#REF!,0)),0)</f>
        <v>0</v>
      </c>
      <c r="D51" s="192">
        <f>IFERROR(INDEX(#REF!,MATCH($B51,#REF!,0)),0)</f>
        <v>0</v>
      </c>
      <c r="E51" s="73">
        <f t="shared" si="6"/>
        <v>0</v>
      </c>
      <c r="F51" s="192">
        <f>IFERROR(INDEX(#REF!,MATCH($B51,#REF!,0)),0)</f>
        <v>0</v>
      </c>
      <c r="G51" s="73">
        <f>-E51-F51</f>
        <v>0</v>
      </c>
      <c r="H51" s="471">
        <f>G51*IF($E51=0,0,+ABS($D51)/(ABS($C51)+ABS($D51)))</f>
        <v>0</v>
      </c>
      <c r="I51" s="192">
        <v>2.0499999999999998</v>
      </c>
      <c r="J51" s="192">
        <v>0</v>
      </c>
      <c r="K51" s="800">
        <f t="shared" si="4"/>
        <v>-2.0499999999999998</v>
      </c>
      <c r="N51" s="1073"/>
    </row>
    <row r="52" spans="1:14">
      <c r="A52" s="1232">
        <f t="shared" si="2"/>
        <v>1.4200000000000004</v>
      </c>
      <c r="B52" s="1197" t="s">
        <v>913</v>
      </c>
      <c r="C52" s="192">
        <f>IFERROR(INDEX(#REF!,MATCH($B52,#REF!,0)),0)</f>
        <v>0</v>
      </c>
      <c r="D52" s="192">
        <f>IFERROR(INDEX(#REF!,MATCH($B52,#REF!,0)),0)</f>
        <v>0</v>
      </c>
      <c r="E52" s="192">
        <f>+C52+D52</f>
        <v>0</v>
      </c>
      <c r="F52" s="192">
        <f>IFERROR(INDEX(#REF!,MATCH($B52,#REF!,0)),0)</f>
        <v>0</v>
      </c>
      <c r="G52" s="192">
        <f>-E52-F52</f>
        <v>0</v>
      </c>
      <c r="H52" s="1233">
        <f>G52*IF($E52=0,0,+ABS($D52)/(ABS($C52)+ABS($D52)))</f>
        <v>0</v>
      </c>
      <c r="I52" s="192">
        <v>0</v>
      </c>
      <c r="J52" s="192">
        <v>0</v>
      </c>
      <c r="K52" s="1231">
        <f>+G52-I52-J52</f>
        <v>0</v>
      </c>
      <c r="N52" s="1073"/>
    </row>
    <row r="53" spans="1:14">
      <c r="A53" s="1232" t="s">
        <v>904</v>
      </c>
      <c r="B53" s="1197" t="s">
        <v>913</v>
      </c>
      <c r="C53" s="192">
        <f>IFERROR(INDEX(#REF!,MATCH($B53,#REF!,0)),0)</f>
        <v>0</v>
      </c>
      <c r="D53" s="192">
        <f>IFERROR(INDEX(#REF!,MATCH($B53,#REF!,0)),0)</f>
        <v>0</v>
      </c>
      <c r="E53" s="192">
        <f>+C53+D53</f>
        <v>0</v>
      </c>
      <c r="F53" s="192">
        <f>IFERROR(INDEX(#REF!,MATCH($B53,#REF!,0)),0)</f>
        <v>0</v>
      </c>
      <c r="G53" s="192">
        <f>-E53-F53</f>
        <v>0</v>
      </c>
      <c r="H53" s="1233">
        <f>G53*IF($E53=0,0,+ABS($D53)/(ABS($C53)+ABS($D53)))</f>
        <v>0</v>
      </c>
      <c r="I53" s="192">
        <v>0</v>
      </c>
      <c r="J53" s="192">
        <v>0</v>
      </c>
      <c r="K53" s="1231">
        <f>+G53-I53-J53</f>
        <v>0</v>
      </c>
      <c r="N53" s="1073"/>
    </row>
    <row r="54" spans="1:14">
      <c r="A54" s="1232" t="s">
        <v>908</v>
      </c>
      <c r="B54" s="1197" t="s">
        <v>913</v>
      </c>
      <c r="C54" s="192">
        <f>IFERROR(INDEX(#REF!,MATCH($B54,#REF!,0)),0)</f>
        <v>0</v>
      </c>
      <c r="D54" s="192">
        <f>IFERROR(INDEX(#REF!,MATCH($B54,#REF!,0)),0)</f>
        <v>0</v>
      </c>
      <c r="E54" s="192">
        <f>+C54+D54</f>
        <v>0</v>
      </c>
      <c r="F54" s="192">
        <f>IFERROR(INDEX(#REF!,MATCH($B54,#REF!,0)),0)</f>
        <v>0</v>
      </c>
      <c r="G54" s="192">
        <f>-E54-F54</f>
        <v>0</v>
      </c>
      <c r="H54" s="1233">
        <f>G54*IF($E54=0,0,+ABS($D54)/(ABS($C54)+ABS($D54)))</f>
        <v>0</v>
      </c>
      <c r="I54" s="192">
        <v>0</v>
      </c>
      <c r="J54" s="192">
        <v>0</v>
      </c>
      <c r="K54" s="1231">
        <f>+G54-I54-J54</f>
        <v>0</v>
      </c>
      <c r="N54" s="1073"/>
    </row>
    <row r="55" spans="1:14" ht="13.8" thickBot="1">
      <c r="A55" s="891">
        <f>+A10+1</f>
        <v>2</v>
      </c>
      <c r="B55" s="784" t="str">
        <f>+"Total  Sum (Ln "&amp;A10&amp;" Subparts"&amp;")"</f>
        <v>Total  Sum (Ln 1 Subparts)</v>
      </c>
      <c r="C55" s="801">
        <f t="shared" ref="C55:K55" si="7">SUM(C11:C54)</f>
        <v>0</v>
      </c>
      <c r="D55" s="801">
        <f t="shared" si="7"/>
        <v>0</v>
      </c>
      <c r="E55" s="801">
        <f t="shared" si="7"/>
        <v>0</v>
      </c>
      <c r="F55" s="801">
        <f t="shared" si="7"/>
        <v>0</v>
      </c>
      <c r="G55" s="801">
        <f t="shared" si="7"/>
        <v>0</v>
      </c>
      <c r="H55" s="801">
        <f t="shared" si="7"/>
        <v>0</v>
      </c>
      <c r="I55" s="801">
        <f t="shared" si="7"/>
        <v>121164.30000000002</v>
      </c>
      <c r="J55" s="801">
        <f t="shared" si="7"/>
        <v>0</v>
      </c>
      <c r="K55" s="801">
        <f t="shared" si="7"/>
        <v>-121164.30000000002</v>
      </c>
    </row>
    <row r="56" spans="1:14" ht="13.8" thickTop="1">
      <c r="A56" s="891">
        <f t="shared" ref="A56:A77" si="8">+A55+1</f>
        <v>3</v>
      </c>
      <c r="B56" s="784"/>
      <c r="C56" s="802"/>
      <c r="D56" s="802"/>
      <c r="E56" s="802"/>
      <c r="F56" s="802"/>
      <c r="G56" s="802"/>
      <c r="H56" s="802"/>
      <c r="I56" s="802"/>
      <c r="J56" s="802"/>
      <c r="K56" s="802"/>
      <c r="L56" s="815"/>
    </row>
    <row r="57" spans="1:14">
      <c r="A57" s="891">
        <f t="shared" si="8"/>
        <v>4</v>
      </c>
      <c r="B57" s="784" t="s">
        <v>566</v>
      </c>
      <c r="C57" s="784"/>
      <c r="D57" s="784"/>
      <c r="E57" s="785"/>
      <c r="F57" s="785"/>
      <c r="G57" s="785"/>
      <c r="I57" s="785"/>
      <c r="J57" s="785"/>
      <c r="K57" s="785"/>
      <c r="L57" s="815"/>
    </row>
    <row r="58" spans="1:14">
      <c r="A58" s="891">
        <f t="shared" si="8"/>
        <v>5</v>
      </c>
      <c r="B58" s="786" t="s">
        <v>663</v>
      </c>
      <c r="C58" s="800">
        <f>+SUM(C24:C27)</f>
        <v>0</v>
      </c>
      <c r="D58" s="800">
        <f t="shared" ref="D58:K58" si="9">+SUM(D24:D27)</f>
        <v>0</v>
      </c>
      <c r="E58" s="800">
        <f t="shared" si="9"/>
        <v>0</v>
      </c>
      <c r="F58" s="800">
        <f t="shared" si="9"/>
        <v>0</v>
      </c>
      <c r="G58" s="800">
        <f t="shared" si="9"/>
        <v>0</v>
      </c>
      <c r="H58" s="800">
        <f t="shared" si="9"/>
        <v>0</v>
      </c>
      <c r="I58" s="800">
        <f t="shared" si="9"/>
        <v>487.1</v>
      </c>
      <c r="J58" s="800">
        <f t="shared" si="9"/>
        <v>0</v>
      </c>
      <c r="K58" s="800">
        <f t="shared" si="9"/>
        <v>-487.1</v>
      </c>
      <c r="L58" s="815"/>
    </row>
    <row r="59" spans="1:14" ht="15">
      <c r="A59" s="891">
        <f t="shared" si="8"/>
        <v>6</v>
      </c>
      <c r="B59" s="786" t="s">
        <v>509</v>
      </c>
      <c r="C59" s="634">
        <f>+C28</f>
        <v>0</v>
      </c>
      <c r="D59" s="634">
        <f t="shared" ref="D59:K59" si="10">+D28</f>
        <v>0</v>
      </c>
      <c r="E59" s="634">
        <f t="shared" si="10"/>
        <v>0</v>
      </c>
      <c r="F59" s="634">
        <f t="shared" si="10"/>
        <v>0</v>
      </c>
      <c r="G59" s="634">
        <f t="shared" si="10"/>
        <v>0</v>
      </c>
      <c r="H59" s="634">
        <f t="shared" si="10"/>
        <v>0</v>
      </c>
      <c r="I59" s="634">
        <f t="shared" si="10"/>
        <v>15.6</v>
      </c>
      <c r="J59" s="634">
        <f t="shared" si="10"/>
        <v>0</v>
      </c>
      <c r="K59" s="634">
        <f t="shared" si="10"/>
        <v>-15.6</v>
      </c>
      <c r="L59" s="815"/>
    </row>
    <row r="60" spans="1:14">
      <c r="A60" s="891">
        <f t="shared" si="8"/>
        <v>7</v>
      </c>
      <c r="B60" s="961" t="str">
        <f>+"Total Lines "&amp;A58&amp;" + "&amp;A59</f>
        <v>Total Lines 5 + 6</v>
      </c>
      <c r="C60" s="800">
        <f>SUM(C58:C59)</f>
        <v>0</v>
      </c>
      <c r="D60" s="800">
        <f t="shared" ref="D60:K60" si="11">SUM(D58:D59)</f>
        <v>0</v>
      </c>
      <c r="E60" s="800">
        <f t="shared" si="11"/>
        <v>0</v>
      </c>
      <c r="F60" s="800">
        <f t="shared" si="11"/>
        <v>0</v>
      </c>
      <c r="G60" s="800">
        <f t="shared" si="11"/>
        <v>0</v>
      </c>
      <c r="H60" s="800">
        <f t="shared" si="11"/>
        <v>0</v>
      </c>
      <c r="I60" s="800">
        <f t="shared" si="11"/>
        <v>502.70000000000005</v>
      </c>
      <c r="J60" s="800">
        <f t="shared" si="11"/>
        <v>0</v>
      </c>
      <c r="K60" s="800">
        <f t="shared" si="11"/>
        <v>-502.70000000000005</v>
      </c>
      <c r="L60" s="815"/>
    </row>
    <row r="61" spans="1:14" ht="15">
      <c r="A61" s="891">
        <f t="shared" si="8"/>
        <v>8</v>
      </c>
      <c r="B61" s="1070" t="s">
        <v>808</v>
      </c>
      <c r="C61" s="634">
        <f>+SUM(C23:C35)-SUM(C24:C28)</f>
        <v>0</v>
      </c>
      <c r="D61" s="634">
        <f t="shared" ref="D61:K61" si="12">+SUM(D23:D35)-SUM(D24:D28)</f>
        <v>0</v>
      </c>
      <c r="E61" s="634">
        <f t="shared" si="12"/>
        <v>0</v>
      </c>
      <c r="F61" s="634">
        <f t="shared" si="12"/>
        <v>0</v>
      </c>
      <c r="G61" s="634">
        <f t="shared" si="12"/>
        <v>0</v>
      </c>
      <c r="H61" s="634">
        <f t="shared" si="12"/>
        <v>0</v>
      </c>
      <c r="I61" s="634">
        <f t="shared" si="12"/>
        <v>49008.950000000012</v>
      </c>
      <c r="J61" s="634">
        <f t="shared" si="12"/>
        <v>0</v>
      </c>
      <c r="K61" s="634">
        <f t="shared" si="12"/>
        <v>-49008.950000000012</v>
      </c>
    </row>
    <row r="62" spans="1:14">
      <c r="A62" s="891">
        <f t="shared" si="8"/>
        <v>9</v>
      </c>
      <c r="B62" s="784" t="s">
        <v>1152</v>
      </c>
      <c r="C62" s="800">
        <f>+C60+C61</f>
        <v>0</v>
      </c>
      <c r="D62" s="800">
        <f t="shared" ref="D62:K62" si="13">+D60+D61</f>
        <v>0</v>
      </c>
      <c r="E62" s="800">
        <f t="shared" si="13"/>
        <v>0</v>
      </c>
      <c r="F62" s="800">
        <f t="shared" si="13"/>
        <v>0</v>
      </c>
      <c r="G62" s="800">
        <f t="shared" si="13"/>
        <v>0</v>
      </c>
      <c r="H62" s="800">
        <f t="shared" si="13"/>
        <v>0</v>
      </c>
      <c r="I62" s="800">
        <f t="shared" si="13"/>
        <v>49511.650000000009</v>
      </c>
      <c r="J62" s="800">
        <f t="shared" si="13"/>
        <v>0</v>
      </c>
      <c r="K62" s="800">
        <f t="shared" si="13"/>
        <v>-49511.650000000009</v>
      </c>
    </row>
    <row r="63" spans="1:14">
      <c r="A63" s="891">
        <f t="shared" si="8"/>
        <v>10</v>
      </c>
      <c r="B63" s="784"/>
      <c r="C63" s="800"/>
      <c r="D63" s="800"/>
      <c r="E63" s="800"/>
      <c r="F63" s="800"/>
      <c r="G63" s="800"/>
      <c r="H63" s="800"/>
      <c r="I63" s="800"/>
      <c r="J63" s="800"/>
      <c r="K63" s="800"/>
    </row>
    <row r="64" spans="1:14">
      <c r="A64" s="891">
        <f t="shared" si="8"/>
        <v>11</v>
      </c>
      <c r="B64" s="784" t="s">
        <v>51</v>
      </c>
      <c r="C64" s="800"/>
      <c r="D64" s="800"/>
      <c r="E64" s="800"/>
      <c r="F64" s="800"/>
      <c r="G64" s="800"/>
      <c r="H64" s="800"/>
      <c r="I64" s="800"/>
      <c r="J64" s="800"/>
      <c r="K64" s="800"/>
    </row>
    <row r="65" spans="1:12">
      <c r="A65" s="891">
        <f t="shared" si="8"/>
        <v>12</v>
      </c>
      <c r="B65" s="786" t="s">
        <v>686</v>
      </c>
      <c r="C65" s="787">
        <f>+SUM(C11:C14)</f>
        <v>0</v>
      </c>
      <c r="D65" s="787">
        <f t="shared" ref="D65:K65" si="14">+SUM(D11:D14)</f>
        <v>0</v>
      </c>
      <c r="E65" s="787">
        <f t="shared" si="14"/>
        <v>0</v>
      </c>
      <c r="F65" s="787">
        <f t="shared" si="14"/>
        <v>0</v>
      </c>
      <c r="G65" s="787">
        <f t="shared" si="14"/>
        <v>0</v>
      </c>
      <c r="H65" s="787">
        <f t="shared" si="14"/>
        <v>0</v>
      </c>
      <c r="I65" s="787">
        <f t="shared" si="14"/>
        <v>0</v>
      </c>
      <c r="J65" s="787">
        <f t="shared" si="14"/>
        <v>0</v>
      </c>
      <c r="K65" s="787">
        <f t="shared" si="14"/>
        <v>0</v>
      </c>
    </row>
    <row r="66" spans="1:12">
      <c r="A66" s="891">
        <f t="shared" si="8"/>
        <v>13</v>
      </c>
      <c r="B66" s="786" t="s">
        <v>685</v>
      </c>
      <c r="C66" s="788">
        <f>+C15</f>
        <v>0</v>
      </c>
      <c r="D66" s="788">
        <f t="shared" ref="D66:K66" si="15">+D15</f>
        <v>0</v>
      </c>
      <c r="E66" s="788">
        <f t="shared" si="15"/>
        <v>0</v>
      </c>
      <c r="F66" s="788">
        <f t="shared" si="15"/>
        <v>0</v>
      </c>
      <c r="G66" s="788">
        <f t="shared" si="15"/>
        <v>0</v>
      </c>
      <c r="H66" s="788">
        <f t="shared" si="15"/>
        <v>0</v>
      </c>
      <c r="I66" s="788">
        <f t="shared" si="15"/>
        <v>2090.4499999999998</v>
      </c>
      <c r="J66" s="788">
        <f t="shared" si="15"/>
        <v>0</v>
      </c>
      <c r="K66" s="788">
        <f t="shared" si="15"/>
        <v>-2090.4499999999998</v>
      </c>
    </row>
    <row r="67" spans="1:12">
      <c r="A67" s="891">
        <f t="shared" si="8"/>
        <v>14</v>
      </c>
      <c r="B67" s="786" t="s">
        <v>684</v>
      </c>
      <c r="C67" s="788">
        <f>+C16</f>
        <v>0</v>
      </c>
      <c r="D67" s="788">
        <f t="shared" ref="D67:K67" si="16">+D16</f>
        <v>0</v>
      </c>
      <c r="E67" s="788">
        <f t="shared" si="16"/>
        <v>0</v>
      </c>
      <c r="F67" s="788">
        <f t="shared" si="16"/>
        <v>0</v>
      </c>
      <c r="G67" s="788">
        <f t="shared" si="16"/>
        <v>0</v>
      </c>
      <c r="H67" s="788">
        <f t="shared" si="16"/>
        <v>0</v>
      </c>
      <c r="I67" s="788">
        <f t="shared" si="16"/>
        <v>1172.5</v>
      </c>
      <c r="J67" s="788">
        <f t="shared" si="16"/>
        <v>0</v>
      </c>
      <c r="K67" s="788">
        <f t="shared" si="16"/>
        <v>-1172.5</v>
      </c>
    </row>
    <row r="68" spans="1:12">
      <c r="A68" s="891">
        <f t="shared" si="8"/>
        <v>15</v>
      </c>
      <c r="B68" s="786" t="s">
        <v>678</v>
      </c>
      <c r="C68" s="787">
        <f>+SUM(C17:C22)</f>
        <v>0</v>
      </c>
      <c r="D68" s="787">
        <f t="shared" ref="D68:K68" si="17">+SUM(D17:D22)</f>
        <v>0</v>
      </c>
      <c r="E68" s="787">
        <f t="shared" si="17"/>
        <v>0</v>
      </c>
      <c r="F68" s="787">
        <f t="shared" si="17"/>
        <v>0</v>
      </c>
      <c r="G68" s="787">
        <f t="shared" si="17"/>
        <v>0</v>
      </c>
      <c r="H68" s="787">
        <f t="shared" si="17"/>
        <v>0</v>
      </c>
      <c r="I68" s="787">
        <f t="shared" si="17"/>
        <v>0</v>
      </c>
      <c r="J68" s="787">
        <f t="shared" si="17"/>
        <v>0</v>
      </c>
      <c r="K68" s="787">
        <f t="shared" si="17"/>
        <v>0</v>
      </c>
    </row>
    <row r="69" spans="1:12">
      <c r="A69" s="891">
        <f t="shared" si="8"/>
        <v>16</v>
      </c>
      <c r="B69" s="786" t="s">
        <v>677</v>
      </c>
      <c r="C69" s="787">
        <f>+SUM(C23:C35)</f>
        <v>0</v>
      </c>
      <c r="D69" s="787">
        <f t="shared" ref="D69:K69" si="18">+SUM(D23:D35)</f>
        <v>0</v>
      </c>
      <c r="E69" s="787">
        <f t="shared" si="18"/>
        <v>0</v>
      </c>
      <c r="F69" s="787">
        <f t="shared" si="18"/>
        <v>0</v>
      </c>
      <c r="G69" s="787">
        <f t="shared" si="18"/>
        <v>0</v>
      </c>
      <c r="H69" s="787">
        <f t="shared" si="18"/>
        <v>0</v>
      </c>
      <c r="I69" s="787">
        <f t="shared" si="18"/>
        <v>49511.650000000009</v>
      </c>
      <c r="J69" s="787">
        <f t="shared" si="18"/>
        <v>0</v>
      </c>
      <c r="K69" s="787">
        <f t="shared" si="18"/>
        <v>-49511.650000000009</v>
      </c>
    </row>
    <row r="70" spans="1:12">
      <c r="A70" s="891">
        <f t="shared" si="8"/>
        <v>17</v>
      </c>
      <c r="B70" s="786" t="s">
        <v>679</v>
      </c>
      <c r="C70" s="787">
        <f>+C36</f>
        <v>0</v>
      </c>
      <c r="D70" s="787">
        <f t="shared" ref="D70:K70" si="19">+D36</f>
        <v>0</v>
      </c>
      <c r="E70" s="787">
        <f t="shared" si="19"/>
        <v>0</v>
      </c>
      <c r="F70" s="787">
        <f t="shared" si="19"/>
        <v>0</v>
      </c>
      <c r="G70" s="787">
        <f t="shared" si="19"/>
        <v>0</v>
      </c>
      <c r="H70" s="787">
        <f t="shared" si="19"/>
        <v>0</v>
      </c>
      <c r="I70" s="787">
        <f t="shared" si="19"/>
        <v>12668.6</v>
      </c>
      <c r="J70" s="787">
        <f t="shared" si="19"/>
        <v>0</v>
      </c>
      <c r="K70" s="787">
        <f t="shared" si="19"/>
        <v>-12668.6</v>
      </c>
    </row>
    <row r="71" spans="1:12">
      <c r="A71" s="891">
        <f t="shared" si="8"/>
        <v>18</v>
      </c>
      <c r="B71" s="786" t="s">
        <v>680</v>
      </c>
      <c r="C71" s="787"/>
      <c r="D71" s="787"/>
      <c r="E71" s="787"/>
      <c r="F71" s="787"/>
      <c r="G71" s="787"/>
      <c r="H71" s="787"/>
      <c r="I71" s="787"/>
      <c r="J71" s="787"/>
      <c r="K71" s="787"/>
    </row>
    <row r="72" spans="1:12">
      <c r="A72" s="891">
        <f t="shared" si="8"/>
        <v>19</v>
      </c>
      <c r="B72" s="786" t="s">
        <v>681</v>
      </c>
      <c r="C72" s="787">
        <f>SUM(C37:C38)</f>
        <v>0</v>
      </c>
      <c r="D72" s="787">
        <f t="shared" ref="D72:K72" si="20">SUM(D37:D38)</f>
        <v>0</v>
      </c>
      <c r="E72" s="787">
        <f t="shared" si="20"/>
        <v>0</v>
      </c>
      <c r="F72" s="787">
        <f t="shared" si="20"/>
        <v>0</v>
      </c>
      <c r="G72" s="787">
        <f t="shared" si="20"/>
        <v>0</v>
      </c>
      <c r="H72" s="787">
        <f t="shared" si="20"/>
        <v>0</v>
      </c>
      <c r="I72" s="787">
        <f t="shared" si="20"/>
        <v>0</v>
      </c>
      <c r="J72" s="787">
        <f t="shared" si="20"/>
        <v>0</v>
      </c>
      <c r="K72" s="787">
        <f t="shared" si="20"/>
        <v>0</v>
      </c>
    </row>
    <row r="73" spans="1:12">
      <c r="A73" s="891">
        <f t="shared" si="8"/>
        <v>20</v>
      </c>
      <c r="B73" s="786" t="s">
        <v>682</v>
      </c>
      <c r="C73" s="787">
        <f>+SUM(C39:C40)</f>
        <v>0</v>
      </c>
      <c r="D73" s="787">
        <f t="shared" ref="D73:K73" si="21">+SUM(D39:D40)</f>
        <v>0</v>
      </c>
      <c r="E73" s="787">
        <f t="shared" si="21"/>
        <v>0</v>
      </c>
      <c r="F73" s="787">
        <f t="shared" si="21"/>
        <v>0</v>
      </c>
      <c r="G73" s="787">
        <f t="shared" si="21"/>
        <v>0</v>
      </c>
      <c r="H73" s="787">
        <f t="shared" si="21"/>
        <v>0</v>
      </c>
      <c r="I73" s="787">
        <f t="shared" si="21"/>
        <v>0</v>
      </c>
      <c r="J73" s="787">
        <f t="shared" si="21"/>
        <v>0</v>
      </c>
      <c r="K73" s="787">
        <f t="shared" si="21"/>
        <v>0</v>
      </c>
    </row>
    <row r="74" spans="1:12" s="920" customFormat="1">
      <c r="A74" s="891">
        <f t="shared" si="8"/>
        <v>21</v>
      </c>
      <c r="B74" s="786" t="s">
        <v>683</v>
      </c>
      <c r="C74" s="789">
        <f>SUM(C41:C54)</f>
        <v>0</v>
      </c>
      <c r="D74" s="789">
        <f t="shared" ref="D74:K74" si="22">SUM(D41:D54)</f>
        <v>0</v>
      </c>
      <c r="E74" s="789">
        <f t="shared" si="22"/>
        <v>0</v>
      </c>
      <c r="F74" s="789">
        <f t="shared" si="22"/>
        <v>0</v>
      </c>
      <c r="G74" s="789">
        <f t="shared" si="22"/>
        <v>0</v>
      </c>
      <c r="H74" s="789">
        <f t="shared" si="22"/>
        <v>0</v>
      </c>
      <c r="I74" s="789">
        <f t="shared" si="22"/>
        <v>55721.100000000006</v>
      </c>
      <c r="J74" s="789">
        <f t="shared" si="22"/>
        <v>0</v>
      </c>
      <c r="K74" s="789">
        <f t="shared" si="22"/>
        <v>-55721.100000000006</v>
      </c>
      <c r="L74" s="572"/>
    </row>
    <row r="75" spans="1:12" ht="13.8" thickBot="1">
      <c r="A75" s="863">
        <f>+A74+1</f>
        <v>22</v>
      </c>
      <c r="B75" s="784" t="str">
        <f>+"Total  Sum (Ln "&amp;A65&amp;" to Ln "&amp;A74&amp;")"</f>
        <v>Total  Sum (Ln 12 to Ln 21)</v>
      </c>
      <c r="C75" s="790">
        <f>SUM(C65:C74)</f>
        <v>0</v>
      </c>
      <c r="D75" s="790">
        <f t="shared" ref="D75:K75" si="23">SUM(D65:D74)</f>
        <v>0</v>
      </c>
      <c r="E75" s="790">
        <f t="shared" si="23"/>
        <v>0</v>
      </c>
      <c r="F75" s="790">
        <f t="shared" si="23"/>
        <v>0</v>
      </c>
      <c r="G75" s="790">
        <f t="shared" si="23"/>
        <v>0</v>
      </c>
      <c r="H75" s="790">
        <f t="shared" si="23"/>
        <v>0</v>
      </c>
      <c r="I75" s="790">
        <f t="shared" si="23"/>
        <v>121164.30000000002</v>
      </c>
      <c r="J75" s="790">
        <f t="shared" si="23"/>
        <v>0</v>
      </c>
      <c r="K75" s="790">
        <f t="shared" si="23"/>
        <v>-121164.30000000002</v>
      </c>
    </row>
    <row r="76" spans="1:12" ht="13.8" thickTop="1">
      <c r="A76" s="891">
        <f t="shared" si="8"/>
        <v>23</v>
      </c>
      <c r="B76" s="784"/>
      <c r="C76" s="784"/>
      <c r="D76" s="784"/>
      <c r="E76" s="791"/>
      <c r="F76" s="785"/>
      <c r="G76" s="791"/>
      <c r="I76" s="785"/>
      <c r="J76" s="785"/>
      <c r="K76" s="785"/>
    </row>
    <row r="77" spans="1:12">
      <c r="A77" s="891">
        <f t="shared" si="8"/>
        <v>24</v>
      </c>
      <c r="B77" s="784" t="str">
        <f>+"Payroll O&amp;M Excl A&amp;G  Sum (Ln "&amp;A65&amp;" To Ln "&amp;A73&amp;")"</f>
        <v>Payroll O&amp;M Excl A&amp;G  Sum (Ln 12 To Ln 20)</v>
      </c>
      <c r="C77" s="787"/>
      <c r="D77" s="787"/>
      <c r="E77" s="787"/>
      <c r="F77" s="787"/>
      <c r="G77" s="787"/>
      <c r="H77" s="787">
        <f>+SUM(H65:H73)</f>
        <v>0</v>
      </c>
      <c r="I77" s="787"/>
      <c r="J77" s="787"/>
      <c r="K77" s="787"/>
    </row>
    <row r="78" spans="1:12">
      <c r="A78" s="890"/>
      <c r="B78" s="784"/>
      <c r="C78" s="784"/>
      <c r="D78" s="787"/>
      <c r="E78" s="785"/>
      <c r="F78" s="785"/>
      <c r="G78" s="785"/>
      <c r="I78" s="785"/>
      <c r="J78" s="785"/>
      <c r="K78" s="785"/>
      <c r="L78" s="920"/>
    </row>
    <row r="79" spans="1:12">
      <c r="A79" s="890" t="s">
        <v>661</v>
      </c>
      <c r="B79" s="784"/>
      <c r="C79" s="784"/>
      <c r="D79" s="784"/>
      <c r="E79" s="791"/>
      <c r="F79" s="791"/>
      <c r="G79" s="791"/>
      <c r="I79" s="791"/>
      <c r="J79" s="791"/>
      <c r="K79" s="791"/>
    </row>
    <row r="80" spans="1:12" ht="40.200000000000003" customHeight="1">
      <c r="A80" s="965" t="s">
        <v>170</v>
      </c>
      <c r="B80" s="1792" t="s">
        <v>848</v>
      </c>
      <c r="C80" s="1792"/>
      <c r="D80" s="1792"/>
      <c r="E80" s="1792"/>
      <c r="F80" s="1792"/>
      <c r="G80" s="1792"/>
      <c r="H80" s="1792"/>
      <c r="I80" s="1792"/>
      <c r="J80" s="1792"/>
      <c r="K80" s="1792"/>
    </row>
    <row r="81" spans="1:11">
      <c r="A81" s="964" t="s">
        <v>316</v>
      </c>
      <c r="B81" s="784" t="s">
        <v>662</v>
      </c>
      <c r="C81" s="784"/>
      <c r="D81" s="784"/>
      <c r="E81" s="791"/>
      <c r="F81" s="791"/>
      <c r="G81" s="791"/>
      <c r="I81" s="791"/>
      <c r="J81" s="791"/>
      <c r="K81" s="791"/>
    </row>
    <row r="82" spans="1:11">
      <c r="A82" s="965" t="s">
        <v>317</v>
      </c>
      <c r="B82" s="1697" t="s">
        <v>804</v>
      </c>
      <c r="C82" s="1697"/>
      <c r="D82" s="1697"/>
      <c r="E82" s="1697"/>
      <c r="F82" s="1697"/>
      <c r="G82" s="1697"/>
      <c r="H82" s="1697"/>
      <c r="I82" s="1697"/>
      <c r="J82" s="1697"/>
      <c r="K82" s="1697"/>
    </row>
    <row r="83" spans="1:11">
      <c r="A83" s="1069" t="s">
        <v>318</v>
      </c>
      <c r="B83" s="1793" t="s">
        <v>845</v>
      </c>
      <c r="C83" s="1793"/>
      <c r="D83" s="1793"/>
      <c r="E83" s="1793"/>
      <c r="F83" s="1793"/>
      <c r="G83" s="1793"/>
      <c r="H83" s="1793"/>
      <c r="I83" s="1793"/>
      <c r="J83" s="1793"/>
      <c r="K83" s="1793"/>
    </row>
    <row r="84" spans="1:11">
      <c r="A84" s="1068"/>
      <c r="B84" s="784"/>
      <c r="C84" s="784"/>
      <c r="D84" s="784"/>
      <c r="E84" s="784"/>
      <c r="F84" s="784"/>
      <c r="G84" s="784"/>
      <c r="I84" s="784"/>
      <c r="J84" s="784"/>
      <c r="K84" s="784"/>
    </row>
    <row r="85" spans="1:11">
      <c r="B85" s="784"/>
      <c r="C85" s="784"/>
      <c r="D85" s="784"/>
      <c r="E85" s="784"/>
      <c r="F85" s="784"/>
      <c r="G85" s="784"/>
      <c r="I85" s="784"/>
      <c r="J85" s="784"/>
      <c r="K85" s="784"/>
    </row>
  </sheetData>
  <mergeCells count="10">
    <mergeCell ref="B80:K80"/>
    <mergeCell ref="B82:K82"/>
    <mergeCell ref="B83:K83"/>
    <mergeCell ref="A1:K1"/>
    <mergeCell ref="A2:K2"/>
    <mergeCell ref="I9:J9"/>
    <mergeCell ref="C9:E9"/>
    <mergeCell ref="G9:H9"/>
    <mergeCell ref="A3:K3"/>
    <mergeCell ref="A5:K5"/>
  </mergeCells>
  <phoneticPr fontId="88" type="noConversion"/>
  <printOptions horizontalCentered="1"/>
  <pageMargins left="0.5" right="0.5" top="0.5" bottom="0.5" header="0.3" footer="0.5"/>
  <pageSetup scale="65" orientation="portrait" r:id="rId1"/>
  <headerFooter>
    <oddFooter>&amp;R&amp;12&amp;A</oddFooter>
  </headerFooter>
  <ignoredErrors>
    <ignoredError sqref="C31:C34" formula="1"/>
    <ignoredError sqref="I58:J74" formulaRange="1"/>
    <ignoredError sqref="A80:A83" numberStoredAsText="1"/>
  </ignoredError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27"/>
  <dimension ref="A1:N72"/>
  <sheetViews>
    <sheetView zoomScale="90" zoomScaleNormal="90" workbookViewId="0">
      <selection activeCell="A9" sqref="A9"/>
    </sheetView>
  </sheetViews>
  <sheetFormatPr defaultColWidth="8.88671875" defaultRowHeight="13.2"/>
  <cols>
    <col min="1" max="1" width="5.33203125" style="584" customWidth="1"/>
    <col min="2" max="2" width="44.6640625" style="155" customWidth="1"/>
    <col min="3" max="3" width="14.5546875" style="155" customWidth="1"/>
    <col min="4" max="4" width="18.44140625" style="155" customWidth="1"/>
    <col min="5" max="5" width="13.109375" style="155" bestFit="1" customWidth="1"/>
    <col min="6" max="6" width="15.6640625" style="155" bestFit="1" customWidth="1"/>
    <col min="7" max="8" width="8.88671875" style="155"/>
    <col min="9" max="9" width="10.88671875" style="155" bestFit="1" customWidth="1"/>
    <col min="10" max="16384" width="8.88671875" style="155"/>
  </cols>
  <sheetData>
    <row r="1" spans="1:14">
      <c r="A1" s="1749" t="str">
        <f>'MISO Cover'!C6</f>
        <v>Entergy Texas, Inc.</v>
      </c>
      <c r="B1" s="1749"/>
      <c r="C1" s="1749"/>
      <c r="D1" s="1749"/>
      <c r="E1" s="1749"/>
      <c r="F1" s="1749"/>
      <c r="G1" s="792"/>
      <c r="I1" s="1854"/>
    </row>
    <row r="2" spans="1:14">
      <c r="A2" s="1738" t="s">
        <v>846</v>
      </c>
      <c r="B2" s="1738"/>
      <c r="C2" s="1738"/>
      <c r="D2" s="1738"/>
      <c r="E2" s="1738"/>
      <c r="F2" s="1738"/>
      <c r="G2" s="914"/>
    </row>
    <row r="3" spans="1:14">
      <c r="A3" s="1749" t="str">
        <f>'MISO Cover'!K4</f>
        <v>For  the 12 Months Ended 12/31/2016</v>
      </c>
      <c r="B3" s="1749"/>
      <c r="C3" s="1749"/>
      <c r="D3" s="1749"/>
      <c r="E3" s="1749"/>
      <c r="F3" s="1749"/>
      <c r="G3" s="794"/>
    </row>
    <row r="4" spans="1:14">
      <c r="A4" s="574"/>
      <c r="B4" s="574"/>
      <c r="C4" s="574"/>
      <c r="D4" s="574"/>
      <c r="E4" s="574"/>
      <c r="F4" s="574"/>
      <c r="G4" s="574"/>
    </row>
    <row r="5" spans="1:14">
      <c r="A5" s="983"/>
      <c r="B5" s="795"/>
      <c r="C5" s="724"/>
      <c r="D5" s="1186"/>
      <c r="E5" s="1186"/>
      <c r="F5" s="1186" t="s">
        <v>664</v>
      </c>
    </row>
    <row r="6" spans="1:14">
      <c r="A6" s="573" t="s">
        <v>277</v>
      </c>
      <c r="B6" s="984" t="s">
        <v>67</v>
      </c>
      <c r="C6" s="157"/>
      <c r="D6" s="984" t="s">
        <v>114</v>
      </c>
      <c r="E6" s="984" t="s">
        <v>55</v>
      </c>
      <c r="F6" s="1235" t="s">
        <v>68</v>
      </c>
    </row>
    <row r="7" spans="1:14">
      <c r="A7" s="863">
        <v>1</v>
      </c>
      <c r="B7" s="1418" t="s">
        <v>173</v>
      </c>
      <c r="C7" s="1424"/>
      <c r="D7" s="1418" t="s">
        <v>899</v>
      </c>
      <c r="E7" s="1418" t="s">
        <v>479</v>
      </c>
      <c r="F7" s="1418" t="s">
        <v>518</v>
      </c>
      <c r="H7" s="156"/>
      <c r="I7" s="156"/>
    </row>
    <row r="8" spans="1:14">
      <c r="A8" s="892">
        <f>A7+0.01</f>
        <v>1.01</v>
      </c>
      <c r="B8" s="1189" t="s">
        <v>825</v>
      </c>
      <c r="C8" s="576"/>
      <c r="D8" s="1236">
        <v>0</v>
      </c>
      <c r="E8" s="1236">
        <v>0</v>
      </c>
      <c r="F8" s="577">
        <f>SUM(D8:E8)</f>
        <v>0</v>
      </c>
      <c r="G8" s="157"/>
      <c r="H8" s="156"/>
      <c r="I8" s="156"/>
      <c r="J8" s="1186"/>
    </row>
    <row r="9" spans="1:14" s="157" customFormat="1">
      <c r="A9" s="892">
        <f t="shared" ref="A9:A40" si="0">A8+0.01</f>
        <v>1.02</v>
      </c>
      <c r="B9" s="1189" t="s">
        <v>826</v>
      </c>
      <c r="C9" s="576"/>
      <c r="D9" s="1236">
        <v>0</v>
      </c>
      <c r="E9" s="1236">
        <v>0</v>
      </c>
      <c r="F9" s="577">
        <f t="shared" ref="F9:F40" si="1">SUM(D9:E9)</f>
        <v>0</v>
      </c>
      <c r="G9" s="576"/>
      <c r="H9" s="156"/>
      <c r="I9" s="156" t="s">
        <v>1516</v>
      </c>
      <c r="J9" s="156"/>
      <c r="K9" s="1186"/>
      <c r="L9" s="1186"/>
      <c r="M9" s="1186"/>
      <c r="N9" s="1186"/>
    </row>
    <row r="10" spans="1:14" s="156" customFormat="1">
      <c r="A10" s="892">
        <f t="shared" si="0"/>
        <v>1.03</v>
      </c>
      <c r="B10" s="1491" t="s">
        <v>1331</v>
      </c>
      <c r="C10" s="576"/>
      <c r="D10" s="1236">
        <f>IFERROR(INDEX(#REF!,MATCH($B10,#REF!,0)),0)</f>
        <v>0</v>
      </c>
      <c r="E10" s="1236">
        <f>IFERROR(INDEX(#REF!,MATCH($B10,#REF!,0)),0)</f>
        <v>0</v>
      </c>
      <c r="F10" s="577">
        <f t="shared" si="1"/>
        <v>0</v>
      </c>
      <c r="G10" s="576"/>
    </row>
    <row r="11" spans="1:14" s="156" customFormat="1">
      <c r="A11" s="892">
        <f t="shared" si="0"/>
        <v>1.04</v>
      </c>
      <c r="B11" s="1491" t="s">
        <v>1332</v>
      </c>
      <c r="C11" s="576"/>
      <c r="D11" s="1236">
        <f>IFERROR(INDEX(#REF!,MATCH($B11,#REF!,0)),0)</f>
        <v>0</v>
      </c>
      <c r="E11" s="1236">
        <f>IFERROR(INDEX(#REF!,MATCH($B11,#REF!,0)),0)</f>
        <v>0</v>
      </c>
      <c r="F11" s="577">
        <f t="shared" si="1"/>
        <v>0</v>
      </c>
      <c r="G11" s="576"/>
    </row>
    <row r="12" spans="1:14" s="156" customFormat="1">
      <c r="A12" s="892">
        <f t="shared" si="0"/>
        <v>1.05</v>
      </c>
      <c r="B12" s="1491" t="s">
        <v>1333</v>
      </c>
      <c r="C12" s="576"/>
      <c r="D12" s="1236">
        <f>IFERROR(INDEX(#REF!,MATCH($B12,#REF!,0)),0)</f>
        <v>0</v>
      </c>
      <c r="E12" s="1236">
        <f>IFERROR(INDEX(#REF!,MATCH($B12,#REF!,0)),0)</f>
        <v>0</v>
      </c>
      <c r="F12" s="577">
        <f t="shared" si="1"/>
        <v>0</v>
      </c>
      <c r="G12" s="576"/>
    </row>
    <row r="13" spans="1:14" s="156" customFormat="1">
      <c r="A13" s="892">
        <f t="shared" si="0"/>
        <v>1.06</v>
      </c>
      <c r="B13" s="1190" t="s">
        <v>1334</v>
      </c>
      <c r="C13" s="576"/>
      <c r="D13" s="1236">
        <f>IFERROR(INDEX(#REF!,MATCH($B13,#REF!,0)),0)</f>
        <v>0</v>
      </c>
      <c r="E13" s="1236">
        <f>IFERROR(INDEX(#REF!,MATCH($B13,#REF!,0)),0)</f>
        <v>0</v>
      </c>
      <c r="F13" s="577">
        <f t="shared" si="1"/>
        <v>0</v>
      </c>
      <c r="G13" s="576"/>
    </row>
    <row r="14" spans="1:14" s="156" customFormat="1">
      <c r="A14" s="892">
        <f t="shared" si="0"/>
        <v>1.07</v>
      </c>
      <c r="B14" s="1190" t="s">
        <v>1368</v>
      </c>
      <c r="C14" s="576"/>
      <c r="D14" s="1236">
        <f>IFERROR(INDEX(#REF!,MATCH($B14,#REF!,0)),0)</f>
        <v>0</v>
      </c>
      <c r="E14" s="1236">
        <f>IFERROR(INDEX(#REF!,MATCH($B14,#REF!,0)),0)</f>
        <v>0</v>
      </c>
      <c r="F14" s="577">
        <f t="shared" si="1"/>
        <v>0</v>
      </c>
      <c r="G14" s="576"/>
    </row>
    <row r="15" spans="1:14" s="156" customFormat="1">
      <c r="A15" s="892">
        <f t="shared" si="0"/>
        <v>1.08</v>
      </c>
      <c r="B15" s="1190" t="s">
        <v>1369</v>
      </c>
      <c r="C15" s="576"/>
      <c r="D15" s="1236">
        <f>IFERROR(INDEX(#REF!,MATCH($B15,#REF!,0)),0)</f>
        <v>0</v>
      </c>
      <c r="E15" s="1236">
        <f>IFERROR(INDEX(#REF!,MATCH($B15,#REF!,0)),0)</f>
        <v>0</v>
      </c>
      <c r="F15" s="577">
        <f t="shared" si="1"/>
        <v>0</v>
      </c>
      <c r="G15" s="576"/>
    </row>
    <row r="16" spans="1:14" s="156" customFormat="1">
      <c r="A16" s="892">
        <f t="shared" si="0"/>
        <v>1.0900000000000001</v>
      </c>
      <c r="B16" s="1491" t="s">
        <v>1370</v>
      </c>
      <c r="C16" s="576"/>
      <c r="D16" s="1236">
        <f>IFERROR(INDEX(#REF!,MATCH($B16,#REF!,0)),0)</f>
        <v>0</v>
      </c>
      <c r="E16" s="1236">
        <f>IFERROR(INDEX(#REF!,MATCH($B16,#REF!,0)),0)</f>
        <v>0</v>
      </c>
      <c r="F16" s="577">
        <f t="shared" si="1"/>
        <v>0</v>
      </c>
      <c r="G16" s="576"/>
    </row>
    <row r="17" spans="1:7" s="156" customFormat="1">
      <c r="A17" s="892">
        <f t="shared" si="0"/>
        <v>1.1000000000000001</v>
      </c>
      <c r="B17" s="1190" t="s">
        <v>1371</v>
      </c>
      <c r="C17" s="576"/>
      <c r="D17" s="1236">
        <f>IFERROR(INDEX(#REF!,MATCH($B17,#REF!,0)),0)</f>
        <v>0</v>
      </c>
      <c r="E17" s="1236">
        <f>IFERROR(INDEX(#REF!,MATCH($B17,#REF!,0)),0)</f>
        <v>0</v>
      </c>
      <c r="F17" s="577">
        <f t="shared" si="1"/>
        <v>0</v>
      </c>
      <c r="G17" s="576"/>
    </row>
    <row r="18" spans="1:7" s="156" customFormat="1">
      <c r="A18" s="892">
        <f t="shared" si="0"/>
        <v>1.1100000000000001</v>
      </c>
      <c r="B18" s="1190" t="s">
        <v>1372</v>
      </c>
      <c r="C18" s="576"/>
      <c r="D18" s="1236">
        <f>IFERROR(INDEX(#REF!,MATCH($B18,#REF!,0)),0)</f>
        <v>0</v>
      </c>
      <c r="E18" s="1236">
        <f>IFERROR(INDEX(#REF!,MATCH($B18,#REF!,0)),0)</f>
        <v>0</v>
      </c>
      <c r="F18" s="577">
        <f t="shared" si="1"/>
        <v>0</v>
      </c>
      <c r="G18" s="576"/>
    </row>
    <row r="19" spans="1:7" s="156" customFormat="1">
      <c r="A19" s="892">
        <f t="shared" si="0"/>
        <v>1.1200000000000001</v>
      </c>
      <c r="B19" s="1190" t="s">
        <v>1373</v>
      </c>
      <c r="C19" s="576"/>
      <c r="D19" s="1236">
        <f>IFERROR(INDEX(#REF!,MATCH($B19,#REF!,0)),0)</f>
        <v>0</v>
      </c>
      <c r="E19" s="1236">
        <f>IFERROR(INDEX(#REF!,MATCH($B19,#REF!,0)),0)</f>
        <v>0</v>
      </c>
      <c r="F19" s="577">
        <f t="shared" si="1"/>
        <v>0</v>
      </c>
      <c r="G19" s="576"/>
    </row>
    <row r="20" spans="1:7" s="156" customFormat="1">
      <c r="A20" s="892">
        <f t="shared" si="0"/>
        <v>1.1300000000000001</v>
      </c>
      <c r="B20" s="1491" t="s">
        <v>1339</v>
      </c>
      <c r="C20" s="576"/>
      <c r="D20" s="1236">
        <f>IFERROR(INDEX(#REF!,MATCH($B20,#REF!,0)),0)</f>
        <v>0</v>
      </c>
      <c r="E20" s="1236">
        <f>IFERROR(INDEX(#REF!,MATCH($B20,#REF!,0)),0)</f>
        <v>0</v>
      </c>
      <c r="F20" s="577">
        <f t="shared" si="1"/>
        <v>0</v>
      </c>
      <c r="G20" s="576"/>
    </row>
    <row r="21" spans="1:7" s="156" customFormat="1">
      <c r="A21" s="892">
        <f t="shared" si="0"/>
        <v>1.1400000000000001</v>
      </c>
      <c r="B21" s="1190" t="s">
        <v>1344</v>
      </c>
      <c r="C21" s="576"/>
      <c r="D21" s="1236">
        <f>IFERROR(INDEX(#REF!,MATCH($B21,#REF!,0)),0)</f>
        <v>0</v>
      </c>
      <c r="E21" s="1236">
        <f>IFERROR(INDEX(#REF!,MATCH($B21,#REF!,0)),0)</f>
        <v>0</v>
      </c>
      <c r="F21" s="577">
        <f t="shared" si="1"/>
        <v>0</v>
      </c>
      <c r="G21" s="576"/>
    </row>
    <row r="22" spans="1:7" s="156" customFormat="1">
      <c r="A22" s="892">
        <f t="shared" si="0"/>
        <v>1.1500000000000001</v>
      </c>
      <c r="B22" s="1491" t="s">
        <v>1346</v>
      </c>
      <c r="C22" s="576"/>
      <c r="D22" s="1236">
        <f>IFERROR(INDEX(#REF!,MATCH($B22,#REF!,0)),0)</f>
        <v>0</v>
      </c>
      <c r="E22" s="1236">
        <f>IFERROR(INDEX(#REF!,MATCH($B22,#REF!,0)),0)</f>
        <v>0</v>
      </c>
      <c r="F22" s="577">
        <f t="shared" si="1"/>
        <v>0</v>
      </c>
      <c r="G22" s="576"/>
    </row>
    <row r="23" spans="1:7" s="156" customFormat="1">
      <c r="A23" s="892">
        <f t="shared" si="0"/>
        <v>1.1600000000000001</v>
      </c>
      <c r="B23" s="1491" t="s">
        <v>1348</v>
      </c>
      <c r="C23" s="576"/>
      <c r="D23" s="1236">
        <f>IFERROR(INDEX(#REF!,MATCH($B23,#REF!,0)),0)</f>
        <v>0</v>
      </c>
      <c r="E23" s="1236">
        <f>IFERROR(INDEX(#REF!,MATCH($B23,#REF!,0)),0)</f>
        <v>0</v>
      </c>
      <c r="F23" s="577">
        <f t="shared" si="1"/>
        <v>0</v>
      </c>
      <c r="G23" s="576"/>
    </row>
    <row r="24" spans="1:7" s="156" customFormat="1">
      <c r="A24" s="892">
        <f t="shared" si="0"/>
        <v>1.1700000000000002</v>
      </c>
      <c r="B24" s="1190" t="s">
        <v>1349</v>
      </c>
      <c r="C24" s="576"/>
      <c r="D24" s="1236">
        <f>IFERROR(INDEX(#REF!,MATCH($B24,#REF!,0)),0)</f>
        <v>0</v>
      </c>
      <c r="E24" s="1236">
        <f>IFERROR(INDEX(#REF!,MATCH($B24,#REF!,0)),0)</f>
        <v>0</v>
      </c>
      <c r="F24" s="577">
        <f t="shared" si="1"/>
        <v>0</v>
      </c>
      <c r="G24" s="576"/>
    </row>
    <row r="25" spans="1:7" s="156" customFormat="1">
      <c r="A25" s="892">
        <f t="shared" si="0"/>
        <v>1.1800000000000002</v>
      </c>
      <c r="B25" s="1190" t="s">
        <v>1374</v>
      </c>
      <c r="C25" s="576"/>
      <c r="D25" s="1236">
        <f>IFERROR(INDEX(#REF!,MATCH($B25,#REF!,0)),0)</f>
        <v>0</v>
      </c>
      <c r="E25" s="1236">
        <f>IFERROR(INDEX(#REF!,MATCH($B25,#REF!,0)),0)</f>
        <v>0</v>
      </c>
      <c r="F25" s="577">
        <f t="shared" si="1"/>
        <v>0</v>
      </c>
      <c r="G25" s="576"/>
    </row>
    <row r="26" spans="1:7" s="156" customFormat="1">
      <c r="A26" s="892">
        <f t="shared" si="0"/>
        <v>1.1900000000000002</v>
      </c>
      <c r="B26" s="1191" t="s">
        <v>791</v>
      </c>
      <c r="C26" s="576"/>
      <c r="D26" s="1236">
        <v>0</v>
      </c>
      <c r="E26" s="1236">
        <v>0</v>
      </c>
      <c r="F26" s="577">
        <f t="shared" si="1"/>
        <v>0</v>
      </c>
      <c r="G26" s="919"/>
    </row>
    <row r="27" spans="1:7" s="156" customFormat="1">
      <c r="A27" s="892">
        <f t="shared" si="0"/>
        <v>1.2000000000000002</v>
      </c>
      <c r="B27" s="1191" t="s">
        <v>827</v>
      </c>
      <c r="C27" s="576"/>
      <c r="D27" s="1236">
        <v>0</v>
      </c>
      <c r="E27" s="1236">
        <v>0</v>
      </c>
      <c r="F27" s="577">
        <f t="shared" si="1"/>
        <v>0</v>
      </c>
      <c r="G27" s="919"/>
    </row>
    <row r="28" spans="1:7" s="156" customFormat="1">
      <c r="A28" s="892">
        <f t="shared" si="0"/>
        <v>1.2100000000000002</v>
      </c>
      <c r="B28" s="1191" t="s">
        <v>177</v>
      </c>
      <c r="C28" s="576"/>
      <c r="D28" s="1236">
        <v>0</v>
      </c>
      <c r="E28" s="1236">
        <v>0</v>
      </c>
      <c r="F28" s="577">
        <f t="shared" si="1"/>
        <v>0</v>
      </c>
      <c r="G28" s="576"/>
    </row>
    <row r="29" spans="1:7" s="156" customFormat="1">
      <c r="A29" s="892">
        <f t="shared" si="0"/>
        <v>1.2200000000000002</v>
      </c>
      <c r="B29" s="1191" t="s">
        <v>847</v>
      </c>
      <c r="C29" s="576"/>
      <c r="D29" s="1236">
        <v>0</v>
      </c>
      <c r="E29" s="1236">
        <v>0</v>
      </c>
      <c r="F29" s="577">
        <f t="shared" si="1"/>
        <v>0</v>
      </c>
      <c r="G29" s="576"/>
    </row>
    <row r="30" spans="1:7" s="156" customFormat="1">
      <c r="A30" s="892">
        <f t="shared" si="0"/>
        <v>1.2300000000000002</v>
      </c>
      <c r="B30" s="575" t="s">
        <v>178</v>
      </c>
      <c r="C30" s="576"/>
      <c r="D30" s="1236">
        <v>0</v>
      </c>
      <c r="E30" s="1236">
        <v>0</v>
      </c>
      <c r="F30" s="577">
        <f t="shared" si="1"/>
        <v>0</v>
      </c>
      <c r="G30" s="576"/>
    </row>
    <row r="31" spans="1:7" s="156" customFormat="1">
      <c r="A31" s="892">
        <f t="shared" si="0"/>
        <v>1.2400000000000002</v>
      </c>
      <c r="B31" s="575" t="s">
        <v>179</v>
      </c>
      <c r="C31" s="576"/>
      <c r="D31" s="1236">
        <v>0</v>
      </c>
      <c r="E31" s="1236">
        <v>0</v>
      </c>
      <c r="F31" s="577">
        <f t="shared" si="1"/>
        <v>0</v>
      </c>
      <c r="G31" s="576"/>
    </row>
    <row r="32" spans="1:7" s="156" customFormat="1">
      <c r="A32" s="892">
        <f t="shared" si="0"/>
        <v>1.2500000000000002</v>
      </c>
      <c r="B32" s="575" t="s">
        <v>180</v>
      </c>
      <c r="C32" s="576"/>
      <c r="D32" s="1236">
        <v>0</v>
      </c>
      <c r="E32" s="1236">
        <v>0</v>
      </c>
      <c r="F32" s="577">
        <f t="shared" si="1"/>
        <v>0</v>
      </c>
      <c r="G32" s="576"/>
    </row>
    <row r="33" spans="1:14" s="156" customFormat="1">
      <c r="A33" s="892">
        <f t="shared" si="0"/>
        <v>1.2600000000000002</v>
      </c>
      <c r="B33" s="575" t="s">
        <v>181</v>
      </c>
      <c r="C33" s="576"/>
      <c r="D33" s="1236">
        <v>0</v>
      </c>
      <c r="E33" s="1236">
        <v>0</v>
      </c>
      <c r="F33" s="577">
        <f t="shared" si="1"/>
        <v>0</v>
      </c>
      <c r="G33" s="576"/>
    </row>
    <row r="34" spans="1:14" s="156" customFormat="1">
      <c r="A34" s="892">
        <f t="shared" si="0"/>
        <v>1.2700000000000002</v>
      </c>
      <c r="B34" s="575" t="s">
        <v>182</v>
      </c>
      <c r="C34" s="576"/>
      <c r="D34" s="1236">
        <v>0</v>
      </c>
      <c r="E34" s="1236">
        <v>0</v>
      </c>
      <c r="F34" s="577">
        <f t="shared" si="1"/>
        <v>0</v>
      </c>
      <c r="G34" s="576"/>
    </row>
    <row r="35" spans="1:14" s="156" customFormat="1">
      <c r="A35" s="892">
        <f t="shared" si="0"/>
        <v>1.2800000000000002</v>
      </c>
      <c r="B35" s="575" t="s">
        <v>183</v>
      </c>
      <c r="C35" s="576"/>
      <c r="D35" s="1236">
        <v>0</v>
      </c>
      <c r="E35" s="1236">
        <v>0</v>
      </c>
      <c r="F35" s="577">
        <f t="shared" si="1"/>
        <v>0</v>
      </c>
      <c r="G35" s="576"/>
    </row>
    <row r="36" spans="1:14" s="156" customFormat="1">
      <c r="A36" s="892">
        <f t="shared" si="0"/>
        <v>1.2900000000000003</v>
      </c>
      <c r="B36" s="575" t="s">
        <v>184</v>
      </c>
      <c r="C36" s="576"/>
      <c r="D36" s="1236">
        <v>0</v>
      </c>
      <c r="E36" s="1236">
        <v>0</v>
      </c>
      <c r="F36" s="577">
        <f t="shared" si="1"/>
        <v>0</v>
      </c>
      <c r="G36" s="576"/>
    </row>
    <row r="37" spans="1:14" s="156" customFormat="1">
      <c r="A37" s="892">
        <f t="shared" si="0"/>
        <v>1.3000000000000003</v>
      </c>
      <c r="B37" s="575" t="s">
        <v>291</v>
      </c>
      <c r="C37" s="576"/>
      <c r="D37" s="1236">
        <v>0</v>
      </c>
      <c r="E37" s="1236">
        <v>0</v>
      </c>
      <c r="F37" s="577">
        <f t="shared" si="1"/>
        <v>0</v>
      </c>
      <c r="G37" s="576"/>
    </row>
    <row r="38" spans="1:14" s="156" customFormat="1">
      <c r="A38" s="892">
        <f t="shared" si="0"/>
        <v>1.3100000000000003</v>
      </c>
      <c r="B38" s="575" t="s">
        <v>185</v>
      </c>
      <c r="C38" s="576"/>
      <c r="D38" s="1236">
        <v>0</v>
      </c>
      <c r="E38" s="1236">
        <v>0</v>
      </c>
      <c r="F38" s="577">
        <f t="shared" si="1"/>
        <v>0</v>
      </c>
      <c r="G38" s="576"/>
    </row>
    <row r="39" spans="1:14" s="156" customFormat="1">
      <c r="A39" s="892">
        <f t="shared" si="0"/>
        <v>1.3200000000000003</v>
      </c>
      <c r="B39" s="575" t="s">
        <v>292</v>
      </c>
      <c r="C39" s="576"/>
      <c r="D39" s="1236">
        <v>0</v>
      </c>
      <c r="E39" s="1236">
        <v>0</v>
      </c>
      <c r="F39" s="577">
        <f t="shared" si="1"/>
        <v>0</v>
      </c>
      <c r="G39" s="576"/>
    </row>
    <row r="40" spans="1:14" s="156" customFormat="1">
      <c r="A40" s="892">
        <f t="shared" si="0"/>
        <v>1.3300000000000003</v>
      </c>
      <c r="B40" s="575" t="s">
        <v>186</v>
      </c>
      <c r="C40" s="576"/>
      <c r="D40" s="1236">
        <v>0</v>
      </c>
      <c r="E40" s="1236">
        <v>0</v>
      </c>
      <c r="F40" s="577">
        <f t="shared" si="1"/>
        <v>0</v>
      </c>
      <c r="G40" s="576"/>
    </row>
    <row r="41" spans="1:14" s="156" customFormat="1" ht="13.8" thickBot="1">
      <c r="A41" s="863">
        <f>A7+1</f>
        <v>2</v>
      </c>
      <c r="B41" s="605" t="s">
        <v>813</v>
      </c>
      <c r="C41" s="576"/>
      <c r="D41" s="606">
        <f>SUM(D8:D40)</f>
        <v>0</v>
      </c>
      <c r="E41" s="606">
        <f>SUM(E8:E40)</f>
        <v>0</v>
      </c>
      <c r="F41" s="606">
        <f>SUM(F8:F40)</f>
        <v>0</v>
      </c>
      <c r="G41" s="576"/>
    </row>
    <row r="42" spans="1:14" s="156" customFormat="1" ht="13.8" thickTop="1">
      <c r="A42" s="863">
        <f>A41+1</f>
        <v>3</v>
      </c>
      <c r="B42" s="985"/>
      <c r="C42" s="985"/>
      <c r="D42" s="985"/>
      <c r="E42" s="986"/>
      <c r="F42" s="986"/>
      <c r="G42" s="785"/>
      <c r="H42" s="1854"/>
      <c r="I42" s="1854"/>
      <c r="J42" s="1854"/>
    </row>
    <row r="43" spans="1:14" s="572" customFormat="1">
      <c r="A43" s="863">
        <f t="shared" ref="A43:A48" si="2">A42+1</f>
        <v>4</v>
      </c>
      <c r="B43" s="985" t="s">
        <v>566</v>
      </c>
      <c r="C43" s="985"/>
      <c r="D43" s="985"/>
      <c r="E43" s="986"/>
      <c r="F43" s="986"/>
      <c r="G43" s="785"/>
      <c r="H43" s="1854"/>
      <c r="I43" s="1854"/>
      <c r="J43" s="1854"/>
      <c r="K43" s="1854"/>
      <c r="L43" s="1854"/>
      <c r="M43" s="1854"/>
      <c r="N43" s="1854"/>
    </row>
    <row r="44" spans="1:14" s="572" customFormat="1">
      <c r="A44" s="863">
        <f t="shared" si="2"/>
        <v>5</v>
      </c>
      <c r="B44" s="987" t="s">
        <v>663</v>
      </c>
      <c r="C44" s="988"/>
      <c r="D44" s="988"/>
      <c r="E44" s="988"/>
      <c r="F44" s="988"/>
      <c r="G44" s="800"/>
      <c r="H44" s="1854"/>
      <c r="I44" s="1854"/>
      <c r="J44" s="1854"/>
      <c r="K44" s="1854"/>
      <c r="L44" s="1854"/>
      <c r="M44" s="1854"/>
      <c r="N44" s="1854"/>
    </row>
    <row r="45" spans="1:14" s="572" customFormat="1" ht="15">
      <c r="A45" s="863">
        <f t="shared" si="2"/>
        <v>6</v>
      </c>
      <c r="B45" s="987" t="s">
        <v>509</v>
      </c>
      <c r="C45" s="634"/>
      <c r="D45" s="634">
        <f>D21</f>
        <v>0</v>
      </c>
      <c r="E45" s="634">
        <f>E21</f>
        <v>0</v>
      </c>
      <c r="F45" s="634">
        <f>F21</f>
        <v>0</v>
      </c>
      <c r="G45" s="634"/>
      <c r="H45" s="1854"/>
      <c r="I45" s="1854"/>
      <c r="J45" s="1854"/>
      <c r="K45" s="1854"/>
      <c r="L45" s="1854"/>
      <c r="M45" s="1854"/>
      <c r="N45" s="1854"/>
    </row>
    <row r="46" spans="1:14" s="572" customFormat="1">
      <c r="A46" s="863">
        <f t="shared" si="2"/>
        <v>7</v>
      </c>
      <c r="B46" s="989" t="s">
        <v>792</v>
      </c>
      <c r="C46" s="988"/>
      <c r="D46" s="988">
        <f>SUM(D44:D45)</f>
        <v>0</v>
      </c>
      <c r="E46" s="988">
        <f>SUM(E44:E45)</f>
        <v>0</v>
      </c>
      <c r="F46" s="988">
        <f>SUM(F44:F45)</f>
        <v>0</v>
      </c>
      <c r="G46" s="800"/>
      <c r="H46" s="1854"/>
      <c r="I46" s="1854"/>
      <c r="J46" s="1854"/>
      <c r="K46" s="1854"/>
      <c r="L46" s="1854"/>
      <c r="M46" s="1854"/>
      <c r="N46" s="1854"/>
    </row>
    <row r="47" spans="1:14" s="572" customFormat="1" ht="15">
      <c r="A47" s="863">
        <f t="shared" si="2"/>
        <v>8</v>
      </c>
      <c r="B47" s="985" t="s">
        <v>828</v>
      </c>
      <c r="C47" s="634"/>
      <c r="D47" s="634">
        <f>SUM(D20:D25)-D21</f>
        <v>0</v>
      </c>
      <c r="E47" s="634">
        <f>SUM(E20:E25)-E21</f>
        <v>0</v>
      </c>
      <c r="F47" s="634">
        <f>SUM(F20:F25)-F21</f>
        <v>0</v>
      </c>
      <c r="G47" s="815"/>
      <c r="H47" s="1854"/>
      <c r="I47" s="1854"/>
      <c r="J47" s="1854"/>
      <c r="K47" s="1854"/>
      <c r="L47" s="1854"/>
      <c r="M47" s="1854"/>
      <c r="N47" s="1854"/>
    </row>
    <row r="48" spans="1:14" s="572" customFormat="1">
      <c r="A48" s="863">
        <f t="shared" si="2"/>
        <v>9</v>
      </c>
      <c r="B48" s="985" t="s">
        <v>754</v>
      </c>
      <c r="C48" s="988"/>
      <c r="D48" s="988">
        <f>+D46+D47</f>
        <v>0</v>
      </c>
      <c r="E48" s="988">
        <f>+E46+E47</f>
        <v>0</v>
      </c>
      <c r="F48" s="988">
        <f>+F46+F47</f>
        <v>0</v>
      </c>
      <c r="G48" s="800"/>
      <c r="H48" s="1854"/>
      <c r="I48" s="1854"/>
      <c r="J48" s="1854"/>
      <c r="K48" s="1854"/>
      <c r="L48" s="1854"/>
      <c r="M48" s="1854"/>
      <c r="N48" s="1854"/>
    </row>
    <row r="49" spans="1:14" s="572" customFormat="1">
      <c r="A49" s="863">
        <f t="shared" ref="A49:A60" si="3">+A48+1</f>
        <v>10</v>
      </c>
      <c r="B49" s="575"/>
      <c r="C49" s="576"/>
      <c r="D49" s="263"/>
      <c r="E49" s="263"/>
      <c r="F49" s="263"/>
      <c r="G49" s="576"/>
      <c r="H49" s="156"/>
      <c r="I49" s="156"/>
      <c r="J49" s="156"/>
      <c r="K49" s="1854"/>
      <c r="L49" s="1854"/>
      <c r="M49" s="1854"/>
      <c r="N49" s="1854"/>
    </row>
    <row r="50" spans="1:14" s="156" customFormat="1">
      <c r="A50" s="863">
        <f t="shared" si="3"/>
        <v>11</v>
      </c>
      <c r="B50" s="985" t="s">
        <v>51</v>
      </c>
      <c r="C50" s="985"/>
      <c r="D50" s="985"/>
      <c r="E50" s="985"/>
      <c r="F50" s="985"/>
      <c r="G50" s="780"/>
    </row>
    <row r="51" spans="1:14" s="156" customFormat="1">
      <c r="A51" s="863">
        <f t="shared" si="3"/>
        <v>12</v>
      </c>
      <c r="B51" s="987" t="s">
        <v>686</v>
      </c>
      <c r="D51" s="990">
        <f>D8+D9</f>
        <v>0</v>
      </c>
      <c r="E51" s="990">
        <f>E8+E9</f>
        <v>0</v>
      </c>
      <c r="F51" s="990">
        <f>F8+F9</f>
        <v>0</v>
      </c>
    </row>
    <row r="52" spans="1:14" s="156" customFormat="1">
      <c r="A52" s="863">
        <f t="shared" si="3"/>
        <v>13</v>
      </c>
      <c r="B52" s="987" t="s">
        <v>685</v>
      </c>
      <c r="D52" s="991">
        <f t="shared" ref="D52:F53" si="4">D10</f>
        <v>0</v>
      </c>
      <c r="E52" s="991">
        <f t="shared" si="4"/>
        <v>0</v>
      </c>
      <c r="F52" s="991">
        <f t="shared" si="4"/>
        <v>0</v>
      </c>
    </row>
    <row r="53" spans="1:14" s="156" customFormat="1">
      <c r="A53" s="863">
        <f t="shared" si="3"/>
        <v>14</v>
      </c>
      <c r="B53" s="987" t="s">
        <v>684</v>
      </c>
      <c r="D53" s="991">
        <f t="shared" si="4"/>
        <v>0</v>
      </c>
      <c r="E53" s="991">
        <f t="shared" si="4"/>
        <v>0</v>
      </c>
      <c r="F53" s="991">
        <f t="shared" si="4"/>
        <v>0</v>
      </c>
    </row>
    <row r="54" spans="1:14" s="156" customFormat="1">
      <c r="A54" s="863">
        <f t="shared" si="3"/>
        <v>15</v>
      </c>
      <c r="B54" s="987" t="s">
        <v>678</v>
      </c>
      <c r="D54" s="990">
        <f>SUM(D12:D19)</f>
        <v>0</v>
      </c>
      <c r="E54" s="990">
        <f>SUM(E12:E19)</f>
        <v>0</v>
      </c>
      <c r="F54" s="990">
        <f>SUM(F12:F19)</f>
        <v>0</v>
      </c>
    </row>
    <row r="55" spans="1:14" s="156" customFormat="1">
      <c r="A55" s="863">
        <f t="shared" si="3"/>
        <v>16</v>
      </c>
      <c r="B55" s="987" t="s">
        <v>677</v>
      </c>
      <c r="D55" s="990">
        <f>SUM(D20:D25)</f>
        <v>0</v>
      </c>
      <c r="E55" s="990">
        <f>SUM(E20:E25)</f>
        <v>0</v>
      </c>
      <c r="F55" s="990">
        <f>SUM(F20:F25)</f>
        <v>0</v>
      </c>
    </row>
    <row r="56" spans="1:14" s="156" customFormat="1">
      <c r="A56" s="863">
        <f t="shared" si="3"/>
        <v>17</v>
      </c>
      <c r="B56" s="987" t="s">
        <v>679</v>
      </c>
      <c r="D56" s="990">
        <f t="shared" ref="D56:F57" si="5">D26</f>
        <v>0</v>
      </c>
      <c r="E56" s="990">
        <f t="shared" si="5"/>
        <v>0</v>
      </c>
      <c r="F56" s="990">
        <f t="shared" si="5"/>
        <v>0</v>
      </c>
    </row>
    <row r="57" spans="1:14" s="156" customFormat="1">
      <c r="A57" s="863">
        <f t="shared" si="3"/>
        <v>18</v>
      </c>
      <c r="B57" s="987" t="s">
        <v>680</v>
      </c>
      <c r="D57" s="990">
        <f t="shared" si="5"/>
        <v>0</v>
      </c>
      <c r="E57" s="990">
        <f t="shared" si="5"/>
        <v>0</v>
      </c>
      <c r="F57" s="990">
        <f t="shared" si="5"/>
        <v>0</v>
      </c>
    </row>
    <row r="58" spans="1:14" s="156" customFormat="1">
      <c r="A58" s="863">
        <f t="shared" si="3"/>
        <v>19</v>
      </c>
      <c r="B58" s="987" t="s">
        <v>681</v>
      </c>
      <c r="D58" s="990">
        <f>D29</f>
        <v>0</v>
      </c>
      <c r="E58" s="990">
        <f>E29</f>
        <v>0</v>
      </c>
      <c r="F58" s="990">
        <f>F29</f>
        <v>0</v>
      </c>
    </row>
    <row r="59" spans="1:14" s="156" customFormat="1">
      <c r="A59" s="863">
        <f t="shared" si="3"/>
        <v>20</v>
      </c>
      <c r="B59" s="987" t="s">
        <v>682</v>
      </c>
      <c r="D59" s="990">
        <f>D28</f>
        <v>0</v>
      </c>
      <c r="E59" s="990">
        <f>E28</f>
        <v>0</v>
      </c>
      <c r="F59" s="990">
        <f>F28</f>
        <v>0</v>
      </c>
    </row>
    <row r="60" spans="1:14" s="156" customFormat="1">
      <c r="A60" s="863">
        <f t="shared" si="3"/>
        <v>21</v>
      </c>
      <c r="B60" s="987" t="s">
        <v>683</v>
      </c>
      <c r="D60" s="991">
        <f>SUM(D30:D40)</f>
        <v>0</v>
      </c>
      <c r="E60" s="991">
        <f>SUM(E30:E40)</f>
        <v>0</v>
      </c>
      <c r="F60" s="991">
        <f>SUM(F30:F40)</f>
        <v>0</v>
      </c>
    </row>
    <row r="61" spans="1:14" s="156" customFormat="1" ht="13.8" thickBot="1">
      <c r="A61" s="863">
        <f>A60+1</f>
        <v>22</v>
      </c>
      <c r="B61" s="985" t="str">
        <f>B41</f>
        <v>Total  Sum Line 1 Subparts</v>
      </c>
      <c r="D61" s="992">
        <f>SUM(D51:D60)</f>
        <v>0</v>
      </c>
      <c r="E61" s="992">
        <f>SUM(E51:E60)</f>
        <v>0</v>
      </c>
      <c r="F61" s="992">
        <f>SUM(F51:F60)</f>
        <v>0</v>
      </c>
    </row>
    <row r="62" spans="1:14" s="156" customFormat="1" ht="13.8" thickTop="1">
      <c r="A62" s="891">
        <f>A61+1</f>
        <v>23</v>
      </c>
      <c r="B62" s="985"/>
      <c r="D62" s="985"/>
      <c r="E62" s="985"/>
      <c r="F62" s="993"/>
      <c r="G62" s="787"/>
    </row>
    <row r="63" spans="1:14" s="156" customFormat="1">
      <c r="A63" s="891">
        <f>A62+1</f>
        <v>24</v>
      </c>
      <c r="B63" s="1067" t="s">
        <v>843</v>
      </c>
      <c r="D63" s="990"/>
      <c r="E63" s="990">
        <f>SUM(E51:E59)</f>
        <v>0</v>
      </c>
      <c r="F63" s="990"/>
      <c r="G63" s="155"/>
    </row>
    <row r="64" spans="1:14" s="156" customFormat="1">
      <c r="A64" s="891"/>
      <c r="B64" s="989"/>
      <c r="D64" s="990"/>
      <c r="E64" s="990"/>
      <c r="F64" s="990"/>
      <c r="G64" s="155"/>
    </row>
    <row r="65" spans="1:14" s="156" customFormat="1">
      <c r="A65" s="156" t="s">
        <v>192</v>
      </c>
      <c r="B65" s="575"/>
      <c r="D65" s="263"/>
      <c r="E65" s="263"/>
      <c r="F65" s="263"/>
      <c r="G65" s="155"/>
      <c r="H65" s="155"/>
      <c r="I65" s="155"/>
      <c r="J65" s="155"/>
    </row>
    <row r="66" spans="1:14">
      <c r="A66" s="1066" t="s">
        <v>170</v>
      </c>
      <c r="B66" s="605" t="s">
        <v>743</v>
      </c>
      <c r="C66" s="605"/>
      <c r="D66" s="605"/>
      <c r="E66" s="605"/>
      <c r="F66" s="605"/>
    </row>
    <row r="67" spans="1:14" s="572" customFormat="1">
      <c r="A67" s="1069" t="s">
        <v>316</v>
      </c>
      <c r="B67" s="1793" t="s">
        <v>844</v>
      </c>
      <c r="C67" s="1793"/>
      <c r="D67" s="1793"/>
      <c r="E67" s="1793"/>
      <c r="F67" s="1793"/>
      <c r="G67" s="966"/>
      <c r="H67" s="1823"/>
      <c r="I67" s="38"/>
      <c r="J67" s="38"/>
      <c r="K67" s="38"/>
      <c r="L67" s="1854"/>
      <c r="M67" s="1854"/>
      <c r="N67" s="1854"/>
    </row>
    <row r="68" spans="1:14" s="572" customFormat="1" ht="26.4" customHeight="1">
      <c r="A68" s="965" t="s">
        <v>317</v>
      </c>
      <c r="B68" s="1697" t="s">
        <v>845</v>
      </c>
      <c r="C68" s="1697"/>
      <c r="D68" s="1697"/>
      <c r="E68" s="1697"/>
      <c r="F68" s="1697"/>
      <c r="G68" s="966"/>
      <c r="H68" s="1823"/>
      <c r="I68" s="38"/>
      <c r="J68" s="38"/>
      <c r="K68" s="38"/>
      <c r="L68" s="1854"/>
      <c r="M68" s="1854"/>
      <c r="N68" s="1854"/>
    </row>
    <row r="69" spans="1:14">
      <c r="A69" s="967"/>
      <c r="B69" s="605"/>
      <c r="C69" s="605"/>
      <c r="D69" s="605"/>
      <c r="E69" s="605"/>
      <c r="F69" s="605"/>
    </row>
    <row r="70" spans="1:14">
      <c r="A70" s="967"/>
      <c r="B70" s="605"/>
      <c r="C70" s="605"/>
      <c r="D70" s="605"/>
      <c r="E70" s="605"/>
      <c r="F70" s="605"/>
    </row>
    <row r="71" spans="1:14">
      <c r="A71" s="967"/>
      <c r="B71" s="605"/>
      <c r="C71" s="605"/>
      <c r="D71" s="605"/>
      <c r="E71" s="605"/>
      <c r="F71" s="605"/>
    </row>
    <row r="72" spans="1:14">
      <c r="A72" s="155"/>
    </row>
  </sheetData>
  <mergeCells count="5">
    <mergeCell ref="B68:F68"/>
    <mergeCell ref="B67:F67"/>
    <mergeCell ref="A3:F3"/>
    <mergeCell ref="A1:F1"/>
    <mergeCell ref="A2:F2"/>
  </mergeCells>
  <phoneticPr fontId="88" type="noConversion"/>
  <printOptions horizontalCentered="1"/>
  <pageMargins left="0.5" right="0.5" top="0.5" bottom="0.5" header="0.3" footer="0.5"/>
  <pageSetup scale="78" orientation="portrait" r:id="rId1"/>
  <headerFooter>
    <oddFooter>&amp;R&amp;A</oddFooter>
  </headerFooter>
  <ignoredErrors>
    <ignoredError sqref="A66:A68" numberStoredAsText="1"/>
    <ignoredError sqref="D60:E60" formulaRange="1"/>
  </ignoredError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A9" sqref="A9"/>
    </sheetView>
  </sheetViews>
  <sheetFormatPr defaultColWidth="8.88671875" defaultRowHeight="13.2"/>
  <cols>
    <col min="1" max="1" width="5.33203125" style="1534" customWidth="1"/>
    <col min="2" max="2" width="23.109375" style="155" customWidth="1"/>
    <col min="3" max="5" width="17" style="155" customWidth="1"/>
    <col min="6" max="6" width="8.88671875" style="155"/>
    <col min="7" max="8" width="10.44140625" style="155" bestFit="1" customWidth="1"/>
    <col min="9" max="16384" width="8.88671875" style="155"/>
  </cols>
  <sheetData>
    <row r="1" spans="1:5">
      <c r="A1" s="1749" t="str">
        <f>+'MISO Cover'!C6</f>
        <v>Entergy Texas, Inc.</v>
      </c>
      <c r="B1" s="1749"/>
      <c r="C1" s="1749"/>
      <c r="D1" s="1749"/>
      <c r="E1" s="1749"/>
    </row>
    <row r="2" spans="1:5">
      <c r="A2" s="1695" t="s">
        <v>1392</v>
      </c>
      <c r="B2" s="1695"/>
      <c r="C2" s="1695"/>
      <c r="D2" s="1695"/>
      <c r="E2" s="1695"/>
    </row>
    <row r="3" spans="1:5">
      <c r="A3" s="1749" t="str">
        <f>+'MISO Cover'!K4</f>
        <v>For  the 12 Months Ended 12/31/2016</v>
      </c>
      <c r="B3" s="1749"/>
      <c r="C3" s="1749"/>
      <c r="D3" s="1749"/>
      <c r="E3" s="1749"/>
    </row>
    <row r="4" spans="1:5">
      <c r="A4" s="1517"/>
      <c r="B4" s="1517"/>
      <c r="C4" s="1517"/>
      <c r="D4" s="1517"/>
      <c r="E4" s="1186"/>
    </row>
    <row r="5" spans="1:5">
      <c r="A5" s="1525" t="s">
        <v>277</v>
      </c>
      <c r="B5" s="1604" t="s">
        <v>67</v>
      </c>
      <c r="C5" s="1604" t="s">
        <v>114</v>
      </c>
      <c r="D5" s="1604" t="s">
        <v>55</v>
      </c>
      <c r="E5" s="1526" t="s">
        <v>1393</v>
      </c>
    </row>
    <row r="6" spans="1:5">
      <c r="A6" s="164"/>
      <c r="B6" s="164"/>
      <c r="C6" s="1795" t="s">
        <v>1394</v>
      </c>
      <c r="D6" s="1795"/>
      <c r="E6" s="1606" t="s">
        <v>1395</v>
      </c>
    </row>
    <row r="7" spans="1:5" ht="15">
      <c r="A7" s="1527">
        <v>1</v>
      </c>
      <c r="B7" s="865" t="s">
        <v>1396</v>
      </c>
      <c r="C7" s="1613" t="s">
        <v>1397</v>
      </c>
      <c r="D7" s="1614" t="s">
        <v>1398</v>
      </c>
      <c r="E7" s="1613" t="s">
        <v>1399</v>
      </c>
    </row>
    <row r="8" spans="1:5">
      <c r="A8" s="1528">
        <f>+A7+0.01</f>
        <v>1.01</v>
      </c>
      <c r="B8" s="1604">
        <v>2016</v>
      </c>
      <c r="C8" s="1535">
        <v>20403272</v>
      </c>
      <c r="D8" s="1529">
        <f t="shared" ref="D8:D22" si="0">+C8-E8</f>
        <v>19043053.866666667</v>
      </c>
      <c r="E8" s="1529">
        <f>+C8/15</f>
        <v>1360218.1333333333</v>
      </c>
    </row>
    <row r="9" spans="1:5">
      <c r="A9" s="1528">
        <f t="shared" ref="A9:A22" si="1">+A8+0.01</f>
        <v>1.02</v>
      </c>
      <c r="B9" s="1604">
        <f>+B8+1</f>
        <v>2017</v>
      </c>
      <c r="C9" s="1529">
        <f t="shared" ref="C9:C22" si="2">+D8</f>
        <v>19043053.866666667</v>
      </c>
      <c r="D9" s="1529">
        <f t="shared" si="0"/>
        <v>17682835.733333334</v>
      </c>
      <c r="E9" s="1529">
        <f>+E8</f>
        <v>1360218.1333333333</v>
      </c>
    </row>
    <row r="10" spans="1:5">
      <c r="A10" s="1528">
        <f t="shared" si="1"/>
        <v>1.03</v>
      </c>
      <c r="B10" s="1604">
        <f t="shared" ref="B10:B22" si="3">+B9+1</f>
        <v>2018</v>
      </c>
      <c r="C10" s="1529">
        <f t="shared" si="2"/>
        <v>17682835.733333334</v>
      </c>
      <c r="D10" s="1529">
        <f t="shared" si="0"/>
        <v>16322617.600000001</v>
      </c>
      <c r="E10" s="1529">
        <f t="shared" ref="E10:E22" si="4">+E9</f>
        <v>1360218.1333333333</v>
      </c>
    </row>
    <row r="11" spans="1:5">
      <c r="A11" s="1528">
        <f t="shared" si="1"/>
        <v>1.04</v>
      </c>
      <c r="B11" s="1604">
        <f t="shared" si="3"/>
        <v>2019</v>
      </c>
      <c r="C11" s="1529">
        <f t="shared" si="2"/>
        <v>16322617.600000001</v>
      </c>
      <c r="D11" s="1529">
        <f t="shared" si="0"/>
        <v>14962399.466666669</v>
      </c>
      <c r="E11" s="1529">
        <f t="shared" si="4"/>
        <v>1360218.1333333333</v>
      </c>
    </row>
    <row r="12" spans="1:5">
      <c r="A12" s="1528">
        <f t="shared" si="1"/>
        <v>1.05</v>
      </c>
      <c r="B12" s="1604">
        <f t="shared" si="3"/>
        <v>2020</v>
      </c>
      <c r="C12" s="1529">
        <f t="shared" si="2"/>
        <v>14962399.466666669</v>
      </c>
      <c r="D12" s="1529">
        <f t="shared" si="0"/>
        <v>13602181.333333336</v>
      </c>
      <c r="E12" s="1529">
        <f t="shared" si="4"/>
        <v>1360218.1333333333</v>
      </c>
    </row>
    <row r="13" spans="1:5">
      <c r="A13" s="1528">
        <f t="shared" si="1"/>
        <v>1.06</v>
      </c>
      <c r="B13" s="1604">
        <f t="shared" si="3"/>
        <v>2021</v>
      </c>
      <c r="C13" s="1529">
        <f t="shared" si="2"/>
        <v>13602181.333333336</v>
      </c>
      <c r="D13" s="1529">
        <f t="shared" si="0"/>
        <v>12241963.200000003</v>
      </c>
      <c r="E13" s="1529">
        <f t="shared" si="4"/>
        <v>1360218.1333333333</v>
      </c>
    </row>
    <row r="14" spans="1:5">
      <c r="A14" s="1528">
        <f t="shared" si="1"/>
        <v>1.07</v>
      </c>
      <c r="B14" s="1604">
        <f t="shared" si="3"/>
        <v>2022</v>
      </c>
      <c r="C14" s="1529">
        <f t="shared" si="2"/>
        <v>12241963.200000003</v>
      </c>
      <c r="D14" s="1529">
        <f t="shared" si="0"/>
        <v>10881745.06666667</v>
      </c>
      <c r="E14" s="1529">
        <f t="shared" si="4"/>
        <v>1360218.1333333333</v>
      </c>
    </row>
    <row r="15" spans="1:5">
      <c r="A15" s="1528">
        <f t="shared" si="1"/>
        <v>1.08</v>
      </c>
      <c r="B15" s="1604">
        <f t="shared" si="3"/>
        <v>2023</v>
      </c>
      <c r="C15" s="1529">
        <f t="shared" si="2"/>
        <v>10881745.06666667</v>
      </c>
      <c r="D15" s="1529">
        <f t="shared" si="0"/>
        <v>9521526.9333333373</v>
      </c>
      <c r="E15" s="1529">
        <f t="shared" si="4"/>
        <v>1360218.1333333333</v>
      </c>
    </row>
    <row r="16" spans="1:5">
      <c r="A16" s="1528">
        <f t="shared" si="1"/>
        <v>1.0900000000000001</v>
      </c>
      <c r="B16" s="1604">
        <f t="shared" si="3"/>
        <v>2024</v>
      </c>
      <c r="C16" s="1529">
        <f t="shared" si="2"/>
        <v>9521526.9333333373</v>
      </c>
      <c r="D16" s="1529">
        <f t="shared" si="0"/>
        <v>8161308.8000000045</v>
      </c>
      <c r="E16" s="1529">
        <f t="shared" si="4"/>
        <v>1360218.1333333333</v>
      </c>
    </row>
    <row r="17" spans="1:8">
      <c r="A17" s="1528">
        <f t="shared" si="1"/>
        <v>1.1000000000000001</v>
      </c>
      <c r="B17" s="1604">
        <f t="shared" si="3"/>
        <v>2025</v>
      </c>
      <c r="C17" s="1529">
        <f t="shared" si="2"/>
        <v>8161308.8000000045</v>
      </c>
      <c r="D17" s="1529">
        <f t="shared" si="0"/>
        <v>6801090.6666666716</v>
      </c>
      <c r="E17" s="1529">
        <f t="shared" si="4"/>
        <v>1360218.1333333333</v>
      </c>
    </row>
    <row r="18" spans="1:8">
      <c r="A18" s="1528">
        <f t="shared" si="1"/>
        <v>1.1100000000000001</v>
      </c>
      <c r="B18" s="1604">
        <f t="shared" si="3"/>
        <v>2026</v>
      </c>
      <c r="C18" s="1529">
        <f t="shared" si="2"/>
        <v>6801090.6666666716</v>
      </c>
      <c r="D18" s="1529">
        <f t="shared" si="0"/>
        <v>5440872.5333333388</v>
      </c>
      <c r="E18" s="1529">
        <f t="shared" si="4"/>
        <v>1360218.1333333333</v>
      </c>
    </row>
    <row r="19" spans="1:8">
      <c r="A19" s="1528">
        <f t="shared" si="1"/>
        <v>1.1200000000000001</v>
      </c>
      <c r="B19" s="1604">
        <f t="shared" si="3"/>
        <v>2027</v>
      </c>
      <c r="C19" s="1529">
        <f t="shared" si="2"/>
        <v>5440872.5333333388</v>
      </c>
      <c r="D19" s="1529">
        <f t="shared" si="0"/>
        <v>4080654.4000000055</v>
      </c>
      <c r="E19" s="1529">
        <f t="shared" si="4"/>
        <v>1360218.1333333333</v>
      </c>
    </row>
    <row r="20" spans="1:8">
      <c r="A20" s="1528">
        <f t="shared" si="1"/>
        <v>1.1300000000000001</v>
      </c>
      <c r="B20" s="1604">
        <f t="shared" si="3"/>
        <v>2028</v>
      </c>
      <c r="C20" s="1529">
        <f t="shared" si="2"/>
        <v>4080654.4000000055</v>
      </c>
      <c r="D20" s="1529">
        <f t="shared" si="0"/>
        <v>2720436.2666666722</v>
      </c>
      <c r="E20" s="1529">
        <f t="shared" si="4"/>
        <v>1360218.1333333333</v>
      </c>
    </row>
    <row r="21" spans="1:8">
      <c r="A21" s="1528">
        <f t="shared" si="1"/>
        <v>1.1400000000000001</v>
      </c>
      <c r="B21" s="1604">
        <f>+B20+1</f>
        <v>2029</v>
      </c>
      <c r="C21" s="1529">
        <f t="shared" si="2"/>
        <v>2720436.2666666722</v>
      </c>
      <c r="D21" s="1529">
        <f t="shared" si="0"/>
        <v>1360218.1333333389</v>
      </c>
      <c r="E21" s="1529">
        <f t="shared" si="4"/>
        <v>1360218.1333333333</v>
      </c>
    </row>
    <row r="22" spans="1:8">
      <c r="A22" s="1528">
        <f t="shared" si="1"/>
        <v>1.1500000000000001</v>
      </c>
      <c r="B22" s="1604">
        <f t="shared" si="3"/>
        <v>2030</v>
      </c>
      <c r="C22" s="1529">
        <f t="shared" si="2"/>
        <v>1360218.1333333389</v>
      </c>
      <c r="D22" s="1529">
        <f t="shared" si="0"/>
        <v>5.5879354476928711E-9</v>
      </c>
      <c r="E22" s="1529">
        <f t="shared" si="4"/>
        <v>1360218.1333333333</v>
      </c>
    </row>
    <row r="23" spans="1:8">
      <c r="A23" s="1604"/>
      <c r="B23" s="605"/>
      <c r="C23" s="1186"/>
      <c r="D23" s="1186"/>
      <c r="E23" s="1186"/>
    </row>
    <row r="24" spans="1:8">
      <c r="A24" s="1604"/>
      <c r="B24" s="605"/>
      <c r="C24" s="1186"/>
      <c r="D24" s="1186"/>
    </row>
    <row r="25" spans="1:8" s="156" customFormat="1">
      <c r="A25" s="1527">
        <f>+A7+1</f>
        <v>2</v>
      </c>
      <c r="B25" s="1605" t="s">
        <v>1400</v>
      </c>
      <c r="C25" s="1186"/>
      <c r="D25" s="1186"/>
      <c r="E25" s="1530">
        <f>+E8</f>
        <v>1360218.1333333333</v>
      </c>
    </row>
    <row r="26" spans="1:8" s="156" customFormat="1">
      <c r="A26" s="1172"/>
      <c r="B26" s="1518"/>
      <c r="C26" s="810"/>
      <c r="D26" s="810"/>
      <c r="E26" s="810"/>
      <c r="F26" s="655"/>
      <c r="G26" s="1524"/>
      <c r="H26" s="236"/>
    </row>
    <row r="27" spans="1:8" s="156" customFormat="1">
      <c r="A27" s="156" t="s">
        <v>192</v>
      </c>
      <c r="B27" s="575"/>
      <c r="C27" s="263"/>
      <c r="D27" s="263"/>
      <c r="E27" s="263"/>
      <c r="G27" s="1524"/>
      <c r="H27" s="1524"/>
    </row>
    <row r="28" spans="1:8" s="156" customFormat="1" ht="54" customHeight="1">
      <c r="A28" s="1066" t="s">
        <v>170</v>
      </c>
      <c r="B28" s="1748" t="s">
        <v>1401</v>
      </c>
      <c r="C28" s="1748"/>
      <c r="D28" s="1748"/>
      <c r="E28" s="1748"/>
    </row>
    <row r="29" spans="1:8" s="1532" customFormat="1">
      <c r="A29" s="1531" t="s">
        <v>316</v>
      </c>
      <c r="B29" s="155" t="s">
        <v>1402</v>
      </c>
      <c r="C29" s="155"/>
      <c r="D29" s="155"/>
      <c r="E29" s="155"/>
    </row>
    <row r="30" spans="1:8" s="1533" customFormat="1" ht="30.6" customHeight="1">
      <c r="A30" s="1066" t="s">
        <v>317</v>
      </c>
      <c r="B30" s="1748" t="s">
        <v>1608</v>
      </c>
      <c r="C30" s="1748"/>
      <c r="D30" s="1748"/>
      <c r="E30" s="1748"/>
      <c r="G30" s="1533" t="s">
        <v>1610</v>
      </c>
    </row>
    <row r="31" spans="1:8" s="1532" customFormat="1">
      <c r="A31" s="1534"/>
      <c r="B31" s="155"/>
      <c r="C31" s="155"/>
      <c r="D31" s="155"/>
      <c r="E31" s="155"/>
    </row>
  </sheetData>
  <mergeCells count="6">
    <mergeCell ref="B30:E30"/>
    <mergeCell ref="A1:E1"/>
    <mergeCell ref="A2:E2"/>
    <mergeCell ref="A3:E3"/>
    <mergeCell ref="C6:D6"/>
    <mergeCell ref="B28:E28"/>
  </mergeCells>
  <printOptions horizontalCentered="1"/>
  <pageMargins left="0.7" right="0.7" top="0.75" bottom="0.75" header="0.3" footer="0.5"/>
  <pageSetup orientation="portrait" r:id="rId1"/>
  <headerFooter>
    <oddFooter>&amp;R&amp;A</oddFooter>
  </headerFooter>
  <ignoredErrors>
    <ignoredError sqref="A28:A30"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A9" sqref="A9"/>
    </sheetView>
  </sheetViews>
  <sheetFormatPr defaultRowHeight="13.2"/>
  <cols>
    <col min="2" max="2" width="15.88671875" customWidth="1"/>
    <col min="3" max="3" width="13" customWidth="1"/>
    <col min="4" max="4" width="24.44140625" customWidth="1"/>
  </cols>
  <sheetData>
    <row r="1" spans="1:13" s="60" customFormat="1">
      <c r="A1" s="1695" t="str">
        <f>+'MISO Cover'!C6</f>
        <v>Entergy Texas, Inc.</v>
      </c>
      <c r="B1" s="1695"/>
      <c r="C1" s="1695"/>
      <c r="D1" s="1695"/>
      <c r="E1" s="1695"/>
      <c r="F1" s="1695"/>
      <c r="G1" s="1695"/>
      <c r="H1" s="1695"/>
      <c r="I1" s="1695"/>
      <c r="J1" s="39"/>
      <c r="K1" s="39"/>
      <c r="L1" s="39"/>
      <c r="M1" s="39"/>
    </row>
    <row r="2" spans="1:13" s="60" customFormat="1">
      <c r="A2" s="1696" t="s">
        <v>1450</v>
      </c>
      <c r="B2" s="1696"/>
      <c r="C2" s="1696"/>
      <c r="D2" s="1696"/>
      <c r="E2" s="1696"/>
      <c r="F2" s="1696"/>
      <c r="G2" s="1696"/>
      <c r="H2" s="1696"/>
      <c r="I2" s="1696"/>
      <c r="J2" s="39"/>
      <c r="K2" s="39"/>
      <c r="L2" s="39"/>
      <c r="M2" s="39"/>
    </row>
    <row r="3" spans="1:13" s="74" customFormat="1">
      <c r="A3" s="1696" t="str">
        <f>+'MISO Cover'!K4</f>
        <v>For  the 12 Months Ended 12/31/2016</v>
      </c>
      <c r="B3" s="1696"/>
      <c r="C3" s="1696"/>
      <c r="D3" s="1696"/>
      <c r="E3" s="1696"/>
      <c r="F3" s="1696"/>
      <c r="G3" s="1696"/>
      <c r="H3" s="1696"/>
      <c r="I3" s="1696"/>
      <c r="J3" s="38"/>
      <c r="K3" s="38"/>
      <c r="L3" s="38"/>
      <c r="M3" s="38"/>
    </row>
    <row r="5" spans="1:13">
      <c r="A5" s="181" t="s">
        <v>277</v>
      </c>
      <c r="B5" s="181" t="s">
        <v>67</v>
      </c>
      <c r="C5" s="181" t="s">
        <v>114</v>
      </c>
      <c r="D5" s="181" t="s">
        <v>1451</v>
      </c>
    </row>
    <row r="6" spans="1:13">
      <c r="A6" s="181">
        <v>1</v>
      </c>
      <c r="B6" s="181" t="s">
        <v>1452</v>
      </c>
      <c r="C6" s="181" t="s">
        <v>1453</v>
      </c>
      <c r="D6" s="181" t="s">
        <v>1454</v>
      </c>
    </row>
    <row r="7" spans="1:13">
      <c r="A7" s="181">
        <v>2</v>
      </c>
      <c r="B7" s="1519">
        <v>0.12379999999999999</v>
      </c>
      <c r="C7">
        <v>271</v>
      </c>
      <c r="D7" s="1520">
        <f>B7*C7/C9</f>
        <v>9.1666120218579228E-2</v>
      </c>
    </row>
    <row r="8" spans="1:13">
      <c r="A8" s="181">
        <v>3</v>
      </c>
      <c r="B8" s="1519">
        <v>0.1082</v>
      </c>
      <c r="C8">
        <v>95</v>
      </c>
      <c r="D8" s="1520">
        <f>B8*C8/C9</f>
        <v>2.8084699453551912E-2</v>
      </c>
    </row>
    <row r="9" spans="1:13">
      <c r="A9" s="181">
        <v>4</v>
      </c>
      <c r="B9" s="1521" t="s">
        <v>113</v>
      </c>
      <c r="C9" s="1522">
        <f>C7+C8</f>
        <v>366</v>
      </c>
      <c r="D9" s="1523">
        <f>D7+D8</f>
        <v>0.11975081967213114</v>
      </c>
    </row>
  </sheetData>
  <mergeCells count="3">
    <mergeCell ref="A1:I1"/>
    <mergeCell ref="A2:I2"/>
    <mergeCell ref="A3:I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A1:AL179"/>
  <sheetViews>
    <sheetView zoomScaleNormal="100" zoomScaleSheetLayoutView="80" workbookViewId="0">
      <selection activeCell="A9" sqref="A9"/>
    </sheetView>
  </sheetViews>
  <sheetFormatPr defaultColWidth="9.109375" defaultRowHeight="13.2"/>
  <cols>
    <col min="1" max="1" width="6.44140625" style="39" bestFit="1" customWidth="1"/>
    <col min="2" max="2" width="7.6640625" style="39" customWidth="1"/>
    <col min="3" max="3" width="8.6640625" style="38" customWidth="1"/>
    <col min="4" max="5" width="8.6640625" style="39" customWidth="1"/>
    <col min="6" max="6" width="14.33203125" style="39" customWidth="1"/>
    <col min="7" max="7" width="14.6640625" style="39" customWidth="1"/>
    <col min="8" max="9" width="15.6640625" style="39" customWidth="1"/>
    <col min="10" max="10" width="8.88671875" style="39"/>
    <col min="11" max="12" width="11.6640625" style="39" customWidth="1"/>
    <col min="13" max="13" width="12.44140625" style="39" bestFit="1" customWidth="1"/>
    <col min="14" max="16384" width="9.109375" style="60"/>
  </cols>
  <sheetData>
    <row r="1" spans="1:14">
      <c r="A1" s="1695" t="str">
        <f>+'MISO Cover'!C6</f>
        <v>Entergy Texas, Inc.</v>
      </c>
      <c r="B1" s="1695"/>
      <c r="C1" s="1695"/>
      <c r="D1" s="1695"/>
      <c r="E1" s="1695"/>
      <c r="F1" s="1695"/>
      <c r="G1" s="1695"/>
      <c r="H1" s="1695"/>
      <c r="I1" s="1695"/>
    </row>
    <row r="2" spans="1:14">
      <c r="A2" s="1696" t="s">
        <v>1107</v>
      </c>
      <c r="B2" s="1696"/>
      <c r="C2" s="1696"/>
      <c r="D2" s="1696"/>
      <c r="E2" s="1696"/>
      <c r="F2" s="1696"/>
      <c r="G2" s="1696"/>
      <c r="H2" s="1696"/>
      <c r="I2" s="1696"/>
    </row>
    <row r="3" spans="1:14" s="74" customFormat="1">
      <c r="A3" s="1696" t="str">
        <f>+'MISO Cover'!K4</f>
        <v>For  the 12 Months Ended 12/31/2016</v>
      </c>
      <c r="B3" s="1696"/>
      <c r="C3" s="1696"/>
      <c r="D3" s="1696"/>
      <c r="E3" s="1696"/>
      <c r="F3" s="1696"/>
      <c r="G3" s="1696"/>
      <c r="H3" s="1696"/>
      <c r="I3" s="1696"/>
      <c r="J3" s="38"/>
      <c r="L3" s="38"/>
      <c r="M3" s="38"/>
    </row>
    <row r="4" spans="1:14">
      <c r="A4" s="1695" t="s">
        <v>419</v>
      </c>
      <c r="B4" s="1695"/>
      <c r="C4" s="1695"/>
      <c r="D4" s="1695"/>
      <c r="E4" s="1695"/>
      <c r="F4" s="1695"/>
      <c r="G4" s="1695"/>
      <c r="H4" s="1695"/>
      <c r="I4" s="1695"/>
    </row>
    <row r="5" spans="1:14">
      <c r="A5" s="714"/>
      <c r="B5" s="714"/>
      <c r="C5" s="714"/>
      <c r="D5" s="714"/>
      <c r="E5" s="714"/>
      <c r="F5" s="714"/>
      <c r="G5" s="714"/>
      <c r="H5" s="714"/>
      <c r="I5" s="714"/>
    </row>
    <row r="6" spans="1:14" s="74" customFormat="1">
      <c r="A6" s="455" t="s">
        <v>320</v>
      </c>
      <c r="B6" s="722" t="s">
        <v>67</v>
      </c>
      <c r="C6" s="722" t="s">
        <v>114</v>
      </c>
      <c r="D6" s="557" t="s">
        <v>55</v>
      </c>
      <c r="E6" s="722" t="s">
        <v>68</v>
      </c>
      <c r="F6" s="558" t="s">
        <v>66</v>
      </c>
      <c r="G6" s="722" t="s">
        <v>156</v>
      </c>
      <c r="H6" s="722" t="s">
        <v>69</v>
      </c>
      <c r="I6" s="559" t="s">
        <v>169</v>
      </c>
      <c r="J6" s="39"/>
      <c r="L6" s="39"/>
      <c r="M6" s="39"/>
      <c r="N6" s="202"/>
    </row>
    <row r="7" spans="1:14" s="74" customFormat="1">
      <c r="A7" s="455"/>
      <c r="B7" s="722"/>
      <c r="C7" s="722"/>
      <c r="D7" s="557"/>
      <c r="E7" s="722"/>
      <c r="F7" s="558"/>
      <c r="G7" s="722"/>
      <c r="H7" s="722"/>
      <c r="I7" s="559"/>
      <c r="J7" s="39"/>
      <c r="L7" s="39"/>
      <c r="M7" s="39"/>
      <c r="N7" s="202"/>
    </row>
    <row r="8" spans="1:14">
      <c r="A8" s="60"/>
      <c r="B8" s="969" t="s">
        <v>608</v>
      </c>
      <c r="C8" s="910"/>
      <c r="D8" s="910"/>
      <c r="E8" s="910"/>
      <c r="F8" s="714"/>
      <c r="G8" s="714"/>
      <c r="H8" s="714"/>
      <c r="I8" s="714"/>
    </row>
    <row r="9" spans="1:14">
      <c r="A9" s="836">
        <v>1</v>
      </c>
      <c r="B9" s="164" t="s">
        <v>1108</v>
      </c>
      <c r="C9" s="1258"/>
      <c r="D9" s="1258"/>
      <c r="E9" s="1258"/>
      <c r="F9" s="1258"/>
      <c r="G9" s="1087" t="s">
        <v>148</v>
      </c>
      <c r="H9" s="1699" t="s">
        <v>140</v>
      </c>
      <c r="I9" s="1699"/>
    </row>
    <row r="10" spans="1:14" s="248" customFormat="1" ht="15">
      <c r="A10" s="836">
        <f>+A9+1</f>
        <v>2</v>
      </c>
      <c r="B10" s="864" t="s">
        <v>27</v>
      </c>
      <c r="C10" s="1258"/>
      <c r="D10" s="1258"/>
      <c r="E10" s="1258"/>
      <c r="F10" s="1258"/>
      <c r="G10" s="192">
        <v>8706712.3499999996</v>
      </c>
      <c r="H10" s="666"/>
      <c r="I10" s="666"/>
      <c r="J10" s="39"/>
      <c r="L10" s="39"/>
      <c r="M10" s="39"/>
    </row>
    <row r="11" spans="1:14" s="248" customFormat="1" ht="15">
      <c r="A11" s="836">
        <f t="shared" ref="A11:A33" si="0">+A10+1</f>
        <v>3</v>
      </c>
      <c r="B11" s="864" t="s">
        <v>28</v>
      </c>
      <c r="C11" s="1258"/>
      <c r="D11" s="1258"/>
      <c r="E11" s="1258"/>
      <c r="F11" s="1258"/>
      <c r="G11" s="192">
        <v>8089143.0999999996</v>
      </c>
      <c r="H11" s="666"/>
      <c r="I11" s="666"/>
      <c r="J11" s="39"/>
      <c r="L11" s="39"/>
      <c r="M11" s="39"/>
    </row>
    <row r="12" spans="1:14" s="248" customFormat="1" ht="15">
      <c r="A12" s="836">
        <f t="shared" si="0"/>
        <v>4</v>
      </c>
      <c r="B12" s="864" t="s">
        <v>29</v>
      </c>
      <c r="C12" s="1258"/>
      <c r="D12" s="1258"/>
      <c r="E12" s="1258"/>
      <c r="F12" s="1258"/>
      <c r="G12" s="192">
        <v>7771946.5700000003</v>
      </c>
      <c r="H12" s="666"/>
      <c r="I12" s="666"/>
      <c r="J12" s="39"/>
      <c r="L12" s="39"/>
      <c r="M12" s="39"/>
    </row>
    <row r="13" spans="1:14" s="248" customFormat="1" ht="15">
      <c r="A13" s="836">
        <f t="shared" si="0"/>
        <v>5</v>
      </c>
      <c r="B13" s="864" t="s">
        <v>30</v>
      </c>
      <c r="C13" s="1258"/>
      <c r="D13" s="1258"/>
      <c r="E13" s="1258"/>
      <c r="F13" s="1258"/>
      <c r="G13" s="192">
        <v>8196301.5599999996</v>
      </c>
      <c r="H13" s="666"/>
      <c r="I13" s="666"/>
      <c r="J13" s="39"/>
      <c r="L13" s="39"/>
      <c r="M13" s="39"/>
    </row>
    <row r="14" spans="1:14" s="248" customFormat="1" ht="15">
      <c r="A14" s="836">
        <f t="shared" si="0"/>
        <v>6</v>
      </c>
      <c r="B14" s="864" t="s">
        <v>26</v>
      </c>
      <c r="C14" s="1258"/>
      <c r="D14" s="1258"/>
      <c r="E14" s="1258"/>
      <c r="F14" s="1258"/>
      <c r="G14" s="192">
        <v>7760362.5999999996</v>
      </c>
      <c r="H14" s="666"/>
      <c r="I14" s="666"/>
      <c r="J14" s="39"/>
      <c r="L14" s="39"/>
      <c r="M14" s="39"/>
    </row>
    <row r="15" spans="1:14" s="248" customFormat="1" ht="15">
      <c r="A15" s="836">
        <f t="shared" si="0"/>
        <v>7</v>
      </c>
      <c r="B15" s="864" t="s">
        <v>31</v>
      </c>
      <c r="C15" s="1258"/>
      <c r="D15" s="1258"/>
      <c r="E15" s="1258"/>
      <c r="F15" s="1258"/>
      <c r="G15" s="192">
        <v>10785021.32</v>
      </c>
      <c r="H15" s="666"/>
      <c r="I15" s="666"/>
      <c r="J15" s="39"/>
      <c r="L15" s="39"/>
      <c r="M15" s="39"/>
    </row>
    <row r="16" spans="1:14" s="248" customFormat="1" ht="15">
      <c r="A16" s="836">
        <f t="shared" si="0"/>
        <v>8</v>
      </c>
      <c r="B16" s="864" t="s">
        <v>32</v>
      </c>
      <c r="C16" s="1258"/>
      <c r="D16" s="1258"/>
      <c r="E16" s="1258"/>
      <c r="F16" s="1258"/>
      <c r="G16" s="192">
        <v>11733098.6</v>
      </c>
      <c r="H16" s="666"/>
      <c r="I16" s="666"/>
      <c r="J16" s="39"/>
      <c r="L16" s="39"/>
      <c r="M16" s="39"/>
    </row>
    <row r="17" spans="1:13" s="248" customFormat="1" ht="15">
      <c r="A17" s="836">
        <f t="shared" si="0"/>
        <v>9</v>
      </c>
      <c r="B17" s="864" t="s">
        <v>33</v>
      </c>
      <c r="C17" s="1258"/>
      <c r="D17" s="1258"/>
      <c r="E17" s="1258"/>
      <c r="F17" s="1258"/>
      <c r="G17" s="192">
        <v>12647190.539999999</v>
      </c>
      <c r="H17" s="666"/>
      <c r="I17" s="666"/>
      <c r="J17" s="39"/>
      <c r="L17" s="39"/>
      <c r="M17" s="39"/>
    </row>
    <row r="18" spans="1:13" s="248" customFormat="1" ht="15">
      <c r="A18" s="836">
        <f t="shared" si="0"/>
        <v>10</v>
      </c>
      <c r="B18" s="864" t="s">
        <v>34</v>
      </c>
      <c r="C18" s="1258"/>
      <c r="D18" s="1258"/>
      <c r="E18" s="1258"/>
      <c r="F18" s="1258"/>
      <c r="G18" s="192">
        <v>11446216.76</v>
      </c>
      <c r="H18" s="666"/>
      <c r="I18" s="666"/>
      <c r="J18" s="39"/>
      <c r="L18" s="39"/>
      <c r="M18" s="39"/>
    </row>
    <row r="19" spans="1:13" s="248" customFormat="1" ht="15">
      <c r="A19" s="836">
        <f t="shared" si="0"/>
        <v>11</v>
      </c>
      <c r="B19" s="864" t="s">
        <v>35</v>
      </c>
      <c r="C19" s="1258"/>
      <c r="D19" s="1258"/>
      <c r="E19" s="1258"/>
      <c r="F19" s="1258"/>
      <c r="G19" s="192">
        <v>9922472.0800000001</v>
      </c>
      <c r="H19" s="666"/>
      <c r="I19" s="666"/>
      <c r="J19" s="39"/>
      <c r="L19" s="39"/>
      <c r="M19" s="39"/>
    </row>
    <row r="20" spans="1:13" s="248" customFormat="1" ht="15">
      <c r="A20" s="836">
        <f t="shared" si="0"/>
        <v>12</v>
      </c>
      <c r="B20" s="864" t="s">
        <v>36</v>
      </c>
      <c r="C20" s="1258"/>
      <c r="D20" s="1258"/>
      <c r="E20" s="1258"/>
      <c r="F20" s="1258"/>
      <c r="G20" s="192">
        <v>8869012.9900000002</v>
      </c>
      <c r="H20" s="666"/>
      <c r="I20" s="666"/>
      <c r="J20" s="39"/>
      <c r="L20" s="39"/>
      <c r="M20" s="39"/>
    </row>
    <row r="21" spans="1:13" s="248" customFormat="1" ht="15">
      <c r="A21" s="836">
        <f t="shared" si="0"/>
        <v>13</v>
      </c>
      <c r="B21" s="864" t="s">
        <v>37</v>
      </c>
      <c r="C21" s="1258"/>
      <c r="D21" s="1258"/>
      <c r="E21" s="1258"/>
      <c r="F21" s="1258"/>
      <c r="G21" s="671">
        <v>10124271.26</v>
      </c>
      <c r="H21" s="666"/>
      <c r="I21" s="666"/>
      <c r="J21" s="39"/>
      <c r="L21" s="39"/>
      <c r="M21" s="39"/>
    </row>
    <row r="22" spans="1:13" s="248" customFormat="1">
      <c r="A22" s="836">
        <f t="shared" si="0"/>
        <v>14</v>
      </c>
      <c r="B22" s="164" t="s">
        <v>1099</v>
      </c>
      <c r="D22" s="164"/>
      <c r="E22" s="164"/>
      <c r="G22" s="141">
        <f>SUM(G10:G21)</f>
        <v>116051749.73</v>
      </c>
      <c r="H22" s="164" t="str">
        <f>+"Sum (Line "&amp;A10&amp;" to "&amp;A21&amp;")"</f>
        <v>Sum (Line 2 to 13)</v>
      </c>
      <c r="J22" s="39"/>
      <c r="L22" s="39"/>
      <c r="M22" s="39"/>
    </row>
    <row r="23" spans="1:13" s="248" customFormat="1">
      <c r="A23" s="836">
        <f t="shared" si="0"/>
        <v>15</v>
      </c>
      <c r="B23" s="164" t="s">
        <v>547</v>
      </c>
      <c r="D23" s="164"/>
      <c r="E23" s="164"/>
      <c r="G23" s="249">
        <f>+'WP17 Rev'!E61</f>
        <v>19389201.531567749</v>
      </c>
      <c r="H23" s="164" t="str">
        <f>+"WP17 Line "&amp;'WP17 Rev'!A60&amp;" Column "&amp;'WP17 Rev'!E5</f>
        <v>WP17 Line 7 Column D</v>
      </c>
      <c r="J23" s="39"/>
      <c r="L23" s="39"/>
      <c r="M23" s="39"/>
    </row>
    <row r="24" spans="1:13" s="248" customFormat="1" ht="13.2" customHeight="1">
      <c r="A24" s="836">
        <f t="shared" si="0"/>
        <v>16</v>
      </c>
      <c r="B24" s="1701" t="s">
        <v>1127</v>
      </c>
      <c r="C24" s="1701"/>
      <c r="D24" s="1701"/>
      <c r="E24" s="1701"/>
      <c r="F24" s="1701"/>
      <c r="G24" s="244">
        <f>'WP01 TU Support'!G69</f>
        <v>5722340.0891299592</v>
      </c>
      <c r="H24" s="1394"/>
      <c r="I24" s="1390"/>
      <c r="J24" s="39"/>
      <c r="L24" s="39"/>
      <c r="M24" s="39"/>
    </row>
    <row r="25" spans="1:13" s="248" customFormat="1">
      <c r="A25" s="836">
        <f t="shared" si="0"/>
        <v>17</v>
      </c>
      <c r="B25" s="248" t="s">
        <v>1128</v>
      </c>
      <c r="D25" s="165"/>
      <c r="E25" s="165"/>
      <c r="F25" s="38"/>
      <c r="G25" s="1395">
        <f>+G22+G23-G24</f>
        <v>129718611.17243779</v>
      </c>
      <c r="H25" s="1392" t="str">
        <f>+"Sum (Line "&amp;A22&amp;" + "&amp;A23&amp;" - "&amp;A24&amp;")"</f>
        <v>Sum (Line 14 + 15 - 16)</v>
      </c>
      <c r="I25" s="1390"/>
      <c r="J25" s="39"/>
      <c r="L25" s="39"/>
      <c r="M25" s="39"/>
    </row>
    <row r="26" spans="1:13" s="248" customFormat="1">
      <c r="A26" s="836">
        <f t="shared" si="0"/>
        <v>18</v>
      </c>
      <c r="B26" s="968"/>
      <c r="C26" s="1390"/>
      <c r="D26" s="165"/>
      <c r="E26" s="164"/>
      <c r="F26" s="38"/>
      <c r="G26" s="38"/>
      <c r="H26" s="39"/>
      <c r="I26" s="1390"/>
      <c r="J26" s="39"/>
      <c r="L26" s="39"/>
      <c r="M26" s="39"/>
    </row>
    <row r="27" spans="1:13" s="248" customFormat="1">
      <c r="A27" s="836">
        <f t="shared" si="0"/>
        <v>19</v>
      </c>
      <c r="B27" s="38" t="s">
        <v>1129</v>
      </c>
      <c r="D27" s="38"/>
      <c r="E27" s="38"/>
      <c r="F27" s="38"/>
      <c r="G27" s="73">
        <f>+'Appendix A'!G289</f>
        <v>125364929.29437673</v>
      </c>
      <c r="H27" s="1392" t="s">
        <v>1143</v>
      </c>
      <c r="I27" s="1390"/>
      <c r="J27" s="39"/>
      <c r="L27" s="39"/>
      <c r="M27" s="39"/>
    </row>
    <row r="28" spans="1:13" s="248" customFormat="1" ht="15">
      <c r="A28" s="836">
        <f t="shared" si="0"/>
        <v>20</v>
      </c>
      <c r="B28" s="38"/>
      <c r="D28" s="1390"/>
      <c r="E28" s="1390"/>
      <c r="F28" s="1390"/>
      <c r="G28" s="456"/>
      <c r="H28" s="1392"/>
      <c r="I28" s="1390"/>
      <c r="J28" s="39"/>
      <c r="L28" s="39"/>
      <c r="M28" s="39"/>
    </row>
    <row r="29" spans="1:13" s="248" customFormat="1">
      <c r="A29" s="836">
        <f t="shared" si="0"/>
        <v>21</v>
      </c>
      <c r="B29" s="38" t="s">
        <v>901</v>
      </c>
      <c r="D29" s="38"/>
      <c r="E29" s="38"/>
      <c r="F29" s="38"/>
      <c r="G29" s="236">
        <f>+G27-G25</f>
        <v>-4353681.8780610561</v>
      </c>
      <c r="H29" s="1392" t="str">
        <f>+"Line "&amp;A27&amp;" - Line "&amp;A25</f>
        <v>Line 19 - Line 17</v>
      </c>
      <c r="I29" s="1390"/>
      <c r="J29" s="39"/>
      <c r="K29" s="39"/>
      <c r="L29" s="39"/>
      <c r="M29" s="39"/>
    </row>
    <row r="30" spans="1:13" s="248" customFormat="1">
      <c r="A30" s="1392">
        <f t="shared" si="0"/>
        <v>22</v>
      </c>
      <c r="B30" s="38"/>
      <c r="D30" s="38"/>
      <c r="E30" s="38"/>
      <c r="F30" s="38"/>
      <c r="G30" s="236"/>
      <c r="H30" s="1392"/>
      <c r="I30" s="1390"/>
      <c r="J30" s="39"/>
      <c r="K30" s="39"/>
      <c r="L30" s="39"/>
      <c r="M30" s="39"/>
    </row>
    <row r="31" spans="1:13" s="248" customFormat="1">
      <c r="A31" s="1392">
        <f t="shared" si="0"/>
        <v>23</v>
      </c>
      <c r="B31" s="38" t="s">
        <v>902</v>
      </c>
      <c r="D31" s="38"/>
      <c r="E31" s="38"/>
      <c r="F31" s="38"/>
      <c r="G31" s="244"/>
      <c r="H31" s="1392" t="s">
        <v>545</v>
      </c>
      <c r="I31" s="1390"/>
      <c r="J31" s="39"/>
      <c r="K31" s="454"/>
      <c r="L31" s="39"/>
      <c r="M31" s="39"/>
    </row>
    <row r="32" spans="1:13" s="248" customFormat="1">
      <c r="A32" s="1392">
        <f t="shared" si="0"/>
        <v>24</v>
      </c>
      <c r="B32" s="38"/>
      <c r="D32" s="38"/>
      <c r="E32" s="38"/>
      <c r="F32" s="38"/>
      <c r="G32" s="73"/>
      <c r="H32" s="1392"/>
      <c r="I32" s="1390"/>
      <c r="J32" s="39"/>
      <c r="K32" s="39"/>
      <c r="L32" s="39"/>
      <c r="M32" s="39"/>
    </row>
    <row r="33" spans="1:13" s="248" customFormat="1">
      <c r="A33" s="1392">
        <f t="shared" si="0"/>
        <v>25</v>
      </c>
      <c r="B33" s="968" t="s">
        <v>1130</v>
      </c>
      <c r="C33" s="1390"/>
      <c r="D33" s="165"/>
      <c r="E33" s="164"/>
      <c r="F33" s="38"/>
      <c r="G33" s="38"/>
      <c r="H33" s="39"/>
      <c r="I33" s="1390"/>
      <c r="J33" s="39"/>
      <c r="K33" s="39"/>
      <c r="L33" s="39"/>
      <c r="M33" s="39"/>
    </row>
    <row r="34" spans="1:13" s="248" customFormat="1">
      <c r="A34" s="1392"/>
      <c r="B34" s="968"/>
      <c r="C34" s="1390"/>
      <c r="D34" s="165"/>
      <c r="E34" s="164"/>
      <c r="F34" s="38"/>
      <c r="G34" s="38"/>
      <c r="H34" s="39"/>
      <c r="I34" s="1390"/>
      <c r="J34" s="39"/>
      <c r="K34" s="39"/>
      <c r="L34" s="39"/>
      <c r="M34" s="39"/>
    </row>
    <row r="35" spans="1:13" s="248" customFormat="1" ht="54" customHeight="1">
      <c r="A35" s="1392"/>
      <c r="B35" s="1065" t="s">
        <v>420</v>
      </c>
      <c r="C35" s="583" t="s">
        <v>421</v>
      </c>
      <c r="D35" s="583" t="s">
        <v>281</v>
      </c>
      <c r="E35" s="583" t="s">
        <v>922</v>
      </c>
      <c r="F35" s="583" t="s">
        <v>855</v>
      </c>
      <c r="G35" s="583" t="s">
        <v>447</v>
      </c>
      <c r="H35" s="583" t="s">
        <v>422</v>
      </c>
      <c r="I35" s="583" t="s">
        <v>423</v>
      </c>
      <c r="J35" s="39"/>
      <c r="K35" s="39"/>
      <c r="L35" s="39"/>
      <c r="M35" s="39"/>
    </row>
    <row r="36" spans="1:13" s="248" customFormat="1" ht="15" customHeight="1">
      <c r="A36" s="1438">
        <f>+A33+1</f>
        <v>26</v>
      </c>
      <c r="B36" s="1087" t="s">
        <v>67</v>
      </c>
      <c r="C36" s="541" t="s">
        <v>114</v>
      </c>
      <c r="D36" s="541" t="s">
        <v>840</v>
      </c>
      <c r="E36" s="541" t="s">
        <v>841</v>
      </c>
      <c r="F36" s="541" t="s">
        <v>842</v>
      </c>
      <c r="G36" s="1442" t="s">
        <v>1140</v>
      </c>
      <c r="H36" s="1442" t="s">
        <v>1141</v>
      </c>
      <c r="I36" s="541" t="s">
        <v>169</v>
      </c>
      <c r="J36" s="39"/>
      <c r="K36" s="39"/>
      <c r="L36" s="39"/>
      <c r="M36" s="39"/>
    </row>
    <row r="37" spans="1:13" s="248" customFormat="1" ht="15">
      <c r="A37" s="834">
        <f>+A36+0.01</f>
        <v>26.01</v>
      </c>
      <c r="B37" s="38"/>
      <c r="C37" s="1580">
        <v>42370</v>
      </c>
      <c r="D37" s="1581">
        <v>3.2500000000000001E-2</v>
      </c>
      <c r="E37" s="458">
        <f>+D37/12</f>
        <v>2.7083333333333334E-3</v>
      </c>
      <c r="F37" s="810">
        <f t="shared" ref="F37:F64" si="1">H37*E37</f>
        <v>-982.60181275683556</v>
      </c>
      <c r="G37" s="1530">
        <f>+G$29/12</f>
        <v>-362806.82317175466</v>
      </c>
      <c r="H37" s="1396">
        <f>IF((B37=1),G37,G37)</f>
        <v>-362806.82317175466</v>
      </c>
      <c r="I37" s="810">
        <f>F37+G37</f>
        <v>-363789.42498451151</v>
      </c>
      <c r="J37" s="39"/>
      <c r="K37" s="39"/>
      <c r="L37" s="461"/>
      <c r="M37" s="462"/>
    </row>
    <row r="38" spans="1:13" s="248" customFormat="1">
      <c r="A38" s="834">
        <f t="shared" ref="A38:A65" si="2">+A37+0.01</f>
        <v>26.020000000000003</v>
      </c>
      <c r="B38" s="38"/>
      <c r="C38" s="1580">
        <v>42401</v>
      </c>
      <c r="D38" s="1581">
        <v>3.2500000000000001E-2</v>
      </c>
      <c r="E38" s="458">
        <f t="shared" ref="E38:E65" si="3">+D38/12</f>
        <v>2.7083333333333334E-3</v>
      </c>
      <c r="F38" s="810">
        <f t="shared" si="1"/>
        <v>-1965.2036255136711</v>
      </c>
      <c r="G38" s="1530">
        <f t="shared" ref="G38:G48" si="4">+G$29/12</f>
        <v>-362806.82317175466</v>
      </c>
      <c r="H38" s="1396">
        <f t="shared" ref="H38:H64" si="5">IF((B38=1),I37+G38,+H37+G38)</f>
        <v>-725613.64634350932</v>
      </c>
      <c r="I38" s="810">
        <f>I37+F38+G38</f>
        <v>-728561.45178177976</v>
      </c>
      <c r="J38" s="39"/>
    </row>
    <row r="39" spans="1:13" s="248" customFormat="1">
      <c r="A39" s="834">
        <f t="shared" si="2"/>
        <v>26.030000000000005</v>
      </c>
      <c r="B39" s="38"/>
      <c r="C39" s="1580">
        <v>42430</v>
      </c>
      <c r="D39" s="1581">
        <v>3.2500000000000001E-2</v>
      </c>
      <c r="E39" s="458">
        <f t="shared" si="3"/>
        <v>2.7083333333333334E-3</v>
      </c>
      <c r="F39" s="810">
        <f t="shared" si="1"/>
        <v>-2947.8054382705068</v>
      </c>
      <c r="G39" s="1530">
        <f t="shared" si="4"/>
        <v>-362806.82317175466</v>
      </c>
      <c r="H39" s="1396">
        <f t="shared" si="5"/>
        <v>-1088420.469515264</v>
      </c>
      <c r="I39" s="810">
        <f t="shared" ref="I39:I65" si="6">I38+F39+G39</f>
        <v>-1094316.0803918049</v>
      </c>
      <c r="J39" s="39"/>
    </row>
    <row r="40" spans="1:13" s="248" customFormat="1">
      <c r="A40" s="834">
        <f t="shared" si="2"/>
        <v>26.040000000000006</v>
      </c>
      <c r="B40" s="38">
        <v>1</v>
      </c>
      <c r="C40" s="1580">
        <v>42461</v>
      </c>
      <c r="D40" s="1581">
        <v>3.4599999999999999E-2</v>
      </c>
      <c r="E40" s="458">
        <f t="shared" si="3"/>
        <v>2.8833333333333332E-3</v>
      </c>
      <c r="F40" s="810">
        <f t="shared" si="1"/>
        <v>-4201.371038608263</v>
      </c>
      <c r="G40" s="1530">
        <f t="shared" si="4"/>
        <v>-362806.82317175466</v>
      </c>
      <c r="H40" s="1396">
        <f t="shared" si="5"/>
        <v>-1457122.9035635595</v>
      </c>
      <c r="I40" s="810">
        <f t="shared" si="6"/>
        <v>-1461324.2746021678</v>
      </c>
      <c r="J40" s="39"/>
    </row>
    <row r="41" spans="1:13" s="248" customFormat="1">
      <c r="A41" s="834">
        <f t="shared" si="2"/>
        <v>26.050000000000008</v>
      </c>
      <c r="B41" s="38"/>
      <c r="C41" s="1580">
        <v>42491</v>
      </c>
      <c r="D41" s="1581">
        <v>3.4599999999999999E-2</v>
      </c>
      <c r="E41" s="458">
        <f t="shared" si="3"/>
        <v>2.8833333333333332E-3</v>
      </c>
      <c r="F41" s="810">
        <f t="shared" si="1"/>
        <v>-5247.4640454201553</v>
      </c>
      <c r="G41" s="1530">
        <f t="shared" si="4"/>
        <v>-362806.82317175466</v>
      </c>
      <c r="H41" s="1396">
        <f t="shared" si="5"/>
        <v>-1819929.7267353141</v>
      </c>
      <c r="I41" s="810">
        <f t="shared" si="6"/>
        <v>-1829378.5618193424</v>
      </c>
      <c r="J41" s="39"/>
      <c r="K41" s="236"/>
      <c r="L41" s="73"/>
      <c r="M41" s="236"/>
    </row>
    <row r="42" spans="1:13" s="248" customFormat="1">
      <c r="A42" s="834">
        <f t="shared" si="2"/>
        <v>26.060000000000009</v>
      </c>
      <c r="B42" s="38"/>
      <c r="C42" s="1580">
        <v>42522</v>
      </c>
      <c r="D42" s="1581">
        <v>3.4599999999999999E-2</v>
      </c>
      <c r="E42" s="458">
        <f t="shared" si="3"/>
        <v>2.8833333333333332E-3</v>
      </c>
      <c r="F42" s="810">
        <f t="shared" si="1"/>
        <v>-6293.5570522320477</v>
      </c>
      <c r="G42" s="1530">
        <f t="shared" si="4"/>
        <v>-362806.82317175466</v>
      </c>
      <c r="H42" s="1396">
        <f t="shared" si="5"/>
        <v>-2182736.5499070687</v>
      </c>
      <c r="I42" s="810">
        <f t="shared" si="6"/>
        <v>-2198478.9420433291</v>
      </c>
      <c r="J42" s="39"/>
      <c r="K42" s="236"/>
      <c r="L42" s="73"/>
      <c r="M42" s="236"/>
    </row>
    <row r="43" spans="1:13" s="248" customFormat="1">
      <c r="A43" s="834">
        <f t="shared" si="2"/>
        <v>26.070000000000011</v>
      </c>
      <c r="B43" s="38">
        <v>1</v>
      </c>
      <c r="C43" s="1580">
        <v>42552</v>
      </c>
      <c r="D43" s="1581">
        <v>3.5000000000000003E-2</v>
      </c>
      <c r="E43" s="458">
        <f t="shared" si="3"/>
        <v>2.9166666666666668E-3</v>
      </c>
      <c r="F43" s="810">
        <f t="shared" si="1"/>
        <v>-7470.4168152106622</v>
      </c>
      <c r="G43" s="1530">
        <f t="shared" si="4"/>
        <v>-362806.82317175466</v>
      </c>
      <c r="H43" s="1396">
        <f t="shared" si="5"/>
        <v>-2561285.765215084</v>
      </c>
      <c r="I43" s="810">
        <f t="shared" si="6"/>
        <v>-2568756.1820302946</v>
      </c>
      <c r="J43" s="39"/>
      <c r="K43" s="236"/>
      <c r="L43" s="73"/>
      <c r="M43" s="236"/>
    </row>
    <row r="44" spans="1:13" s="248" customFormat="1">
      <c r="A44" s="834">
        <f t="shared" si="2"/>
        <v>26.080000000000013</v>
      </c>
      <c r="B44" s="38"/>
      <c r="C44" s="1580">
        <v>42583</v>
      </c>
      <c r="D44" s="1581">
        <v>3.5000000000000003E-2</v>
      </c>
      <c r="E44" s="458">
        <f t="shared" si="3"/>
        <v>2.9166666666666668E-3</v>
      </c>
      <c r="F44" s="810">
        <f t="shared" si="1"/>
        <v>-8528.6033827949468</v>
      </c>
      <c r="G44" s="1530">
        <f t="shared" si="4"/>
        <v>-362806.82317175466</v>
      </c>
      <c r="H44" s="1396">
        <f t="shared" si="5"/>
        <v>-2924092.5883868388</v>
      </c>
      <c r="I44" s="810">
        <f t="shared" si="6"/>
        <v>-2940091.6085848445</v>
      </c>
      <c r="J44" s="39"/>
      <c r="K44" s="236"/>
      <c r="L44" s="73"/>
      <c r="M44" s="236"/>
    </row>
    <row r="45" spans="1:13" s="248" customFormat="1">
      <c r="A45" s="834">
        <f t="shared" si="2"/>
        <v>26.090000000000014</v>
      </c>
      <c r="B45" s="38"/>
      <c r="C45" s="1580">
        <v>42614</v>
      </c>
      <c r="D45" s="1581">
        <v>3.5000000000000003E-2</v>
      </c>
      <c r="E45" s="458">
        <f t="shared" si="3"/>
        <v>2.9166666666666668E-3</v>
      </c>
      <c r="F45" s="810">
        <f t="shared" si="1"/>
        <v>-9586.7899503792323</v>
      </c>
      <c r="G45" s="1530">
        <f t="shared" si="4"/>
        <v>-362806.82317175466</v>
      </c>
      <c r="H45" s="1396">
        <f t="shared" si="5"/>
        <v>-3286899.4115585936</v>
      </c>
      <c r="I45" s="810">
        <f t="shared" si="6"/>
        <v>-3312485.2217069785</v>
      </c>
      <c r="J45" s="39"/>
      <c r="K45" s="236"/>
      <c r="L45" s="73"/>
      <c r="M45" s="236"/>
    </row>
    <row r="46" spans="1:13" s="248" customFormat="1">
      <c r="A46" s="834">
        <f t="shared" si="2"/>
        <v>26.100000000000016</v>
      </c>
      <c r="B46" s="38">
        <v>1</v>
      </c>
      <c r="C46" s="1580">
        <v>42644</v>
      </c>
      <c r="D46" s="1581">
        <v>3.5000000000000003E-2</v>
      </c>
      <c r="E46" s="458">
        <f t="shared" si="3"/>
        <v>2.9166666666666668E-3</v>
      </c>
      <c r="F46" s="810">
        <f t="shared" si="1"/>
        <v>-10719.601797562973</v>
      </c>
      <c r="G46" s="1530">
        <f t="shared" si="4"/>
        <v>-362806.82317175466</v>
      </c>
      <c r="H46" s="1396">
        <f t="shared" si="5"/>
        <v>-3675292.0448787333</v>
      </c>
      <c r="I46" s="810">
        <f t="shared" si="6"/>
        <v>-3686011.6466762964</v>
      </c>
      <c r="J46" s="39"/>
      <c r="K46" s="236"/>
      <c r="L46" s="73"/>
      <c r="M46" s="236"/>
    </row>
    <row r="47" spans="1:13" s="248" customFormat="1">
      <c r="A47" s="834">
        <f t="shared" si="2"/>
        <v>26.110000000000017</v>
      </c>
      <c r="B47" s="38"/>
      <c r="C47" s="1580">
        <v>42675</v>
      </c>
      <c r="D47" s="1581">
        <v>3.5000000000000003E-2</v>
      </c>
      <c r="E47" s="458">
        <f t="shared" si="3"/>
        <v>2.9166666666666668E-3</v>
      </c>
      <c r="F47" s="810">
        <f t="shared" si="1"/>
        <v>-11777.788365147258</v>
      </c>
      <c r="G47" s="1530">
        <f t="shared" si="4"/>
        <v>-362806.82317175466</v>
      </c>
      <c r="H47" s="1396">
        <f t="shared" si="5"/>
        <v>-4038098.8680504882</v>
      </c>
      <c r="I47" s="810">
        <f t="shared" si="6"/>
        <v>-4060596.2582131983</v>
      </c>
      <c r="J47" s="39"/>
      <c r="K47" s="236"/>
      <c r="L47" s="73"/>
      <c r="M47" s="236"/>
    </row>
    <row r="48" spans="1:13" s="248" customFormat="1">
      <c r="A48" s="834">
        <f t="shared" si="2"/>
        <v>26.120000000000019</v>
      </c>
      <c r="B48" s="38"/>
      <c r="C48" s="1580">
        <v>42705</v>
      </c>
      <c r="D48" s="1581">
        <v>3.5000000000000003E-2</v>
      </c>
      <c r="E48" s="458">
        <f t="shared" si="3"/>
        <v>2.9166666666666668E-3</v>
      </c>
      <c r="F48" s="810">
        <f t="shared" si="1"/>
        <v>-12835.974932731542</v>
      </c>
      <c r="G48" s="1530">
        <f t="shared" si="4"/>
        <v>-362806.82317175466</v>
      </c>
      <c r="H48" s="1396">
        <f t="shared" si="5"/>
        <v>-4400905.691222243</v>
      </c>
      <c r="I48" s="810">
        <f t="shared" si="6"/>
        <v>-4436239.0563176842</v>
      </c>
      <c r="J48" s="39"/>
      <c r="K48" s="236"/>
      <c r="L48" s="73"/>
      <c r="M48" s="236"/>
    </row>
    <row r="49" spans="1:13" s="248" customFormat="1" ht="15">
      <c r="A49" s="834">
        <f t="shared" si="2"/>
        <v>26.13000000000002</v>
      </c>
      <c r="B49" s="38">
        <v>1</v>
      </c>
      <c r="C49" s="1580">
        <v>42736</v>
      </c>
      <c r="D49" s="1581">
        <v>3.5000000000000003E-2</v>
      </c>
      <c r="E49" s="458">
        <f t="shared" si="3"/>
        <v>2.9166666666666668E-3</v>
      </c>
      <c r="F49" s="810">
        <f t="shared" si="1"/>
        <v>-12939.030580926579</v>
      </c>
      <c r="G49" s="1530"/>
      <c r="H49" s="1396">
        <f t="shared" si="5"/>
        <v>-4436239.0563176842</v>
      </c>
      <c r="I49" s="810">
        <f t="shared" si="6"/>
        <v>-4449178.0868986109</v>
      </c>
      <c r="J49" s="39"/>
      <c r="K49" s="464"/>
      <c r="L49" s="453"/>
      <c r="M49" s="464"/>
    </row>
    <row r="50" spans="1:13" s="248" customFormat="1">
      <c r="A50" s="834">
        <f t="shared" si="2"/>
        <v>26.140000000000022</v>
      </c>
      <c r="B50" s="78"/>
      <c r="C50" s="1580">
        <v>42767</v>
      </c>
      <c r="D50" s="1581">
        <v>3.5000000000000003E-2</v>
      </c>
      <c r="E50" s="458">
        <f t="shared" si="3"/>
        <v>2.9166666666666668E-3</v>
      </c>
      <c r="F50" s="810">
        <f t="shared" si="1"/>
        <v>-12939.030580926579</v>
      </c>
      <c r="G50" s="1530"/>
      <c r="H50" s="1396">
        <f t="shared" si="5"/>
        <v>-4436239.0563176842</v>
      </c>
      <c r="I50" s="810">
        <f t="shared" si="6"/>
        <v>-4462117.1174795376</v>
      </c>
      <c r="J50" s="39"/>
      <c r="K50" s="236"/>
      <c r="L50" s="236"/>
      <c r="M50" s="39"/>
    </row>
    <row r="51" spans="1:13" s="248" customFormat="1">
      <c r="A51" s="834">
        <f t="shared" si="2"/>
        <v>26.150000000000023</v>
      </c>
      <c r="B51" s="465"/>
      <c r="C51" s="1580">
        <v>42795</v>
      </c>
      <c r="D51" s="1581">
        <v>3.5000000000000003E-2</v>
      </c>
      <c r="E51" s="458">
        <f t="shared" si="3"/>
        <v>2.9166666666666668E-3</v>
      </c>
      <c r="F51" s="810">
        <f t="shared" si="1"/>
        <v>-12939.030580926579</v>
      </c>
      <c r="G51" s="1530"/>
      <c r="H51" s="1396">
        <f t="shared" si="5"/>
        <v>-4436239.0563176842</v>
      </c>
      <c r="I51" s="810">
        <f t="shared" si="6"/>
        <v>-4475056.1480604643</v>
      </c>
      <c r="J51" s="39"/>
      <c r="K51" s="39"/>
      <c r="L51" s="39"/>
      <c r="M51" s="39"/>
    </row>
    <row r="52" spans="1:13" s="248" customFormat="1">
      <c r="A52" s="834">
        <f t="shared" si="2"/>
        <v>26.160000000000025</v>
      </c>
      <c r="B52" s="38">
        <v>1</v>
      </c>
      <c r="C52" s="1580">
        <v>42826</v>
      </c>
      <c r="D52" s="1581">
        <v>3.7100000000000001E-2</v>
      </c>
      <c r="E52" s="458">
        <f t="shared" si="3"/>
        <v>3.0916666666666666E-3</v>
      </c>
      <c r="F52" s="810">
        <f t="shared" si="1"/>
        <v>-13835.381924420268</v>
      </c>
      <c r="G52" s="1530"/>
      <c r="H52" s="1396">
        <f t="shared" si="5"/>
        <v>-4475056.1480604643</v>
      </c>
      <c r="I52" s="810">
        <f t="shared" si="6"/>
        <v>-4488891.5299848849</v>
      </c>
      <c r="J52" s="39"/>
      <c r="K52" s="39"/>
      <c r="L52" s="39"/>
      <c r="M52" s="39"/>
    </row>
    <row r="53" spans="1:13" s="248" customFormat="1">
      <c r="A53" s="834">
        <f t="shared" si="2"/>
        <v>26.170000000000027</v>
      </c>
      <c r="B53" s="465"/>
      <c r="C53" s="1580">
        <v>42856</v>
      </c>
      <c r="D53" s="1581">
        <v>3.7100000000000001E-2</v>
      </c>
      <c r="E53" s="458">
        <f t="shared" si="3"/>
        <v>3.0916666666666666E-3</v>
      </c>
      <c r="F53" s="810">
        <f t="shared" si="1"/>
        <v>-13835.381924420268</v>
      </c>
      <c r="G53" s="1530"/>
      <c r="H53" s="1396">
        <f t="shared" si="5"/>
        <v>-4475056.1480604643</v>
      </c>
      <c r="I53" s="810">
        <f t="shared" si="6"/>
        <v>-4502726.9119093055</v>
      </c>
      <c r="J53" s="39"/>
      <c r="K53" s="38"/>
      <c r="L53" s="38"/>
      <c r="M53" s="38"/>
    </row>
    <row r="54" spans="1:13" s="248" customFormat="1">
      <c r="A54" s="834">
        <f t="shared" si="2"/>
        <v>26.180000000000028</v>
      </c>
      <c r="B54" s="465"/>
      <c r="C54" s="1580">
        <v>42887</v>
      </c>
      <c r="D54" s="1581">
        <v>3.7100000000000001E-2</v>
      </c>
      <c r="E54" s="458">
        <f t="shared" si="3"/>
        <v>3.0916666666666666E-3</v>
      </c>
      <c r="F54" s="810">
        <f t="shared" si="1"/>
        <v>-12655.58537551329</v>
      </c>
      <c r="G54" s="1202">
        <v>381605.35274619213</v>
      </c>
      <c r="H54" s="1396">
        <f>IF((B54=1),I53+G54,+H53+G54)</f>
        <v>-4093450.7953142719</v>
      </c>
      <c r="I54" s="810">
        <f>I53+F54+G54</f>
        <v>-4133777.1445386261</v>
      </c>
      <c r="J54" s="39"/>
      <c r="K54" s="38"/>
      <c r="L54" s="38"/>
      <c r="M54" s="38"/>
    </row>
    <row r="55" spans="1:13" s="248" customFormat="1">
      <c r="A55" s="834">
        <f t="shared" si="2"/>
        <v>26.19000000000003</v>
      </c>
      <c r="B55" s="38">
        <v>1</v>
      </c>
      <c r="C55" s="1580">
        <v>42917</v>
      </c>
      <c r="D55" s="1581">
        <v>3.7100000000000001E-2</v>
      </c>
      <c r="E55" s="458">
        <f t="shared" si="3"/>
        <v>3.0916666666666666E-3</v>
      </c>
      <c r="F55" s="810">
        <f t="shared" si="1"/>
        <v>-11600.464456291607</v>
      </c>
      <c r="G55" s="1530">
        <f>+G54</f>
        <v>381605.35274619213</v>
      </c>
      <c r="H55" s="1396">
        <f t="shared" si="5"/>
        <v>-3752171.7917924337</v>
      </c>
      <c r="I55" s="810">
        <f t="shared" si="6"/>
        <v>-3763772.2562487256</v>
      </c>
      <c r="J55" s="39"/>
      <c r="K55" s="38"/>
      <c r="L55" s="38"/>
      <c r="M55" s="38"/>
    </row>
    <row r="56" spans="1:13" s="248" customFormat="1">
      <c r="A56" s="834">
        <f t="shared" si="2"/>
        <v>26.200000000000031</v>
      </c>
      <c r="B56" s="39"/>
      <c r="C56" s="1580">
        <v>42948</v>
      </c>
      <c r="D56" s="1581">
        <v>3.7100000000000001E-2</v>
      </c>
      <c r="E56" s="458">
        <f t="shared" si="3"/>
        <v>3.0916666666666666E-3</v>
      </c>
      <c r="F56" s="810">
        <f t="shared" si="1"/>
        <v>-10420.66790738463</v>
      </c>
      <c r="G56" s="1530">
        <f>+G55</f>
        <v>381605.35274619213</v>
      </c>
      <c r="H56" s="1396">
        <f t="shared" si="5"/>
        <v>-3370566.4390462413</v>
      </c>
      <c r="I56" s="810">
        <f t="shared" si="6"/>
        <v>-3392587.5714099184</v>
      </c>
      <c r="J56" s="39"/>
      <c r="K56" s="38"/>
      <c r="L56" s="38"/>
      <c r="M56" s="38"/>
    </row>
    <row r="57" spans="1:13" s="248" customFormat="1">
      <c r="A57" s="834">
        <f t="shared" si="2"/>
        <v>26.210000000000033</v>
      </c>
      <c r="B57" s="39"/>
      <c r="C57" s="1580">
        <v>42979</v>
      </c>
      <c r="D57" s="1581">
        <v>3.7100000000000001E-2</v>
      </c>
      <c r="E57" s="458">
        <f t="shared" si="3"/>
        <v>3.0916666666666666E-3</v>
      </c>
      <c r="F57" s="810">
        <f t="shared" si="1"/>
        <v>-9240.8713584776506</v>
      </c>
      <c r="G57" s="1530">
        <f t="shared" ref="G57:G65" si="7">+G56</f>
        <v>381605.35274619213</v>
      </c>
      <c r="H57" s="1396">
        <f t="shared" si="5"/>
        <v>-2988961.086300049</v>
      </c>
      <c r="I57" s="810">
        <f t="shared" si="6"/>
        <v>-3020223.0900222035</v>
      </c>
      <c r="J57" s="39"/>
      <c r="K57" s="38"/>
      <c r="L57" s="38"/>
      <c r="M57" s="38"/>
    </row>
    <row r="58" spans="1:13" s="248" customFormat="1">
      <c r="A58" s="834">
        <f t="shared" si="2"/>
        <v>26.220000000000034</v>
      </c>
      <c r="B58" s="38">
        <v>1</v>
      </c>
      <c r="C58" s="1580">
        <v>43009</v>
      </c>
      <c r="D58" s="1581">
        <v>3.7100000000000001E-2</v>
      </c>
      <c r="E58" s="458">
        <f t="shared" si="3"/>
        <v>3.0916666666666666E-3</v>
      </c>
      <c r="F58" s="810">
        <f t="shared" si="1"/>
        <v>-8157.7265044116675</v>
      </c>
      <c r="G58" s="1530">
        <f t="shared" si="7"/>
        <v>381605.35274619213</v>
      </c>
      <c r="H58" s="1396">
        <f t="shared" si="5"/>
        <v>-2638617.7372760111</v>
      </c>
      <c r="I58" s="810">
        <f t="shared" si="6"/>
        <v>-2646775.4637804227</v>
      </c>
      <c r="J58" s="39"/>
      <c r="K58" s="38" t="s">
        <v>424</v>
      </c>
      <c r="L58" s="38"/>
      <c r="M58" s="38"/>
    </row>
    <row r="59" spans="1:13" s="248" customFormat="1">
      <c r="A59" s="834">
        <f t="shared" si="2"/>
        <v>26.230000000000036</v>
      </c>
      <c r="B59" s="39"/>
      <c r="C59" s="1580">
        <v>43040</v>
      </c>
      <c r="D59" s="1581">
        <v>3.7100000000000001E-2</v>
      </c>
      <c r="E59" s="458">
        <f t="shared" si="3"/>
        <v>3.0916666666666666E-3</v>
      </c>
      <c r="F59" s="810">
        <f t="shared" si="1"/>
        <v>-6977.92995550469</v>
      </c>
      <c r="G59" s="1530">
        <f t="shared" si="7"/>
        <v>381605.35274619213</v>
      </c>
      <c r="H59" s="1396">
        <f t="shared" si="5"/>
        <v>-2257012.3845298188</v>
      </c>
      <c r="I59" s="810">
        <f t="shared" si="6"/>
        <v>-2272148.0409897352</v>
      </c>
      <c r="J59" s="39"/>
      <c r="K59" s="38" t="s">
        <v>425</v>
      </c>
      <c r="L59" s="38"/>
      <c r="M59" s="38"/>
    </row>
    <row r="60" spans="1:13" s="248" customFormat="1">
      <c r="A60" s="834">
        <f t="shared" si="2"/>
        <v>26.240000000000038</v>
      </c>
      <c r="B60" s="39"/>
      <c r="C60" s="1580">
        <v>43070</v>
      </c>
      <c r="D60" s="1581">
        <v>3.7100000000000001E-2</v>
      </c>
      <c r="E60" s="458">
        <f t="shared" si="3"/>
        <v>3.0916666666666666E-3</v>
      </c>
      <c r="F60" s="810">
        <f t="shared" si="1"/>
        <v>-5798.1334065977126</v>
      </c>
      <c r="G60" s="1530">
        <f t="shared" si="7"/>
        <v>381605.35274619213</v>
      </c>
      <c r="H60" s="1396">
        <f t="shared" si="5"/>
        <v>-1875407.0317836266</v>
      </c>
      <c r="I60" s="810">
        <f t="shared" si="6"/>
        <v>-1896340.8216501407</v>
      </c>
      <c r="J60" s="39"/>
      <c r="K60" s="38"/>
      <c r="L60" s="38"/>
      <c r="M60" s="38"/>
    </row>
    <row r="61" spans="1:13" s="248" customFormat="1">
      <c r="A61" s="834">
        <f t="shared" si="2"/>
        <v>26.250000000000039</v>
      </c>
      <c r="B61" s="38">
        <v>1</v>
      </c>
      <c r="C61" s="1580">
        <v>43101</v>
      </c>
      <c r="D61" s="1581">
        <v>3.7100000000000001E-2</v>
      </c>
      <c r="E61" s="458">
        <f t="shared" si="3"/>
        <v>3.0916666666666666E-3</v>
      </c>
      <c r="F61" s="810">
        <f t="shared" si="1"/>
        <v>-4683.0571580280412</v>
      </c>
      <c r="G61" s="1530">
        <f t="shared" si="7"/>
        <v>381605.35274619213</v>
      </c>
      <c r="H61" s="1396">
        <f t="shared" si="5"/>
        <v>-1514735.4689039486</v>
      </c>
      <c r="I61" s="810">
        <f t="shared" si="6"/>
        <v>-1519418.5260619766</v>
      </c>
      <c r="J61" s="38"/>
      <c r="K61" s="38" t="s">
        <v>426</v>
      </c>
      <c r="L61" s="38"/>
      <c r="M61" s="38"/>
    </row>
    <row r="62" spans="1:13" s="248" customFormat="1">
      <c r="A62" s="834">
        <f t="shared" si="2"/>
        <v>26.260000000000041</v>
      </c>
      <c r="B62" s="78"/>
      <c r="C62" s="1580">
        <v>43132</v>
      </c>
      <c r="D62" s="1581">
        <v>3.7100000000000001E-2</v>
      </c>
      <c r="E62" s="458">
        <f t="shared" si="3"/>
        <v>3.0916666666666666E-3</v>
      </c>
      <c r="F62" s="810">
        <f t="shared" si="1"/>
        <v>-3503.2606091210637</v>
      </c>
      <c r="G62" s="1530">
        <f t="shared" si="7"/>
        <v>381605.35274619213</v>
      </c>
      <c r="H62" s="1396">
        <f t="shared" si="5"/>
        <v>-1133130.1161577564</v>
      </c>
      <c r="I62" s="810">
        <f t="shared" si="6"/>
        <v>-1141316.4339249055</v>
      </c>
      <c r="J62" s="38"/>
      <c r="K62" s="38"/>
      <c r="L62" s="866" t="s">
        <v>427</v>
      </c>
      <c r="M62" s="867" t="str">
        <f ca="1">CELL("address",I65)</f>
        <v>$I$65</v>
      </c>
    </row>
    <row r="63" spans="1:13" s="248" customFormat="1">
      <c r="A63" s="834">
        <f t="shared" si="2"/>
        <v>26.270000000000042</v>
      </c>
      <c r="B63" s="465"/>
      <c r="C63" s="1580">
        <v>43160</v>
      </c>
      <c r="D63" s="1581">
        <v>3.7100000000000001E-2</v>
      </c>
      <c r="E63" s="458">
        <f t="shared" si="3"/>
        <v>3.0916666666666666E-3</v>
      </c>
      <c r="F63" s="810">
        <f t="shared" si="1"/>
        <v>-2323.4640602140862</v>
      </c>
      <c r="G63" s="1530">
        <f t="shared" si="7"/>
        <v>381605.35274619213</v>
      </c>
      <c r="H63" s="1396">
        <f t="shared" si="5"/>
        <v>-751524.76341156429</v>
      </c>
      <c r="I63" s="810">
        <f t="shared" si="6"/>
        <v>-762034.54523892747</v>
      </c>
      <c r="J63" s="38"/>
      <c r="K63" s="38"/>
      <c r="L63" s="866" t="s">
        <v>428</v>
      </c>
      <c r="M63" s="866">
        <v>0</v>
      </c>
    </row>
    <row r="64" spans="1:13" s="248" customFormat="1">
      <c r="A64" s="834">
        <f t="shared" si="2"/>
        <v>26.280000000000044</v>
      </c>
      <c r="B64" s="38">
        <v>1</v>
      </c>
      <c r="C64" s="1580">
        <v>43191</v>
      </c>
      <c r="D64" s="1581">
        <v>3.7100000000000001E-2</v>
      </c>
      <c r="E64" s="458">
        <f t="shared" si="3"/>
        <v>3.0916666666666666E-3</v>
      </c>
      <c r="F64" s="810">
        <f t="shared" si="1"/>
        <v>-1176.1602534567066</v>
      </c>
      <c r="G64" s="1530">
        <f t="shared" si="7"/>
        <v>381605.35274619213</v>
      </c>
      <c r="H64" s="1396">
        <f t="shared" si="5"/>
        <v>-380429.19249273534</v>
      </c>
      <c r="I64" s="810">
        <f t="shared" si="6"/>
        <v>-381605.35274619202</v>
      </c>
      <c r="J64" s="38"/>
      <c r="K64" s="38"/>
      <c r="L64" s="866" t="s">
        <v>429</v>
      </c>
      <c r="M64" s="867" t="str">
        <f ca="1">CELL("address",G54)</f>
        <v>$G$54</v>
      </c>
    </row>
    <row r="65" spans="1:21" s="248" customFormat="1" ht="15">
      <c r="A65" s="834">
        <f t="shared" si="2"/>
        <v>26.290000000000045</v>
      </c>
      <c r="B65" s="38"/>
      <c r="C65" s="1580">
        <v>43221</v>
      </c>
      <c r="D65" s="1581">
        <v>3.7100000000000001E-2</v>
      </c>
      <c r="E65" s="458">
        <f t="shared" si="3"/>
        <v>3.0916666666666666E-3</v>
      </c>
      <c r="F65" s="1582">
        <f>H65*E65</f>
        <v>0</v>
      </c>
      <c r="G65" s="1530">
        <f t="shared" si="7"/>
        <v>381605.35274619213</v>
      </c>
      <c r="H65" s="1396"/>
      <c r="I65" s="1584">
        <f t="shared" si="6"/>
        <v>0</v>
      </c>
      <c r="J65" s="38"/>
      <c r="K65" s="38"/>
      <c r="L65" s="38"/>
      <c r="M65" s="38"/>
    </row>
    <row r="66" spans="1:21" s="248" customFormat="1">
      <c r="A66" s="836">
        <f>+A36+1</f>
        <v>27</v>
      </c>
      <c r="B66" s="38" t="s">
        <v>830</v>
      </c>
      <c r="C66" s="457"/>
      <c r="D66" s="463"/>
      <c r="E66" s="1088"/>
      <c r="F66" s="810">
        <f>SUM(F37:F65)</f>
        <v>-225582.35489324955</v>
      </c>
      <c r="G66" s="249"/>
      <c r="H66" s="459" t="str">
        <f>+"Col. "&amp;F6&amp;" Sum of Line "&amp;A36&amp;" Subparts"</f>
        <v>Col. E Sum of Line 26 Subparts</v>
      </c>
      <c r="I66" s="869"/>
      <c r="J66" s="38"/>
      <c r="K66" s="38"/>
      <c r="L66" s="38"/>
      <c r="M66" s="38"/>
    </row>
    <row r="67" spans="1:21" s="248" customFormat="1" ht="13.8" thickBot="1">
      <c r="A67" s="1438">
        <f>A66+1</f>
        <v>28</v>
      </c>
      <c r="B67" s="1439" t="s">
        <v>1134</v>
      </c>
      <c r="C67" s="457"/>
      <c r="D67" s="463"/>
      <c r="E67" s="1088"/>
      <c r="F67" s="1440">
        <f>+G29+G31</f>
        <v>-4353681.8780610561</v>
      </c>
      <c r="G67" s="73"/>
      <c r="H67" s="1702" t="str">
        <f>+"Col. "&amp;G6&amp;" Line "&amp;A29&amp;" + Line "&amp;A31</f>
        <v>Col. F Line 21 + Line 23</v>
      </c>
      <c r="I67" s="1702"/>
      <c r="J67" s="38"/>
      <c r="K67" s="38"/>
      <c r="L67" s="38"/>
      <c r="M67" s="38"/>
    </row>
    <row r="68" spans="1:21" s="248" customFormat="1" ht="13.8" thickBot="1">
      <c r="A68" s="1438">
        <f>A67+1</f>
        <v>29</v>
      </c>
      <c r="B68" s="38" t="s">
        <v>1135</v>
      </c>
      <c r="C68" s="457"/>
      <c r="D68" s="463"/>
      <c r="E68" s="1088"/>
      <c r="F68" s="1441">
        <f>SUM(F66:F67)</f>
        <v>-4579264.2329543056</v>
      </c>
      <c r="G68" s="73"/>
      <c r="H68" s="459" t="str">
        <f>+"Col. "&amp;F6&amp;" Line "&amp;A66&amp;" + "&amp;A67</f>
        <v>Col. E Line 27 + 28</v>
      </c>
      <c r="I68" s="459"/>
      <c r="J68" s="38"/>
      <c r="K68" s="38"/>
      <c r="L68" s="38"/>
      <c r="M68" s="38"/>
    </row>
    <row r="69" spans="1:21" s="248" customFormat="1">
      <c r="A69" s="39"/>
      <c r="B69" s="38"/>
      <c r="C69" s="38"/>
      <c r="D69" s="38"/>
      <c r="E69" s="38"/>
      <c r="F69" s="38"/>
      <c r="G69" s="810"/>
      <c r="H69" s="38"/>
      <c r="I69" s="38"/>
      <c r="J69" s="38"/>
      <c r="K69" s="38"/>
      <c r="L69" s="38"/>
      <c r="M69" s="38"/>
    </row>
    <row r="70" spans="1:21" s="39" customFormat="1">
      <c r="B70" s="38"/>
      <c r="C70" s="457"/>
      <c r="D70" s="463"/>
      <c r="E70" s="1088"/>
      <c r="F70" s="459"/>
      <c r="G70" s="460"/>
      <c r="H70" s="466"/>
      <c r="I70" s="459"/>
      <c r="J70" s="38"/>
      <c r="K70" s="38"/>
      <c r="L70" s="38"/>
      <c r="M70" s="38"/>
    </row>
    <row r="71" spans="1:21" s="248" customFormat="1">
      <c r="A71" s="39" t="s">
        <v>295</v>
      </c>
      <c r="B71" s="38"/>
      <c r="C71" s="457"/>
      <c r="D71" s="463"/>
      <c r="E71" s="1088"/>
      <c r="F71" s="459"/>
      <c r="G71" s="460"/>
      <c r="H71" s="466"/>
      <c r="I71" s="459"/>
      <c r="J71" s="39"/>
      <c r="K71" s="39"/>
      <c r="L71" s="39"/>
      <c r="M71" s="39"/>
    </row>
    <row r="72" spans="1:21" s="248" customFormat="1" ht="39.6" customHeight="1">
      <c r="A72" s="658">
        <v>1</v>
      </c>
      <c r="B72" s="1700" t="s">
        <v>1109</v>
      </c>
      <c r="C72" s="1700"/>
      <c r="D72" s="1700"/>
      <c r="E72" s="1700"/>
      <c r="F72" s="1700"/>
      <c r="G72" s="1700"/>
      <c r="H72" s="1700"/>
      <c r="I72" s="1700"/>
      <c r="J72" s="39"/>
      <c r="K72" s="39"/>
      <c r="L72" s="39"/>
      <c r="M72" s="39"/>
    </row>
    <row r="73" spans="1:21" s="248" customFormat="1" ht="27" customHeight="1">
      <c r="A73" s="835">
        <v>2</v>
      </c>
      <c r="B73" s="1697" t="s">
        <v>1131</v>
      </c>
      <c r="C73" s="1697"/>
      <c r="D73" s="1697"/>
      <c r="E73" s="1697"/>
      <c r="F73" s="1697"/>
      <c r="G73" s="1697"/>
      <c r="H73" s="1697"/>
      <c r="I73" s="1697"/>
      <c r="J73" s="39"/>
      <c r="K73" s="1698"/>
      <c r="L73" s="1698"/>
      <c r="M73" s="1698"/>
      <c r="N73" s="1698"/>
      <c r="O73" s="1698"/>
      <c r="P73" s="1698"/>
      <c r="Q73" s="1698"/>
      <c r="R73" s="1698"/>
      <c r="S73" s="1698"/>
      <c r="T73" s="1698"/>
      <c r="U73" s="1698"/>
    </row>
    <row r="74" spans="1:21" s="248" customFormat="1" ht="27" customHeight="1">
      <c r="A74" s="658">
        <v>3</v>
      </c>
      <c r="B74" s="1697" t="s">
        <v>451</v>
      </c>
      <c r="C74" s="1697"/>
      <c r="D74" s="1697"/>
      <c r="E74" s="1697"/>
      <c r="F74" s="1697"/>
      <c r="G74" s="1697"/>
      <c r="H74" s="1697"/>
      <c r="I74" s="1697"/>
      <c r="J74" s="39"/>
      <c r="K74" s="39"/>
      <c r="L74" s="39"/>
      <c r="M74" s="39"/>
    </row>
    <row r="75" spans="1:21" s="248" customFormat="1" ht="66" customHeight="1">
      <c r="A75" s="658">
        <v>4</v>
      </c>
      <c r="B75" s="1697" t="s">
        <v>1136</v>
      </c>
      <c r="C75" s="1697"/>
      <c r="D75" s="1697"/>
      <c r="E75" s="1697"/>
      <c r="F75" s="1697"/>
      <c r="G75" s="1697"/>
      <c r="H75" s="1697"/>
      <c r="I75" s="1697"/>
      <c r="J75" s="39"/>
      <c r="K75" s="39"/>
      <c r="L75" s="39"/>
      <c r="M75" s="39"/>
    </row>
    <row r="76" spans="1:21" s="248" customFormat="1" ht="39" customHeight="1">
      <c r="A76" s="530">
        <v>5</v>
      </c>
      <c r="B76" s="1697" t="s">
        <v>1137</v>
      </c>
      <c r="C76" s="1697"/>
      <c r="D76" s="1697"/>
      <c r="E76" s="1697"/>
      <c r="F76" s="1697"/>
      <c r="G76" s="1697"/>
      <c r="H76" s="1697"/>
      <c r="I76" s="1697"/>
      <c r="J76" s="39"/>
      <c r="K76" s="39"/>
      <c r="L76" s="39"/>
      <c r="M76" s="39"/>
    </row>
    <row r="77" spans="1:21" s="248" customFormat="1" ht="79.95" customHeight="1">
      <c r="A77" s="530">
        <v>6</v>
      </c>
      <c r="B77" s="1697" t="s">
        <v>1138</v>
      </c>
      <c r="C77" s="1697"/>
      <c r="D77" s="1697"/>
      <c r="E77" s="1697"/>
      <c r="F77" s="1697"/>
      <c r="G77" s="1697"/>
      <c r="H77" s="1697"/>
      <c r="I77" s="1697"/>
      <c r="J77" s="39"/>
      <c r="K77" s="39"/>
      <c r="L77" s="39"/>
      <c r="M77" s="39"/>
    </row>
    <row r="78" spans="1:21" s="248" customFormat="1" ht="54.6" customHeight="1">
      <c r="A78" s="1437">
        <v>7</v>
      </c>
      <c r="B78" s="1697" t="s">
        <v>1139</v>
      </c>
      <c r="C78" s="1697"/>
      <c r="D78" s="1697"/>
      <c r="E78" s="1697"/>
      <c r="F78" s="1697"/>
      <c r="G78" s="1697"/>
      <c r="H78" s="1697"/>
      <c r="I78" s="1697"/>
      <c r="J78" s="39"/>
      <c r="K78" s="39"/>
      <c r="L78" s="39"/>
      <c r="M78" s="39"/>
    </row>
    <row r="79" spans="1:21" s="248" customFormat="1">
      <c r="A79" s="691"/>
      <c r="B79" s="723"/>
      <c r="C79" s="484"/>
      <c r="D79" s="485"/>
      <c r="E79" s="486"/>
      <c r="F79" s="459"/>
      <c r="G79" s="460"/>
      <c r="H79" s="466"/>
      <c r="I79" s="459"/>
      <c r="J79" s="39"/>
      <c r="K79" s="39"/>
      <c r="L79" s="39"/>
      <c r="M79" s="39"/>
    </row>
    <row r="80" spans="1:21" s="248" customFormat="1">
      <c r="A80" s="691"/>
      <c r="B80" s="38"/>
      <c r="C80" s="457"/>
      <c r="D80" s="468"/>
      <c r="E80" s="458"/>
      <c r="F80" s="459"/>
      <c r="G80" s="460"/>
      <c r="H80" s="466"/>
      <c r="I80" s="459"/>
      <c r="J80" s="39"/>
      <c r="K80" s="39"/>
      <c r="L80" s="39"/>
      <c r="M80" s="39"/>
    </row>
    <row r="81" spans="1:13" s="248" customFormat="1">
      <c r="A81" s="39"/>
      <c r="B81" s="38"/>
      <c r="C81" s="457"/>
      <c r="D81" s="468"/>
      <c r="E81" s="458"/>
      <c r="F81" s="459"/>
      <c r="G81" s="460"/>
      <c r="H81" s="466"/>
      <c r="I81" s="459"/>
      <c r="J81" s="39"/>
      <c r="K81" s="39"/>
      <c r="L81" s="39"/>
      <c r="M81" s="39"/>
    </row>
    <row r="82" spans="1:13" s="248" customFormat="1">
      <c r="A82" s="39"/>
      <c r="B82" s="38"/>
      <c r="C82" s="457"/>
      <c r="D82" s="468"/>
      <c r="E82" s="458"/>
      <c r="F82" s="459"/>
      <c r="G82" s="460"/>
      <c r="H82" s="466"/>
      <c r="I82" s="459"/>
      <c r="J82" s="39"/>
      <c r="K82" s="39"/>
      <c r="L82" s="39"/>
      <c r="M82" s="39"/>
    </row>
    <row r="83" spans="1:13" s="248" customFormat="1">
      <c r="A83" s="39"/>
      <c r="B83" s="38"/>
      <c r="C83" s="457"/>
      <c r="D83" s="468"/>
      <c r="E83" s="458"/>
      <c r="F83" s="459"/>
      <c r="G83" s="460"/>
      <c r="H83" s="466"/>
      <c r="I83" s="459"/>
      <c r="J83" s="39"/>
      <c r="K83" s="39"/>
      <c r="L83" s="39"/>
      <c r="M83" s="39"/>
    </row>
    <row r="84" spans="1:13" s="248" customFormat="1">
      <c r="A84" s="39"/>
      <c r="B84" s="38"/>
      <c r="C84" s="457"/>
      <c r="D84" s="468"/>
      <c r="E84" s="458"/>
      <c r="F84" s="459"/>
      <c r="G84" s="460"/>
      <c r="H84" s="466"/>
      <c r="I84" s="459"/>
      <c r="J84" s="39"/>
      <c r="K84" s="39"/>
      <c r="L84" s="39"/>
      <c r="M84" s="39"/>
    </row>
    <row r="85" spans="1:13" s="248" customFormat="1">
      <c r="A85" s="39"/>
      <c r="B85" s="38"/>
      <c r="C85" s="457"/>
      <c r="D85" s="468"/>
      <c r="E85" s="458"/>
      <c r="F85" s="459"/>
      <c r="G85" s="460"/>
      <c r="H85" s="466"/>
      <c r="I85" s="459"/>
      <c r="J85" s="39"/>
      <c r="K85" s="39"/>
      <c r="L85" s="39"/>
      <c r="M85" s="39"/>
    </row>
    <row r="86" spans="1:13" s="248" customFormat="1">
      <c r="A86" s="39"/>
      <c r="B86" s="39"/>
      <c r="C86" s="457"/>
      <c r="D86" s="468"/>
      <c r="E86" s="458"/>
      <c r="F86" s="459"/>
      <c r="G86" s="460"/>
      <c r="H86" s="466"/>
      <c r="I86" s="459"/>
      <c r="J86" s="39"/>
      <c r="K86" s="39"/>
      <c r="L86" s="39"/>
      <c r="M86" s="39"/>
    </row>
    <row r="87" spans="1:13" s="248" customFormat="1">
      <c r="A87" s="39"/>
      <c r="B87" s="39"/>
      <c r="C87" s="457"/>
      <c r="D87" s="468"/>
      <c r="E87" s="458"/>
      <c r="F87" s="459"/>
      <c r="G87" s="460"/>
      <c r="H87" s="466"/>
      <c r="I87" s="459"/>
      <c r="J87" s="39"/>
      <c r="K87" s="39"/>
      <c r="L87" s="39"/>
      <c r="M87" s="39"/>
    </row>
    <row r="88" spans="1:13" s="248" customFormat="1">
      <c r="A88" s="39"/>
      <c r="B88" s="39"/>
      <c r="C88" s="457"/>
      <c r="D88" s="468"/>
      <c r="E88" s="458"/>
      <c r="F88" s="459"/>
      <c r="G88" s="460"/>
      <c r="H88" s="466"/>
      <c r="I88" s="459"/>
      <c r="J88" s="39"/>
      <c r="K88" s="39"/>
      <c r="L88" s="39"/>
      <c r="M88" s="39"/>
    </row>
    <row r="89" spans="1:13" s="248" customFormat="1">
      <c r="A89" s="39"/>
      <c r="B89" s="39"/>
      <c r="C89" s="457"/>
      <c r="D89" s="468"/>
      <c r="E89" s="458"/>
      <c r="F89" s="459"/>
      <c r="G89" s="460"/>
      <c r="H89" s="466"/>
      <c r="I89" s="459"/>
      <c r="J89" s="39"/>
      <c r="K89" s="39"/>
      <c r="L89" s="39"/>
      <c r="M89" s="39"/>
    </row>
    <row r="90" spans="1:13" s="248" customFormat="1">
      <c r="A90" s="39"/>
      <c r="B90" s="39"/>
      <c r="C90" s="457"/>
      <c r="D90" s="468"/>
      <c r="E90" s="458"/>
      <c r="F90" s="459"/>
      <c r="G90" s="460"/>
      <c r="H90" s="466"/>
      <c r="I90" s="459"/>
      <c r="J90" s="39"/>
      <c r="K90" s="39"/>
      <c r="L90" s="39"/>
      <c r="M90" s="39"/>
    </row>
    <row r="91" spans="1:13" s="248" customFormat="1">
      <c r="A91" s="39"/>
      <c r="B91" s="39"/>
      <c r="C91" s="457"/>
      <c r="D91" s="468"/>
      <c r="E91" s="458"/>
      <c r="F91" s="459"/>
      <c r="G91" s="460"/>
      <c r="H91" s="466"/>
      <c r="I91" s="459"/>
      <c r="J91" s="39"/>
      <c r="K91" s="39"/>
      <c r="L91" s="39"/>
      <c r="M91" s="39"/>
    </row>
    <row r="92" spans="1:13" s="248" customFormat="1">
      <c r="A92" s="39"/>
      <c r="B92" s="39"/>
      <c r="C92" s="457"/>
      <c r="D92" s="468"/>
      <c r="E92" s="458"/>
      <c r="F92" s="459"/>
      <c r="G92" s="460"/>
      <c r="H92" s="466"/>
      <c r="I92" s="459"/>
      <c r="J92" s="39"/>
      <c r="K92" s="39"/>
      <c r="L92" s="39"/>
      <c r="M92" s="39"/>
    </row>
    <row r="93" spans="1:13" s="248" customFormat="1">
      <c r="A93" s="39"/>
      <c r="B93" s="39"/>
      <c r="C93" s="457"/>
      <c r="D93" s="468"/>
      <c r="E93" s="458"/>
      <c r="F93" s="459"/>
      <c r="G93" s="460"/>
      <c r="H93" s="466"/>
      <c r="I93" s="459"/>
      <c r="J93" s="39"/>
      <c r="K93" s="39"/>
      <c r="L93" s="39"/>
      <c r="M93" s="39"/>
    </row>
    <row r="94" spans="1:13" s="248" customFormat="1">
      <c r="A94" s="39"/>
      <c r="B94" s="39"/>
      <c r="C94" s="457"/>
      <c r="D94" s="468"/>
      <c r="E94" s="458"/>
      <c r="F94" s="459"/>
      <c r="G94" s="460"/>
      <c r="H94" s="466"/>
      <c r="I94" s="459"/>
      <c r="J94" s="39"/>
      <c r="K94" s="39"/>
      <c r="L94" s="39"/>
      <c r="M94" s="39"/>
    </row>
    <row r="95" spans="1:13" s="248" customFormat="1">
      <c r="A95" s="39"/>
      <c r="B95" s="39"/>
      <c r="C95" s="457"/>
      <c r="D95" s="468"/>
      <c r="E95" s="458"/>
      <c r="F95" s="459"/>
      <c r="G95" s="460"/>
      <c r="H95" s="466"/>
      <c r="I95" s="459"/>
      <c r="J95" s="39"/>
      <c r="K95" s="39"/>
      <c r="L95" s="39"/>
      <c r="M95" s="39"/>
    </row>
    <row r="96" spans="1:13" s="248" customFormat="1">
      <c r="A96" s="39"/>
      <c r="B96" s="39"/>
      <c r="C96" s="457"/>
      <c r="D96" s="468"/>
      <c r="E96" s="458"/>
      <c r="F96" s="459"/>
      <c r="G96" s="460"/>
      <c r="H96" s="466"/>
      <c r="I96" s="459"/>
      <c r="J96" s="39"/>
      <c r="K96" s="39"/>
      <c r="L96" s="39"/>
      <c r="M96" s="39"/>
    </row>
    <row r="97" spans="1:38" s="248" customFormat="1">
      <c r="A97" s="39"/>
      <c r="B97" s="39"/>
      <c r="C97" s="457"/>
      <c r="D97" s="468"/>
      <c r="E97" s="458"/>
      <c r="F97" s="459"/>
      <c r="G97" s="460"/>
      <c r="H97" s="466"/>
      <c r="I97" s="459"/>
      <c r="J97" s="39"/>
      <c r="K97" s="39"/>
      <c r="L97" s="39"/>
      <c r="M97" s="39"/>
    </row>
    <row r="98" spans="1:38" s="248" customFormat="1">
      <c r="A98" s="39"/>
      <c r="B98" s="39"/>
      <c r="C98" s="457"/>
      <c r="D98" s="468"/>
      <c r="E98" s="458"/>
      <c r="F98" s="459"/>
      <c r="G98" s="460"/>
      <c r="H98" s="466"/>
      <c r="I98" s="459"/>
      <c r="J98" s="39"/>
      <c r="K98" s="39"/>
      <c r="L98" s="39"/>
      <c r="M98" s="39"/>
    </row>
    <row r="99" spans="1:38" s="248" customFormat="1">
      <c r="A99" s="39"/>
      <c r="B99" s="39"/>
      <c r="C99" s="457"/>
      <c r="D99" s="468"/>
      <c r="E99" s="458"/>
      <c r="F99" s="459"/>
      <c r="G99" s="460"/>
      <c r="H99" s="466"/>
      <c r="I99" s="459"/>
      <c r="J99" s="39"/>
      <c r="K99" s="39"/>
      <c r="L99" s="39"/>
      <c r="M99" s="39"/>
    </row>
    <row r="100" spans="1:38" s="248" customFormat="1">
      <c r="A100" s="39"/>
      <c r="B100" s="39"/>
      <c r="C100" s="457"/>
      <c r="D100" s="468"/>
      <c r="E100" s="458"/>
      <c r="F100" s="459"/>
      <c r="G100" s="460"/>
      <c r="H100" s="466"/>
      <c r="I100" s="459"/>
      <c r="J100" s="39"/>
      <c r="K100" s="39"/>
      <c r="L100" s="39"/>
      <c r="M100" s="39"/>
    </row>
    <row r="101" spans="1:38" s="248" customFormat="1">
      <c r="A101" s="39"/>
      <c r="B101" s="39"/>
      <c r="C101" s="457"/>
      <c r="D101" s="468"/>
      <c r="E101" s="458"/>
      <c r="F101" s="459"/>
      <c r="G101" s="460"/>
      <c r="H101" s="466"/>
      <c r="I101" s="459"/>
      <c r="J101" s="39"/>
      <c r="K101" s="39"/>
      <c r="L101" s="39"/>
      <c r="M101" s="39"/>
    </row>
    <row r="102" spans="1:38">
      <c r="C102" s="457"/>
      <c r="D102" s="468"/>
      <c r="E102" s="458"/>
      <c r="F102" s="459"/>
      <c r="G102" s="460"/>
      <c r="H102" s="466"/>
      <c r="I102" s="459"/>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row>
    <row r="103" spans="1:38">
      <c r="C103" s="457"/>
      <c r="D103" s="468"/>
      <c r="E103" s="458"/>
      <c r="F103" s="459"/>
      <c r="G103" s="460"/>
      <c r="H103" s="466"/>
      <c r="I103" s="459"/>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row>
    <row r="104" spans="1:38">
      <c r="C104" s="457"/>
      <c r="D104" s="468"/>
      <c r="E104" s="458"/>
      <c r="F104" s="459"/>
      <c r="G104" s="460"/>
      <c r="H104" s="466"/>
      <c r="I104" s="459"/>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row>
    <row r="105" spans="1:38">
      <c r="C105" s="457"/>
      <c r="D105" s="468"/>
      <c r="E105" s="458"/>
      <c r="F105" s="459"/>
      <c r="G105" s="460"/>
      <c r="H105" s="466"/>
      <c r="I105" s="459"/>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row>
    <row r="106" spans="1:38">
      <c r="C106" s="457"/>
      <c r="D106" s="468"/>
      <c r="E106" s="458"/>
      <c r="F106" s="459"/>
      <c r="G106" s="460"/>
      <c r="H106" s="466"/>
      <c r="I106" s="459"/>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row>
    <row r="107" spans="1:38">
      <c r="C107" s="457"/>
      <c r="D107" s="468"/>
      <c r="E107" s="458"/>
      <c r="F107" s="459"/>
      <c r="G107" s="460"/>
      <c r="H107" s="466"/>
      <c r="I107" s="459"/>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row>
    <row r="108" spans="1:38">
      <c r="C108" s="457"/>
      <c r="D108" s="468"/>
      <c r="E108" s="458"/>
      <c r="F108" s="459"/>
      <c r="G108" s="460"/>
      <c r="H108" s="466"/>
      <c r="I108" s="459"/>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row>
    <row r="109" spans="1:38">
      <c r="C109" s="457"/>
      <c r="D109" s="468"/>
      <c r="E109" s="458"/>
      <c r="F109" s="459"/>
      <c r="G109" s="460"/>
      <c r="H109" s="466"/>
      <c r="I109" s="459"/>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row>
    <row r="110" spans="1:38">
      <c r="B110" s="60"/>
      <c r="C110" s="457"/>
      <c r="D110" s="468"/>
      <c r="E110" s="458"/>
      <c r="F110" s="459"/>
      <c r="G110" s="460"/>
      <c r="H110" s="466"/>
      <c r="I110" s="459"/>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row>
    <row r="111" spans="1:38">
      <c r="A111" s="60"/>
      <c r="B111" s="60"/>
      <c r="C111" s="457"/>
      <c r="D111" s="468"/>
      <c r="E111" s="458"/>
      <c r="F111" s="459"/>
      <c r="G111" s="460"/>
      <c r="H111" s="466"/>
      <c r="I111" s="459"/>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row>
    <row r="112" spans="1:38">
      <c r="A112" s="60"/>
      <c r="B112" s="60"/>
      <c r="C112" s="457"/>
      <c r="D112" s="468"/>
      <c r="E112" s="458"/>
      <c r="F112" s="459"/>
      <c r="G112" s="460"/>
      <c r="H112" s="466"/>
      <c r="I112" s="459"/>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row>
    <row r="113" spans="1:38">
      <c r="A113" s="60"/>
      <c r="B113" s="60"/>
      <c r="C113" s="457"/>
      <c r="D113" s="468"/>
      <c r="E113" s="458"/>
      <c r="F113" s="459"/>
      <c r="G113" s="460"/>
      <c r="H113" s="466"/>
      <c r="I113" s="459"/>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row>
    <row r="114" spans="1:38">
      <c r="A114" s="60"/>
      <c r="B114" s="60"/>
      <c r="C114" s="457"/>
      <c r="D114" s="468"/>
      <c r="E114" s="458"/>
      <c r="F114" s="459"/>
      <c r="G114" s="460"/>
      <c r="H114" s="466"/>
      <c r="I114" s="459"/>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row>
    <row r="115" spans="1:38">
      <c r="A115" s="60"/>
      <c r="B115" s="60"/>
      <c r="C115" s="457"/>
      <c r="D115" s="468"/>
      <c r="E115" s="458"/>
      <c r="F115" s="459"/>
      <c r="G115" s="460"/>
      <c r="H115" s="466"/>
      <c r="I115" s="459"/>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row>
    <row r="116" spans="1:38">
      <c r="A116" s="60"/>
      <c r="B116" s="60"/>
      <c r="C116" s="457"/>
      <c r="D116" s="468"/>
      <c r="E116" s="458"/>
      <c r="F116" s="459"/>
      <c r="G116" s="460"/>
      <c r="H116" s="466"/>
      <c r="I116" s="459"/>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row>
    <row r="117" spans="1:38">
      <c r="A117" s="60"/>
      <c r="B117" s="60"/>
      <c r="C117" s="457"/>
      <c r="D117" s="468"/>
      <c r="E117" s="458"/>
      <c r="F117" s="459"/>
      <c r="G117" s="460"/>
      <c r="H117" s="466"/>
      <c r="I117" s="459"/>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row>
    <row r="118" spans="1:38">
      <c r="A118" s="60"/>
      <c r="B118" s="60"/>
      <c r="C118" s="457"/>
      <c r="D118" s="468"/>
      <c r="E118" s="458"/>
      <c r="F118" s="459"/>
      <c r="G118" s="460"/>
      <c r="H118" s="466"/>
      <c r="I118" s="459"/>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row>
    <row r="119" spans="1:38">
      <c r="A119" s="60"/>
      <c r="B119" s="60"/>
      <c r="C119" s="457"/>
      <c r="D119" s="468"/>
      <c r="E119" s="458"/>
      <c r="F119" s="459"/>
      <c r="G119" s="460"/>
      <c r="H119" s="466"/>
      <c r="I119" s="459"/>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row>
    <row r="120" spans="1:38">
      <c r="A120" s="60"/>
      <c r="B120" s="60"/>
      <c r="C120" s="457"/>
      <c r="D120" s="468"/>
      <c r="E120" s="458"/>
      <c r="F120" s="459"/>
      <c r="G120" s="460"/>
      <c r="H120" s="466"/>
      <c r="I120" s="459"/>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row>
    <row r="121" spans="1:38">
      <c r="A121" s="60"/>
      <c r="B121" s="60"/>
      <c r="C121" s="457"/>
      <c r="D121" s="468"/>
      <c r="E121" s="458"/>
      <c r="F121" s="459"/>
      <c r="G121" s="460"/>
      <c r="H121" s="466"/>
      <c r="I121" s="459"/>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row>
    <row r="122" spans="1:38">
      <c r="A122" s="60"/>
      <c r="B122" s="60"/>
      <c r="C122" s="457"/>
      <c r="D122" s="468"/>
      <c r="E122" s="458"/>
      <c r="F122" s="459"/>
      <c r="G122" s="460"/>
      <c r="H122" s="466"/>
      <c r="I122" s="459"/>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row>
    <row r="123" spans="1:38">
      <c r="A123" s="60"/>
      <c r="B123" s="60"/>
      <c r="F123" s="469"/>
      <c r="G123" s="469"/>
      <c r="H123" s="469"/>
      <c r="I123" s="469"/>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row>
    <row r="124" spans="1:38">
      <c r="A124" s="60"/>
      <c r="B124" s="60"/>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row>
    <row r="125" spans="1:38">
      <c r="A125" s="60"/>
      <c r="B125" s="60"/>
      <c r="F125" s="470"/>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row>
    <row r="126" spans="1:38">
      <c r="A126" s="60"/>
      <c r="B126" s="60"/>
      <c r="C126" s="60"/>
      <c r="D126" s="60"/>
      <c r="E126" s="60"/>
      <c r="F126" s="470"/>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row>
    <row r="127" spans="1:38">
      <c r="A127" s="60"/>
      <c r="B127" s="60"/>
      <c r="C127" s="60"/>
      <c r="D127" s="60"/>
      <c r="E127" s="60"/>
      <c r="F127" s="469"/>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row>
    <row r="128" spans="1:38">
      <c r="A128" s="60"/>
      <c r="B128" s="60"/>
      <c r="C128" s="60"/>
      <c r="D128" s="60"/>
      <c r="E128" s="60"/>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row>
    <row r="129" spans="1:38">
      <c r="A129" s="60"/>
      <c r="B129" s="60"/>
      <c r="C129" s="60"/>
      <c r="D129" s="60"/>
      <c r="E129" s="60"/>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row>
    <row r="130" spans="1:38">
      <c r="A130" s="60"/>
      <c r="B130" s="60"/>
      <c r="C130" s="60"/>
      <c r="D130" s="60"/>
      <c r="E130" s="60"/>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row>
    <row r="131" spans="1:38">
      <c r="A131" s="60"/>
      <c r="B131" s="60"/>
      <c r="C131" s="60"/>
      <c r="D131" s="60"/>
      <c r="E131" s="60"/>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row>
    <row r="132" spans="1:38">
      <c r="A132" s="60"/>
      <c r="B132" s="60"/>
      <c r="C132" s="60"/>
      <c r="D132" s="60"/>
      <c r="E132" s="60"/>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row>
    <row r="133" spans="1:38">
      <c r="A133" s="60"/>
      <c r="B133" s="60"/>
      <c r="C133" s="60"/>
      <c r="D133" s="60"/>
      <c r="E133" s="60"/>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row>
    <row r="134" spans="1:38">
      <c r="A134" s="60"/>
      <c r="B134" s="60"/>
      <c r="C134" s="60"/>
      <c r="D134" s="60"/>
      <c r="E134" s="60"/>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row>
    <row r="135" spans="1:38">
      <c r="A135" s="60"/>
      <c r="B135" s="60"/>
      <c r="C135" s="60"/>
      <c r="D135" s="60"/>
      <c r="E135" s="60"/>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row>
    <row r="136" spans="1:38">
      <c r="A136" s="60"/>
      <c r="B136" s="60"/>
      <c r="C136" s="60"/>
      <c r="D136" s="60"/>
      <c r="E136" s="60"/>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row>
    <row r="137" spans="1:38">
      <c r="A137" s="60"/>
      <c r="B137" s="60"/>
      <c r="C137" s="60"/>
      <c r="D137" s="60"/>
      <c r="E137" s="60"/>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row>
    <row r="138" spans="1:38">
      <c r="A138" s="60"/>
      <c r="B138" s="60"/>
      <c r="C138" s="60"/>
      <c r="D138" s="60"/>
      <c r="E138" s="60"/>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row>
    <row r="139" spans="1:38">
      <c r="A139" s="60"/>
      <c r="B139" s="60"/>
      <c r="C139" s="60"/>
      <c r="D139" s="60"/>
      <c r="E139" s="60"/>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row>
    <row r="140" spans="1:38">
      <c r="A140" s="60"/>
      <c r="B140" s="60"/>
      <c r="C140" s="60"/>
      <c r="D140" s="60"/>
      <c r="E140" s="60"/>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row>
    <row r="141" spans="1:38">
      <c r="A141" s="60"/>
      <c r="B141" s="60"/>
      <c r="C141" s="60"/>
      <c r="D141" s="60"/>
      <c r="E141" s="60"/>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row>
    <row r="142" spans="1:38">
      <c r="A142" s="60"/>
      <c r="B142" s="60"/>
      <c r="C142" s="60"/>
      <c r="D142" s="60"/>
      <c r="E142" s="60"/>
      <c r="F142" s="60"/>
      <c r="G142" s="60"/>
      <c r="H142" s="60"/>
      <c r="I142" s="60"/>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row>
    <row r="143" spans="1:38">
      <c r="A143" s="60"/>
      <c r="B143" s="60"/>
      <c r="C143" s="60"/>
      <c r="D143" s="60"/>
      <c r="E143" s="60"/>
      <c r="F143" s="60"/>
      <c r="G143" s="60"/>
      <c r="H143" s="60"/>
      <c r="I143" s="60"/>
      <c r="J143" s="60"/>
      <c r="K143" s="60"/>
      <c r="L143" s="60"/>
      <c r="M143" s="60"/>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row>
    <row r="144" spans="1:38">
      <c r="A144" s="60"/>
      <c r="B144" s="60"/>
      <c r="C144" s="60"/>
      <c r="D144" s="60"/>
      <c r="E144" s="60"/>
      <c r="F144" s="60"/>
      <c r="G144" s="60"/>
      <c r="H144" s="60"/>
      <c r="I144" s="60"/>
      <c r="J144" s="60"/>
      <c r="K144" s="60"/>
      <c r="L144" s="60"/>
      <c r="M144" s="60"/>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row>
    <row r="145" spans="1:38">
      <c r="A145" s="60"/>
      <c r="B145" s="60"/>
      <c r="C145" s="60"/>
      <c r="D145" s="60"/>
      <c r="E145" s="60"/>
      <c r="F145" s="60"/>
      <c r="G145" s="60"/>
      <c r="H145" s="60"/>
      <c r="I145" s="60"/>
      <c r="J145" s="60"/>
      <c r="K145" s="60"/>
      <c r="L145" s="60"/>
      <c r="M145" s="60"/>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row>
    <row r="146" spans="1:38">
      <c r="A146" s="60"/>
      <c r="B146" s="60"/>
      <c r="C146" s="60"/>
      <c r="D146" s="60"/>
      <c r="E146" s="60"/>
      <c r="F146" s="60"/>
      <c r="G146" s="60"/>
      <c r="H146" s="60"/>
      <c r="I146" s="60"/>
      <c r="J146" s="60"/>
      <c r="K146" s="60"/>
      <c r="L146" s="60"/>
      <c r="M146" s="60"/>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row>
    <row r="147" spans="1:38">
      <c r="A147" s="60"/>
      <c r="B147" s="60"/>
      <c r="C147" s="60"/>
      <c r="D147" s="60"/>
      <c r="E147" s="60"/>
      <c r="F147" s="60"/>
      <c r="G147" s="60"/>
      <c r="H147" s="60"/>
      <c r="I147" s="60"/>
      <c r="J147" s="60"/>
      <c r="K147" s="60"/>
      <c r="L147" s="60"/>
      <c r="M147" s="60"/>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row>
    <row r="148" spans="1:38">
      <c r="A148" s="60"/>
      <c r="B148" s="60"/>
      <c r="C148" s="60"/>
      <c r="D148" s="60"/>
      <c r="E148" s="60"/>
      <c r="F148" s="60"/>
      <c r="G148" s="60"/>
      <c r="H148" s="60"/>
      <c r="I148" s="60"/>
      <c r="J148" s="60"/>
      <c r="K148" s="60"/>
      <c r="L148" s="60"/>
      <c r="M148" s="60"/>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row>
    <row r="149" spans="1:38">
      <c r="A149" s="60"/>
      <c r="B149" s="60"/>
      <c r="C149" s="60"/>
      <c r="D149" s="60"/>
      <c r="E149" s="60"/>
      <c r="F149" s="60"/>
      <c r="G149" s="60"/>
      <c r="H149" s="60"/>
      <c r="I149" s="60"/>
      <c r="J149" s="60"/>
      <c r="K149" s="60"/>
      <c r="L149" s="60"/>
      <c r="M149" s="60"/>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row>
    <row r="150" spans="1:38">
      <c r="A150" s="60"/>
      <c r="B150" s="60"/>
      <c r="C150" s="60"/>
      <c r="D150" s="60"/>
      <c r="E150" s="60"/>
      <c r="F150" s="60"/>
      <c r="G150" s="60"/>
      <c r="H150" s="60"/>
      <c r="I150" s="60"/>
      <c r="J150" s="60"/>
      <c r="K150" s="60"/>
      <c r="L150" s="60"/>
      <c r="M150" s="60"/>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row>
    <row r="151" spans="1:38">
      <c r="A151" s="60"/>
      <c r="B151" s="60"/>
      <c r="C151" s="60"/>
      <c r="D151" s="60"/>
      <c r="E151" s="60"/>
      <c r="F151" s="60"/>
      <c r="G151" s="60"/>
      <c r="H151" s="60"/>
      <c r="I151" s="60"/>
      <c r="J151" s="60"/>
      <c r="K151" s="60"/>
      <c r="L151" s="60"/>
      <c r="M151" s="60"/>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row>
    <row r="152" spans="1:38">
      <c r="A152" s="60"/>
      <c r="B152" s="60"/>
      <c r="C152" s="60"/>
      <c r="D152" s="60"/>
      <c r="E152" s="60"/>
      <c r="F152" s="60"/>
      <c r="G152" s="60"/>
      <c r="H152" s="60"/>
      <c r="I152" s="60"/>
      <c r="J152" s="60"/>
      <c r="K152" s="60"/>
      <c r="L152" s="60"/>
      <c r="M152" s="60"/>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row>
    <row r="153" spans="1:38">
      <c r="A153" s="60"/>
      <c r="B153" s="60"/>
      <c r="C153" s="60"/>
      <c r="D153" s="60"/>
      <c r="E153" s="60"/>
      <c r="F153" s="60"/>
      <c r="G153" s="60"/>
      <c r="H153" s="60"/>
      <c r="I153" s="60"/>
      <c r="J153" s="60"/>
      <c r="K153" s="60"/>
      <c r="L153" s="60"/>
      <c r="M153" s="60"/>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row>
    <row r="154" spans="1:38">
      <c r="A154" s="60"/>
      <c r="B154" s="60"/>
      <c r="C154" s="60"/>
      <c r="D154" s="60"/>
      <c r="E154" s="60"/>
      <c r="F154" s="60"/>
      <c r="G154" s="60"/>
      <c r="H154" s="60"/>
      <c r="I154" s="60"/>
      <c r="J154" s="60"/>
      <c r="K154" s="60"/>
      <c r="L154" s="60"/>
      <c r="M154" s="60"/>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row>
    <row r="155" spans="1:38">
      <c r="A155" s="60"/>
      <c r="B155" s="60"/>
      <c r="C155" s="60"/>
      <c r="D155" s="60"/>
      <c r="E155" s="60"/>
      <c r="F155" s="60"/>
      <c r="G155" s="60"/>
      <c r="H155" s="60"/>
      <c r="I155" s="60"/>
      <c r="J155" s="60"/>
      <c r="K155" s="60"/>
      <c r="L155" s="60"/>
      <c r="M155" s="60"/>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row>
    <row r="156" spans="1:38">
      <c r="A156" s="60"/>
      <c r="B156" s="60"/>
      <c r="C156" s="60"/>
      <c r="D156" s="60"/>
      <c r="E156" s="60"/>
      <c r="F156" s="60"/>
      <c r="G156" s="60"/>
      <c r="H156" s="60"/>
      <c r="I156" s="60"/>
      <c r="J156" s="60"/>
      <c r="K156" s="60"/>
      <c r="L156" s="60"/>
      <c r="M156" s="60"/>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row>
    <row r="157" spans="1:38">
      <c r="A157" s="60"/>
      <c r="B157" s="60"/>
      <c r="C157" s="60"/>
      <c r="D157" s="60"/>
      <c r="E157" s="60"/>
      <c r="F157" s="60"/>
      <c r="G157" s="60"/>
      <c r="H157" s="60"/>
      <c r="I157" s="60"/>
      <c r="J157" s="60"/>
      <c r="K157" s="60"/>
      <c r="L157" s="60"/>
      <c r="M157" s="60"/>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row>
    <row r="158" spans="1:38">
      <c r="A158" s="60"/>
      <c r="J158" s="60"/>
      <c r="K158" s="60"/>
      <c r="L158" s="60"/>
      <c r="M158" s="60"/>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row>
    <row r="159" spans="1:38" s="211" customFormat="1">
      <c r="A159" s="39"/>
      <c r="B159" s="39"/>
      <c r="C159" s="38"/>
      <c r="D159" s="39"/>
      <c r="E159" s="39"/>
      <c r="F159" s="39"/>
      <c r="G159" s="39"/>
      <c r="H159" s="39"/>
      <c r="I159" s="39"/>
      <c r="J159" s="39"/>
      <c r="K159" s="39"/>
      <c r="L159" s="39"/>
      <c r="M159" s="39"/>
      <c r="N159" s="219"/>
      <c r="O159" s="219"/>
      <c r="P159" s="219"/>
      <c r="Q159" s="219"/>
      <c r="R159" s="219"/>
      <c r="S159" s="219"/>
      <c r="T159" s="219"/>
      <c r="U159" s="219"/>
      <c r="V159" s="219"/>
      <c r="W159" s="219"/>
      <c r="X159" s="219"/>
      <c r="Y159" s="219"/>
      <c r="Z159" s="219"/>
      <c r="AA159" s="219"/>
      <c r="AB159" s="219"/>
      <c r="AC159" s="219"/>
      <c r="AD159" s="219"/>
      <c r="AE159" s="219"/>
      <c r="AF159" s="219"/>
      <c r="AG159" s="219"/>
      <c r="AH159" s="219"/>
      <c r="AI159" s="219"/>
      <c r="AJ159" s="219"/>
      <c r="AK159" s="219"/>
      <c r="AL159" s="219"/>
    </row>
    <row r="160" spans="1:38">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row>
    <row r="161" spans="1:38">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row>
    <row r="162" spans="1:38">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row>
    <row r="163" spans="1:38">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row>
    <row r="164" spans="1:38">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row>
    <row r="165" spans="1:38">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row>
    <row r="166" spans="1:38">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row>
    <row r="167" spans="1:38">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row>
    <row r="168" spans="1:38">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row>
    <row r="169" spans="1:38">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row>
    <row r="170" spans="1:38">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row>
    <row r="171" spans="1:38">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row>
    <row r="172" spans="1:38">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row>
    <row r="173" spans="1:38">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row>
    <row r="174" spans="1:38">
      <c r="B174" s="60"/>
      <c r="C174" s="60"/>
      <c r="D174" s="60"/>
      <c r="E174" s="60"/>
      <c r="F174" s="60"/>
      <c r="G174" s="60"/>
      <c r="H174" s="60"/>
      <c r="I174" s="60"/>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row>
    <row r="175" spans="1:38">
      <c r="A175" s="60"/>
      <c r="B175" s="60"/>
      <c r="C175" s="60"/>
      <c r="D175" s="60"/>
      <c r="E175" s="60"/>
      <c r="F175" s="60"/>
      <c r="G175" s="60"/>
      <c r="H175" s="60"/>
      <c r="I175" s="60"/>
      <c r="J175" s="60"/>
      <c r="K175" s="60"/>
      <c r="L175" s="60"/>
      <c r="M175" s="60"/>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row>
    <row r="176" spans="1:38">
      <c r="A176" s="60"/>
      <c r="B176" s="60"/>
      <c r="C176" s="60"/>
      <c r="D176" s="60"/>
      <c r="E176" s="60"/>
      <c r="F176" s="60"/>
      <c r="G176" s="60"/>
      <c r="H176" s="60"/>
      <c r="I176" s="60"/>
      <c r="J176" s="60"/>
      <c r="K176" s="60"/>
      <c r="L176" s="60"/>
      <c r="M176" s="60"/>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row>
    <row r="177" spans="1:38">
      <c r="A177" s="60"/>
      <c r="B177" s="60"/>
      <c r="C177" s="60"/>
      <c r="D177" s="60"/>
      <c r="E177" s="60"/>
      <c r="F177" s="60"/>
      <c r="G177" s="60"/>
      <c r="H177" s="60"/>
      <c r="I177" s="60"/>
      <c r="J177" s="60"/>
      <c r="K177" s="60"/>
      <c r="L177" s="60"/>
      <c r="M177" s="60"/>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row>
    <row r="178" spans="1:38">
      <c r="A178" s="60"/>
      <c r="B178" s="60"/>
      <c r="C178" s="60"/>
      <c r="D178" s="60"/>
      <c r="E178" s="60"/>
      <c r="F178" s="60"/>
      <c r="G178" s="60"/>
      <c r="H178" s="60"/>
      <c r="I178" s="60"/>
      <c r="J178" s="60"/>
      <c r="K178" s="60"/>
      <c r="L178" s="60"/>
      <c r="M178" s="60"/>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row>
    <row r="179" spans="1:38">
      <c r="A179" s="60"/>
      <c r="J179" s="60"/>
      <c r="K179" s="60"/>
      <c r="L179" s="60"/>
      <c r="M179" s="60"/>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row>
  </sheetData>
  <mergeCells count="15">
    <mergeCell ref="A1:I1"/>
    <mergeCell ref="A2:I2"/>
    <mergeCell ref="A4:I4"/>
    <mergeCell ref="A3:I3"/>
    <mergeCell ref="B74:I74"/>
    <mergeCell ref="B72:I72"/>
    <mergeCell ref="B73:I73"/>
    <mergeCell ref="B24:F24"/>
    <mergeCell ref="H67:I67"/>
    <mergeCell ref="B77:I77"/>
    <mergeCell ref="B78:I78"/>
    <mergeCell ref="K73:U73"/>
    <mergeCell ref="B76:I76"/>
    <mergeCell ref="H9:I9"/>
    <mergeCell ref="B75:I75"/>
  </mergeCells>
  <printOptions horizontalCentered="1"/>
  <pageMargins left="0.7" right="0.7" top="0.7" bottom="0.7" header="0.3" footer="0.5"/>
  <pageSetup scale="92" fitToHeight="2" orientation="portrait" r:id="rId1"/>
  <headerFooter>
    <oddFooter>&amp;CPage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79"/>
  <sheetViews>
    <sheetView workbookViewId="0">
      <selection activeCell="A9" sqref="A9"/>
    </sheetView>
  </sheetViews>
  <sheetFormatPr defaultColWidth="9.109375" defaultRowHeight="13.2"/>
  <cols>
    <col min="1" max="1" width="6.44140625" style="39" bestFit="1" customWidth="1"/>
    <col min="2" max="2" width="7.6640625" style="39" customWidth="1"/>
    <col min="3" max="3" width="8.6640625" style="38" customWidth="1"/>
    <col min="4" max="5" width="8.6640625" style="39" customWidth="1"/>
    <col min="6" max="6" width="13" style="39" customWidth="1"/>
    <col min="7" max="7" width="14.6640625" style="39" customWidth="1"/>
    <col min="8" max="9" width="15.6640625" style="39" customWidth="1"/>
    <col min="10" max="10" width="9.109375" style="39"/>
    <col min="11" max="12" width="11.6640625" style="39" customWidth="1"/>
    <col min="13" max="13" width="12.44140625" style="39" bestFit="1" customWidth="1"/>
    <col min="14" max="16384" width="9.109375" style="60"/>
  </cols>
  <sheetData>
    <row r="1" spans="1:17">
      <c r="A1" s="1695" t="s">
        <v>933</v>
      </c>
      <c r="B1" s="1695"/>
      <c r="C1" s="1695"/>
      <c r="D1" s="1695"/>
      <c r="E1" s="1695"/>
      <c r="F1" s="1695"/>
      <c r="G1" s="1695"/>
      <c r="H1" s="1695"/>
      <c r="I1" s="1695"/>
    </row>
    <row r="2" spans="1:17">
      <c r="A2" s="1696" t="s">
        <v>1107</v>
      </c>
      <c r="B2" s="1696"/>
      <c r="C2" s="1696"/>
      <c r="D2" s="1696"/>
      <c r="E2" s="1696"/>
      <c r="F2" s="1696"/>
      <c r="G2" s="1696"/>
      <c r="H2" s="1696"/>
      <c r="I2" s="1696"/>
      <c r="K2" s="1701" t="s">
        <v>1604</v>
      </c>
      <c r="L2" s="1701"/>
      <c r="M2" s="1701"/>
      <c r="N2" s="1701"/>
      <c r="O2" s="1701"/>
      <c r="P2" s="1701"/>
      <c r="Q2" s="1701"/>
    </row>
    <row r="3" spans="1:17" s="74" customFormat="1">
      <c r="A3" s="1696" t="s">
        <v>1514</v>
      </c>
      <c r="B3" s="1696"/>
      <c r="C3" s="1696"/>
      <c r="D3" s="1696"/>
      <c r="E3" s="1696"/>
      <c r="F3" s="1696"/>
      <c r="G3" s="1696"/>
      <c r="H3" s="1696"/>
      <c r="I3" s="1696"/>
      <c r="J3" s="38"/>
      <c r="K3" s="1701"/>
      <c r="L3" s="1701"/>
      <c r="M3" s="1701"/>
      <c r="N3" s="1701"/>
      <c r="O3" s="1701"/>
      <c r="P3" s="1701"/>
      <c r="Q3" s="1701"/>
    </row>
    <row r="4" spans="1:17">
      <c r="A4" s="1695" t="s">
        <v>419</v>
      </c>
      <c r="B4" s="1695"/>
      <c r="C4" s="1695"/>
      <c r="D4" s="1695"/>
      <c r="E4" s="1695"/>
      <c r="F4" s="1695"/>
      <c r="G4" s="1695"/>
      <c r="H4" s="1695"/>
      <c r="I4" s="1695"/>
    </row>
    <row r="5" spans="1:17">
      <c r="A5" s="1664"/>
      <c r="B5" s="1664"/>
      <c r="C5" s="1664"/>
      <c r="D5" s="1664"/>
      <c r="E5" s="1664"/>
      <c r="F5" s="1664"/>
      <c r="G5" s="1664"/>
      <c r="H5" s="1664"/>
      <c r="I5" s="1664"/>
    </row>
    <row r="6" spans="1:17" s="74" customFormat="1">
      <c r="A6" s="455" t="s">
        <v>320</v>
      </c>
      <c r="B6" s="1669" t="s">
        <v>67</v>
      </c>
      <c r="C6" s="1669" t="s">
        <v>114</v>
      </c>
      <c r="D6" s="557" t="s">
        <v>55</v>
      </c>
      <c r="E6" s="1669" t="s">
        <v>68</v>
      </c>
      <c r="F6" s="558" t="s">
        <v>66</v>
      </c>
      <c r="G6" s="1669" t="s">
        <v>156</v>
      </c>
      <c r="H6" s="1669" t="s">
        <v>69</v>
      </c>
      <c r="I6" s="559" t="s">
        <v>169</v>
      </c>
      <c r="J6" s="39"/>
      <c r="K6" s="39"/>
      <c r="L6" s="39"/>
      <c r="M6" s="39"/>
      <c r="N6" s="202"/>
    </row>
    <row r="7" spans="1:17" s="74" customFormat="1">
      <c r="A7" s="455"/>
      <c r="B7" s="1669"/>
      <c r="C7" s="1669"/>
      <c r="D7" s="557"/>
      <c r="E7" s="1669"/>
      <c r="F7" s="558"/>
      <c r="G7" s="1669"/>
      <c r="H7" s="1669"/>
      <c r="I7" s="559"/>
      <c r="J7" s="39"/>
      <c r="K7" s="39"/>
      <c r="L7" s="39"/>
      <c r="M7" s="39"/>
      <c r="N7" s="202"/>
    </row>
    <row r="8" spans="1:17">
      <c r="A8" s="60"/>
      <c r="B8" s="969" t="s">
        <v>608</v>
      </c>
      <c r="C8" s="1664"/>
      <c r="D8" s="1664"/>
      <c r="E8" s="1664"/>
      <c r="F8" s="1664"/>
      <c r="G8" s="1668" t="s">
        <v>1120</v>
      </c>
      <c r="H8" s="1664"/>
      <c r="I8" s="1664"/>
    </row>
    <row r="9" spans="1:17">
      <c r="A9" s="836">
        <v>1</v>
      </c>
      <c r="B9" s="164" t="s">
        <v>1108</v>
      </c>
      <c r="C9" s="1664"/>
      <c r="D9" s="1664"/>
      <c r="E9" s="1664"/>
      <c r="F9" s="1664"/>
      <c r="G9" s="1671" t="s">
        <v>148</v>
      </c>
      <c r="H9" s="1699" t="s">
        <v>140</v>
      </c>
      <c r="I9" s="1699"/>
      <c r="J9" s="38"/>
      <c r="K9" s="1813"/>
      <c r="L9" s="38"/>
      <c r="M9" s="38"/>
      <c r="N9" s="74"/>
      <c r="O9" s="74"/>
      <c r="P9" s="74"/>
    </row>
    <row r="10" spans="1:17" s="248" customFormat="1" ht="15">
      <c r="A10" s="836">
        <f>+A9+1</f>
        <v>2</v>
      </c>
      <c r="B10" s="864" t="s">
        <v>27</v>
      </c>
      <c r="C10" s="1664"/>
      <c r="D10" s="1664"/>
      <c r="E10" s="1664"/>
      <c r="F10" s="1664"/>
      <c r="G10" s="192">
        <v>7784896.5</v>
      </c>
      <c r="H10" s="1816" t="s">
        <v>1120</v>
      </c>
      <c r="I10" s="666"/>
      <c r="J10" s="38"/>
      <c r="K10" s="38"/>
      <c r="L10" s="38"/>
      <c r="M10" s="38"/>
    </row>
    <row r="11" spans="1:17" s="248" customFormat="1" ht="15">
      <c r="A11" s="836">
        <f t="shared" ref="A11:A33" si="0">+A10+1</f>
        <v>3</v>
      </c>
      <c r="B11" s="864" t="s">
        <v>28</v>
      </c>
      <c r="C11" s="1664"/>
      <c r="D11" s="1664"/>
      <c r="E11" s="1664"/>
      <c r="F11" s="1664"/>
      <c r="G11" s="192">
        <v>7101695.79</v>
      </c>
      <c r="H11" s="1816" t="s">
        <v>1120</v>
      </c>
      <c r="I11" s="666"/>
      <c r="J11" s="38"/>
      <c r="K11" s="38"/>
      <c r="L11" s="38"/>
      <c r="M11" s="38"/>
    </row>
    <row r="12" spans="1:17" s="248" customFormat="1" ht="15">
      <c r="A12" s="836">
        <f t="shared" si="0"/>
        <v>4</v>
      </c>
      <c r="B12" s="864" t="s">
        <v>29</v>
      </c>
      <c r="C12" s="1664"/>
      <c r="D12" s="1664"/>
      <c r="E12" s="1664"/>
      <c r="F12" s="1664"/>
      <c r="G12" s="192">
        <v>7935640.2199999997</v>
      </c>
      <c r="H12" s="666"/>
      <c r="I12" s="666"/>
      <c r="J12" s="38"/>
      <c r="K12" s="38"/>
      <c r="L12" s="38"/>
      <c r="M12" s="38"/>
    </row>
    <row r="13" spans="1:17" s="248" customFormat="1" ht="15">
      <c r="A13" s="836">
        <f t="shared" si="0"/>
        <v>5</v>
      </c>
      <c r="B13" s="864" t="s">
        <v>30</v>
      </c>
      <c r="C13" s="1664"/>
      <c r="D13" s="1664"/>
      <c r="E13" s="1664"/>
      <c r="F13" s="1664"/>
      <c r="G13" s="192">
        <v>7131505.4100000001</v>
      </c>
      <c r="H13" s="666"/>
      <c r="I13" s="666"/>
      <c r="J13" s="38"/>
      <c r="K13" s="38"/>
      <c r="L13" s="38"/>
      <c r="M13" s="38"/>
    </row>
    <row r="14" spans="1:17" s="248" customFormat="1" ht="15">
      <c r="A14" s="836">
        <f t="shared" si="0"/>
        <v>6</v>
      </c>
      <c r="B14" s="864" t="s">
        <v>26</v>
      </c>
      <c r="C14" s="1664"/>
      <c r="D14" s="1664"/>
      <c r="E14" s="1664"/>
      <c r="F14" s="1664"/>
      <c r="G14" s="192">
        <v>8330952.3200000003</v>
      </c>
      <c r="H14" s="666"/>
      <c r="I14" s="666"/>
      <c r="J14" s="38"/>
      <c r="K14" s="38"/>
      <c r="L14" s="38"/>
      <c r="M14" s="38"/>
    </row>
    <row r="15" spans="1:17" s="248" customFormat="1" ht="15">
      <c r="A15" s="836">
        <f t="shared" si="0"/>
        <v>7</v>
      </c>
      <c r="B15" s="864" t="s">
        <v>31</v>
      </c>
      <c r="C15" s="1664"/>
      <c r="D15" s="1664"/>
      <c r="E15" s="1664"/>
      <c r="F15" s="1664"/>
      <c r="G15" s="192">
        <v>8981616.0099999998</v>
      </c>
      <c r="H15" s="666"/>
      <c r="I15" s="666"/>
      <c r="J15" s="38"/>
      <c r="K15" s="38"/>
      <c r="L15" s="38"/>
      <c r="M15" s="38"/>
    </row>
    <row r="16" spans="1:17" s="248" customFormat="1" ht="15">
      <c r="A16" s="836">
        <f t="shared" si="0"/>
        <v>8</v>
      </c>
      <c r="B16" s="864" t="s">
        <v>32</v>
      </c>
      <c r="C16" s="1664"/>
      <c r="D16" s="1664"/>
      <c r="E16" s="1664"/>
      <c r="F16" s="1664"/>
      <c r="G16" s="192">
        <v>9930597.5299999993</v>
      </c>
      <c r="H16" s="666"/>
      <c r="I16" s="666"/>
      <c r="J16" s="38"/>
      <c r="K16" s="38"/>
      <c r="L16" s="38"/>
      <c r="M16" s="38"/>
    </row>
    <row r="17" spans="1:13" s="248" customFormat="1" ht="15">
      <c r="A17" s="836">
        <f t="shared" si="0"/>
        <v>9</v>
      </c>
      <c r="B17" s="864" t="s">
        <v>33</v>
      </c>
      <c r="C17" s="1664"/>
      <c r="D17" s="1664"/>
      <c r="E17" s="1664"/>
      <c r="F17" s="1664"/>
      <c r="G17" s="192">
        <v>10274675.15</v>
      </c>
      <c r="H17" s="666"/>
      <c r="I17" s="666"/>
      <c r="J17" s="38"/>
      <c r="K17" s="38"/>
      <c r="L17" s="38"/>
      <c r="M17" s="38"/>
    </row>
    <row r="18" spans="1:13" s="248" customFormat="1" ht="15">
      <c r="A18" s="836">
        <f t="shared" si="0"/>
        <v>10</v>
      </c>
      <c r="B18" s="864" t="s">
        <v>34</v>
      </c>
      <c r="C18" s="1664"/>
      <c r="D18" s="1664"/>
      <c r="E18" s="1664"/>
      <c r="F18" s="1664"/>
      <c r="G18" s="192">
        <v>8559080.5999999996</v>
      </c>
      <c r="H18" s="666"/>
      <c r="I18" s="666"/>
      <c r="J18" s="38"/>
      <c r="K18" s="38"/>
      <c r="L18" s="38"/>
      <c r="M18" s="38"/>
    </row>
    <row r="19" spans="1:13" s="248" customFormat="1" ht="15">
      <c r="A19" s="836">
        <f t="shared" si="0"/>
        <v>11</v>
      </c>
      <c r="B19" s="864" t="s">
        <v>35</v>
      </c>
      <c r="C19" s="1664"/>
      <c r="D19" s="1664"/>
      <c r="E19" s="1664"/>
      <c r="F19" s="1664"/>
      <c r="G19" s="192">
        <v>8475256.9700000007</v>
      </c>
      <c r="H19" s="666"/>
      <c r="I19" s="666"/>
      <c r="J19" s="38"/>
      <c r="K19" s="38"/>
      <c r="L19" s="38"/>
      <c r="M19" s="38"/>
    </row>
    <row r="20" spans="1:13" s="248" customFormat="1" ht="15">
      <c r="A20" s="836">
        <f t="shared" si="0"/>
        <v>12</v>
      </c>
      <c r="B20" s="864" t="s">
        <v>36</v>
      </c>
      <c r="C20" s="1664"/>
      <c r="D20" s="1664"/>
      <c r="E20" s="1664"/>
      <c r="F20" s="1664"/>
      <c r="G20" s="192">
        <v>8496165.2599999998</v>
      </c>
      <c r="H20" s="666"/>
      <c r="I20" s="666"/>
      <c r="J20" s="38"/>
      <c r="K20" s="38"/>
      <c r="L20" s="38"/>
      <c r="M20" s="38"/>
    </row>
    <row r="21" spans="1:13" s="248" customFormat="1" ht="15">
      <c r="A21" s="836">
        <f t="shared" si="0"/>
        <v>13</v>
      </c>
      <c r="B21" s="864" t="s">
        <v>37</v>
      </c>
      <c r="C21" s="1664"/>
      <c r="D21" s="1664"/>
      <c r="E21" s="1664"/>
      <c r="F21" s="1664"/>
      <c r="G21" s="671">
        <v>8135984.8899999997</v>
      </c>
      <c r="H21" s="666"/>
      <c r="I21" s="666"/>
      <c r="J21" s="38"/>
      <c r="K21" s="38"/>
      <c r="L21" s="38"/>
      <c r="M21" s="38"/>
    </row>
    <row r="22" spans="1:13" s="248" customFormat="1">
      <c r="A22" s="836">
        <f t="shared" si="0"/>
        <v>14</v>
      </c>
      <c r="B22" s="164" t="s">
        <v>1099</v>
      </c>
      <c r="D22" s="164"/>
      <c r="E22" s="164"/>
      <c r="G22" s="141">
        <f>SUM(G10:G21)</f>
        <v>101138066.64999999</v>
      </c>
      <c r="H22" s="164" t="str">
        <f>+"Sum (Line "&amp;A10&amp;" to "&amp;A21&amp;")"</f>
        <v>Sum (Line 2 to 13)</v>
      </c>
      <c r="J22" s="38"/>
      <c r="K22" s="38"/>
      <c r="L22" s="38"/>
      <c r="M22" s="38"/>
    </row>
    <row r="23" spans="1:13" s="248" customFormat="1">
      <c r="A23" s="836">
        <f t="shared" si="0"/>
        <v>15</v>
      </c>
      <c r="B23" s="164" t="s">
        <v>547</v>
      </c>
      <c r="D23" s="164"/>
      <c r="E23" s="164"/>
      <c r="G23" s="249">
        <v>14761213.716662692</v>
      </c>
      <c r="H23" s="164" t="s">
        <v>1650</v>
      </c>
      <c r="J23" s="38"/>
      <c r="K23" s="38"/>
      <c r="L23" s="38"/>
      <c r="M23" s="38"/>
    </row>
    <row r="24" spans="1:13" s="248" customFormat="1" ht="13.2" customHeight="1">
      <c r="A24" s="836">
        <f t="shared" si="0"/>
        <v>16</v>
      </c>
      <c r="B24" s="1701" t="s">
        <v>1127</v>
      </c>
      <c r="C24" s="1701"/>
      <c r="D24" s="1701"/>
      <c r="E24" s="1701"/>
      <c r="F24" s="1701"/>
      <c r="G24" s="244">
        <v>0</v>
      </c>
      <c r="H24" s="1817"/>
      <c r="I24" s="1664"/>
      <c r="J24" s="38"/>
      <c r="K24" s="1670"/>
      <c r="L24" s="38"/>
      <c r="M24" s="38"/>
    </row>
    <row r="25" spans="1:13" s="248" customFormat="1">
      <c r="A25" s="836">
        <f t="shared" si="0"/>
        <v>17</v>
      </c>
      <c r="B25" s="248" t="s">
        <v>1128</v>
      </c>
      <c r="D25" s="165"/>
      <c r="E25" s="165"/>
      <c r="F25" s="38"/>
      <c r="G25" s="73">
        <f>+G22+G23-G24</f>
        <v>115899280.36666268</v>
      </c>
      <c r="H25" s="1670" t="str">
        <f>+"Sum (Line "&amp;A22&amp;" + "&amp;A23&amp;" - "&amp;A24&amp;")"</f>
        <v>Sum (Line 14 + 15 - 16)</v>
      </c>
      <c r="I25" s="1664"/>
      <c r="J25" s="38"/>
      <c r="K25" s="38"/>
      <c r="L25" s="38"/>
      <c r="M25" s="38"/>
    </row>
    <row r="26" spans="1:13" s="248" customFormat="1">
      <c r="A26" s="836">
        <f t="shared" si="0"/>
        <v>18</v>
      </c>
      <c r="B26" s="968"/>
      <c r="C26" s="1664"/>
      <c r="D26" s="165"/>
      <c r="E26" s="164"/>
      <c r="F26" s="38"/>
      <c r="G26" s="38"/>
      <c r="H26" s="38"/>
      <c r="I26" s="1664"/>
      <c r="J26" s="38"/>
      <c r="K26" s="1664"/>
      <c r="L26" s="38"/>
      <c r="M26" s="38"/>
    </row>
    <row r="27" spans="1:13" s="248" customFormat="1">
      <c r="A27" s="836">
        <f t="shared" si="0"/>
        <v>19</v>
      </c>
      <c r="B27" s="38" t="s">
        <v>1129</v>
      </c>
      <c r="D27" s="38"/>
      <c r="E27" s="38"/>
      <c r="F27" s="38"/>
      <c r="G27" s="73">
        <v>125372428.30569988</v>
      </c>
      <c r="H27" s="1670" t="s">
        <v>1143</v>
      </c>
      <c r="I27" s="1664"/>
      <c r="J27" s="38"/>
      <c r="K27" s="38"/>
      <c r="L27" s="38"/>
      <c r="M27" s="38"/>
    </row>
    <row r="28" spans="1:13" s="248" customFormat="1" ht="15">
      <c r="A28" s="836">
        <f t="shared" si="0"/>
        <v>20</v>
      </c>
      <c r="B28" s="38"/>
      <c r="D28" s="1664"/>
      <c r="E28" s="1664"/>
      <c r="F28" s="1664"/>
      <c r="G28" s="456"/>
      <c r="H28" s="1818" t="s">
        <v>1601</v>
      </c>
      <c r="I28" s="1664"/>
      <c r="J28" s="38"/>
      <c r="L28" s="38"/>
      <c r="M28" s="38"/>
    </row>
    <row r="29" spans="1:13" s="248" customFormat="1">
      <c r="A29" s="836">
        <f t="shared" si="0"/>
        <v>21</v>
      </c>
      <c r="B29" s="38" t="s">
        <v>901</v>
      </c>
      <c r="D29" s="38"/>
      <c r="E29" s="38"/>
      <c r="F29" s="38"/>
      <c r="G29" s="236">
        <f>+G27-G25</f>
        <v>9473147.9390372038</v>
      </c>
      <c r="H29" s="1670" t="str">
        <f>+"Line "&amp;A27&amp;" - Line "&amp;A25</f>
        <v>Line 19 - Line 17</v>
      </c>
      <c r="I29" s="1664"/>
      <c r="J29" s="38"/>
      <c r="K29" s="38"/>
      <c r="L29" s="38"/>
      <c r="M29" s="38"/>
    </row>
    <row r="30" spans="1:13" s="248" customFormat="1">
      <c r="A30" s="1670">
        <f t="shared" si="0"/>
        <v>22</v>
      </c>
      <c r="B30" s="38"/>
      <c r="D30" s="38"/>
      <c r="E30" s="38"/>
      <c r="F30" s="38"/>
      <c r="G30" s="236"/>
      <c r="H30" s="1670"/>
      <c r="I30" s="1664"/>
      <c r="J30" s="38"/>
      <c r="K30" s="38"/>
      <c r="L30" s="38"/>
      <c r="M30" s="38"/>
    </row>
    <row r="31" spans="1:13" s="248" customFormat="1">
      <c r="A31" s="1670">
        <f t="shared" si="0"/>
        <v>23</v>
      </c>
      <c r="B31" s="38" t="s">
        <v>902</v>
      </c>
      <c r="D31" s="38"/>
      <c r="E31" s="38"/>
      <c r="F31" s="38"/>
      <c r="G31" s="244"/>
      <c r="H31" s="1670" t="s">
        <v>545</v>
      </c>
      <c r="I31" s="1664"/>
      <c r="J31" s="39"/>
      <c r="K31" s="39"/>
      <c r="L31" s="39"/>
      <c r="M31" s="39"/>
    </row>
    <row r="32" spans="1:13" s="248" customFormat="1">
      <c r="A32" s="1670">
        <f t="shared" si="0"/>
        <v>24</v>
      </c>
      <c r="B32" s="38"/>
      <c r="D32" s="38"/>
      <c r="E32" s="38"/>
      <c r="F32" s="38"/>
      <c r="G32" s="73"/>
      <c r="H32" s="1670"/>
      <c r="I32" s="1664"/>
      <c r="J32" s="39"/>
      <c r="K32" s="39"/>
      <c r="L32" s="39"/>
      <c r="M32" s="39"/>
    </row>
    <row r="33" spans="1:13" s="248" customFormat="1">
      <c r="A33" s="1670">
        <f t="shared" si="0"/>
        <v>25</v>
      </c>
      <c r="B33" s="968" t="s">
        <v>1130</v>
      </c>
      <c r="C33" s="1664"/>
      <c r="D33" s="165"/>
      <c r="E33" s="164"/>
      <c r="F33" s="38"/>
      <c r="G33" s="38"/>
      <c r="H33" s="39"/>
      <c r="I33" s="1664"/>
      <c r="J33" s="39"/>
      <c r="K33" s="39"/>
      <c r="L33" s="39"/>
      <c r="M33" s="39"/>
    </row>
    <row r="34" spans="1:13" s="248" customFormat="1">
      <c r="A34" s="1670"/>
      <c r="B34" s="968"/>
      <c r="C34" s="1664"/>
      <c r="D34" s="1814" t="s">
        <v>1506</v>
      </c>
      <c r="E34" s="164"/>
      <c r="F34" s="38"/>
      <c r="G34" s="38"/>
      <c r="H34" s="39"/>
      <c r="I34" s="1664"/>
      <c r="J34" s="39"/>
      <c r="K34" s="39"/>
      <c r="L34" s="39"/>
      <c r="M34" s="39"/>
    </row>
    <row r="35" spans="1:13" s="248" customFormat="1" ht="54" customHeight="1">
      <c r="A35" s="1670"/>
      <c r="B35" s="1065" t="s">
        <v>420</v>
      </c>
      <c r="C35" s="583" t="s">
        <v>421</v>
      </c>
      <c r="D35" s="583" t="s">
        <v>281</v>
      </c>
      <c r="E35" s="583" t="s">
        <v>922</v>
      </c>
      <c r="F35" s="583" t="s">
        <v>855</v>
      </c>
      <c r="G35" s="583" t="s">
        <v>447</v>
      </c>
      <c r="H35" s="583" t="s">
        <v>422</v>
      </c>
      <c r="I35" s="583" t="s">
        <v>423</v>
      </c>
      <c r="J35" s="39"/>
      <c r="K35" s="39"/>
      <c r="L35" s="39"/>
      <c r="M35" s="39"/>
    </row>
    <row r="36" spans="1:13" s="248" customFormat="1" ht="15" customHeight="1">
      <c r="A36" s="1670">
        <f>+A33+1</f>
        <v>26</v>
      </c>
      <c r="B36" s="1671" t="s">
        <v>67</v>
      </c>
      <c r="C36" s="541" t="s">
        <v>114</v>
      </c>
      <c r="D36" s="541" t="s">
        <v>840</v>
      </c>
      <c r="E36" s="541" t="s">
        <v>841</v>
      </c>
      <c r="F36" s="541" t="s">
        <v>842</v>
      </c>
      <c r="G36" s="1442" t="s">
        <v>1140</v>
      </c>
      <c r="H36" s="1442" t="s">
        <v>1141</v>
      </c>
      <c r="I36" s="541" t="s">
        <v>169</v>
      </c>
      <c r="J36" s="39"/>
      <c r="K36" s="39"/>
      <c r="L36" s="39"/>
      <c r="M36" s="39"/>
    </row>
    <row r="37" spans="1:13" s="248" customFormat="1" ht="15">
      <c r="A37" s="834">
        <f>+A36+0.01</f>
        <v>26.01</v>
      </c>
      <c r="B37" s="38"/>
      <c r="C37" s="1580">
        <v>42005</v>
      </c>
      <c r="D37" s="1581">
        <v>0</v>
      </c>
      <c r="E37" s="458">
        <v>0</v>
      </c>
      <c r="F37" s="810">
        <f t="shared" ref="F37:F64" si="1">H37*E37</f>
        <v>0</v>
      </c>
      <c r="G37" s="1530">
        <f>+G$29/12</f>
        <v>789428.99491976702</v>
      </c>
      <c r="H37" s="1396">
        <f>IF((B37=1),G37,G37)</f>
        <v>789428.99491976702</v>
      </c>
      <c r="I37" s="810">
        <f>F37+G37</f>
        <v>789428.99491976702</v>
      </c>
      <c r="J37" s="39"/>
      <c r="K37" s="39" t="s">
        <v>1507</v>
      </c>
      <c r="L37" s="1658"/>
      <c r="M37" s="1666"/>
    </row>
    <row r="38" spans="1:13" s="248" customFormat="1">
      <c r="A38" s="834">
        <f t="shared" ref="A38:A65" si="2">+A37+0.01</f>
        <v>26.020000000000003</v>
      </c>
      <c r="B38" s="38"/>
      <c r="C38" s="1580">
        <v>42036</v>
      </c>
      <c r="D38" s="1581">
        <v>0</v>
      </c>
      <c r="E38" s="458">
        <v>0</v>
      </c>
      <c r="F38" s="810">
        <f t="shared" si="1"/>
        <v>0</v>
      </c>
      <c r="G38" s="1530">
        <f t="shared" ref="G38:G48" si="3">+G$29/12</f>
        <v>789428.99491976702</v>
      </c>
      <c r="H38" s="1396">
        <f t="shared" ref="H38:H64" si="4">IF((B38=1),I37+G38,+H37+G38)</f>
        <v>1578857.989839534</v>
      </c>
      <c r="I38" s="810">
        <f>I37+F38+G38</f>
        <v>1578857.989839534</v>
      </c>
      <c r="J38" s="39"/>
      <c r="K38" s="248" t="s">
        <v>1508</v>
      </c>
    </row>
    <row r="39" spans="1:13" s="248" customFormat="1">
      <c r="A39" s="834">
        <f t="shared" si="2"/>
        <v>26.030000000000005</v>
      </c>
      <c r="B39" s="38"/>
      <c r="C39" s="1580">
        <v>42064</v>
      </c>
      <c r="D39" s="1581">
        <v>0</v>
      </c>
      <c r="E39" s="458">
        <v>0</v>
      </c>
      <c r="F39" s="810">
        <f t="shared" si="1"/>
        <v>0</v>
      </c>
      <c r="G39" s="1530">
        <f t="shared" si="3"/>
        <v>789428.99491976702</v>
      </c>
      <c r="H39" s="1396">
        <f t="shared" si="4"/>
        <v>2368286.9847593009</v>
      </c>
      <c r="I39" s="810">
        <f t="shared" ref="I39:I65" si="5">I38+F39+G39</f>
        <v>2368286.9847593009</v>
      </c>
      <c r="J39" s="39"/>
      <c r="K39" s="248" t="s">
        <v>1509</v>
      </c>
    </row>
    <row r="40" spans="1:13" s="248" customFormat="1">
      <c r="A40" s="834">
        <f t="shared" si="2"/>
        <v>26.040000000000006</v>
      </c>
      <c r="B40" s="38">
        <v>1</v>
      </c>
      <c r="C40" s="1580">
        <v>42095</v>
      </c>
      <c r="D40" s="1581">
        <v>0</v>
      </c>
      <c r="E40" s="458">
        <v>0</v>
      </c>
      <c r="F40" s="810">
        <f t="shared" si="1"/>
        <v>0</v>
      </c>
      <c r="G40" s="1530">
        <f t="shared" si="3"/>
        <v>789428.99491976702</v>
      </c>
      <c r="H40" s="1396">
        <f t="shared" si="4"/>
        <v>3157715.9796790681</v>
      </c>
      <c r="I40" s="810">
        <f t="shared" si="5"/>
        <v>3157715.9796790681</v>
      </c>
      <c r="J40" s="39"/>
      <c r="K40" s="248" t="s">
        <v>1510</v>
      </c>
    </row>
    <row r="41" spans="1:13" s="248" customFormat="1">
      <c r="A41" s="834">
        <f t="shared" si="2"/>
        <v>26.050000000000008</v>
      </c>
      <c r="B41" s="38"/>
      <c r="C41" s="1580">
        <v>42125</v>
      </c>
      <c r="D41" s="1581">
        <v>0</v>
      </c>
      <c r="E41" s="458">
        <v>0</v>
      </c>
      <c r="F41" s="810">
        <f t="shared" si="1"/>
        <v>0</v>
      </c>
      <c r="G41" s="1530">
        <f t="shared" si="3"/>
        <v>789428.99491976702</v>
      </c>
      <c r="H41" s="1396">
        <f t="shared" si="4"/>
        <v>3947144.9745988352</v>
      </c>
      <c r="I41" s="810">
        <f t="shared" si="5"/>
        <v>3947144.9745988352</v>
      </c>
      <c r="J41" s="39"/>
      <c r="K41" s="236"/>
      <c r="L41" s="73"/>
      <c r="M41" s="236"/>
    </row>
    <row r="42" spans="1:13" s="248" customFormat="1">
      <c r="A42" s="834">
        <f t="shared" si="2"/>
        <v>26.060000000000009</v>
      </c>
      <c r="B42" s="38"/>
      <c r="C42" s="1580">
        <v>42156</v>
      </c>
      <c r="D42" s="1581">
        <v>0</v>
      </c>
      <c r="E42" s="458">
        <v>0</v>
      </c>
      <c r="F42" s="810">
        <f t="shared" si="1"/>
        <v>0</v>
      </c>
      <c r="G42" s="1530">
        <f t="shared" si="3"/>
        <v>789428.99491976702</v>
      </c>
      <c r="H42" s="1396">
        <f t="shared" si="4"/>
        <v>4736573.9695186019</v>
      </c>
      <c r="I42" s="810">
        <f t="shared" si="5"/>
        <v>4736573.9695186019</v>
      </c>
      <c r="J42" s="39"/>
      <c r="K42" s="236"/>
      <c r="L42" s="73"/>
      <c r="M42" s="236"/>
    </row>
    <row r="43" spans="1:13" s="248" customFormat="1">
      <c r="A43" s="834">
        <f t="shared" si="2"/>
        <v>26.070000000000011</v>
      </c>
      <c r="B43" s="38">
        <v>1</v>
      </c>
      <c r="C43" s="1580">
        <v>42186</v>
      </c>
      <c r="D43" s="1581">
        <v>0</v>
      </c>
      <c r="E43" s="458">
        <v>0</v>
      </c>
      <c r="F43" s="810">
        <f t="shared" si="1"/>
        <v>0</v>
      </c>
      <c r="G43" s="1530">
        <f t="shared" si="3"/>
        <v>789428.99491976702</v>
      </c>
      <c r="H43" s="1396">
        <f t="shared" si="4"/>
        <v>5526002.9644383686</v>
      </c>
      <c r="I43" s="810">
        <f t="shared" si="5"/>
        <v>5526002.9644383686</v>
      </c>
      <c r="J43" s="39"/>
      <c r="K43" s="236"/>
      <c r="L43" s="73"/>
      <c r="M43" s="236"/>
    </row>
    <row r="44" spans="1:13" s="248" customFormat="1">
      <c r="A44" s="834">
        <f t="shared" si="2"/>
        <v>26.080000000000013</v>
      </c>
      <c r="B44" s="38"/>
      <c r="C44" s="1580">
        <v>42217</v>
      </c>
      <c r="D44" s="1581">
        <v>0</v>
      </c>
      <c r="E44" s="458">
        <v>0</v>
      </c>
      <c r="F44" s="810">
        <f t="shared" si="1"/>
        <v>0</v>
      </c>
      <c r="G44" s="1530">
        <f t="shared" si="3"/>
        <v>789428.99491976702</v>
      </c>
      <c r="H44" s="1396">
        <f t="shared" si="4"/>
        <v>6315431.9593581352</v>
      </c>
      <c r="I44" s="810">
        <f t="shared" si="5"/>
        <v>6315431.9593581352</v>
      </c>
      <c r="J44" s="39"/>
      <c r="K44" s="236"/>
      <c r="L44" s="73"/>
      <c r="M44" s="236"/>
    </row>
    <row r="45" spans="1:13" s="248" customFormat="1">
      <c r="A45" s="834">
        <f t="shared" si="2"/>
        <v>26.090000000000014</v>
      </c>
      <c r="B45" s="38"/>
      <c r="C45" s="1580">
        <v>42248</v>
      </c>
      <c r="D45" s="1581">
        <v>0</v>
      </c>
      <c r="E45" s="458">
        <v>0</v>
      </c>
      <c r="F45" s="810">
        <f t="shared" si="1"/>
        <v>0</v>
      </c>
      <c r="G45" s="1530">
        <f t="shared" si="3"/>
        <v>789428.99491976702</v>
      </c>
      <c r="H45" s="1396">
        <f t="shared" si="4"/>
        <v>7104860.9542779019</v>
      </c>
      <c r="I45" s="810">
        <f t="shared" si="5"/>
        <v>7104860.9542779019</v>
      </c>
      <c r="J45" s="39"/>
      <c r="K45" s="236"/>
      <c r="L45" s="73"/>
      <c r="M45" s="236"/>
    </row>
    <row r="46" spans="1:13" s="248" customFormat="1">
      <c r="A46" s="834">
        <f t="shared" si="2"/>
        <v>26.100000000000016</v>
      </c>
      <c r="B46" s="38">
        <v>1</v>
      </c>
      <c r="C46" s="1580">
        <v>42278</v>
      </c>
      <c r="D46" s="1581">
        <v>0</v>
      </c>
      <c r="E46" s="458">
        <v>0</v>
      </c>
      <c r="F46" s="810">
        <f t="shared" si="1"/>
        <v>0</v>
      </c>
      <c r="G46" s="1530">
        <f t="shared" si="3"/>
        <v>789428.99491976702</v>
      </c>
      <c r="H46" s="1396">
        <f t="shared" si="4"/>
        <v>7894289.9491976686</v>
      </c>
      <c r="I46" s="810">
        <f t="shared" si="5"/>
        <v>7894289.9491976686</v>
      </c>
      <c r="J46" s="39"/>
      <c r="K46" s="236"/>
      <c r="L46" s="73"/>
      <c r="M46" s="236"/>
    </row>
    <row r="47" spans="1:13" s="248" customFormat="1">
      <c r="A47" s="834">
        <f t="shared" si="2"/>
        <v>26.110000000000017</v>
      </c>
      <c r="B47" s="38"/>
      <c r="C47" s="1580">
        <v>42309</v>
      </c>
      <c r="D47" s="1581">
        <v>3.2500000000000001E-2</v>
      </c>
      <c r="E47" s="458">
        <f>+D47/12</f>
        <v>2.7083333333333334E-3</v>
      </c>
      <c r="F47" s="810">
        <f t="shared" si="1"/>
        <v>23518.40547365139</v>
      </c>
      <c r="G47" s="1530">
        <f t="shared" si="3"/>
        <v>789428.99491976702</v>
      </c>
      <c r="H47" s="1396">
        <f t="shared" si="4"/>
        <v>8683718.9441174362</v>
      </c>
      <c r="I47" s="810">
        <f t="shared" si="5"/>
        <v>8707237.3495910875</v>
      </c>
      <c r="J47" s="39"/>
      <c r="K47" s="236"/>
      <c r="L47" s="73"/>
      <c r="M47" s="236"/>
    </row>
    <row r="48" spans="1:13" s="248" customFormat="1">
      <c r="A48" s="834">
        <f t="shared" si="2"/>
        <v>26.120000000000019</v>
      </c>
      <c r="B48" s="38"/>
      <c r="C48" s="1580">
        <v>42339</v>
      </c>
      <c r="D48" s="1581">
        <v>3.2500000000000001E-2</v>
      </c>
      <c r="E48" s="458">
        <f t="shared" ref="E48:E65" si="6">+D48/12</f>
        <v>2.7083333333333334E-3</v>
      </c>
      <c r="F48" s="810">
        <f t="shared" si="1"/>
        <v>25656.442334892428</v>
      </c>
      <c r="G48" s="1530">
        <f t="shared" si="3"/>
        <v>789428.99491976702</v>
      </c>
      <c r="H48" s="1396">
        <f t="shared" si="4"/>
        <v>9473147.9390372038</v>
      </c>
      <c r="I48" s="810">
        <f t="shared" si="5"/>
        <v>9522322.7868457474</v>
      </c>
      <c r="J48" s="39"/>
      <c r="K48" s="236"/>
      <c r="L48" s="73"/>
      <c r="M48" s="236"/>
    </row>
    <row r="49" spans="1:13" s="248" customFormat="1" ht="15">
      <c r="A49" s="834">
        <f t="shared" si="2"/>
        <v>26.13000000000002</v>
      </c>
      <c r="B49" s="38">
        <v>1</v>
      </c>
      <c r="C49" s="1580">
        <v>42370</v>
      </c>
      <c r="D49" s="1581">
        <v>3.2500000000000001E-2</v>
      </c>
      <c r="E49" s="458">
        <f t="shared" si="6"/>
        <v>2.7083333333333334E-3</v>
      </c>
      <c r="F49" s="810">
        <f t="shared" si="1"/>
        <v>25789.6242143739</v>
      </c>
      <c r="G49" s="1530"/>
      <c r="H49" s="1396">
        <f t="shared" si="4"/>
        <v>9522322.7868457474</v>
      </c>
      <c r="I49" s="810">
        <f t="shared" si="5"/>
        <v>9548112.4110601209</v>
      </c>
      <c r="J49" s="39"/>
      <c r="K49" s="1815"/>
      <c r="L49" s="453"/>
      <c r="M49" s="1815"/>
    </row>
    <row r="50" spans="1:13" s="248" customFormat="1">
      <c r="A50" s="834">
        <f t="shared" si="2"/>
        <v>26.140000000000022</v>
      </c>
      <c r="B50" s="78"/>
      <c r="C50" s="1580">
        <v>42401</v>
      </c>
      <c r="D50" s="1581">
        <v>3.2500000000000001E-2</v>
      </c>
      <c r="E50" s="458">
        <f t="shared" si="6"/>
        <v>2.7083333333333334E-3</v>
      </c>
      <c r="F50" s="810">
        <f t="shared" si="1"/>
        <v>25789.6242143739</v>
      </c>
      <c r="G50" s="1530"/>
      <c r="H50" s="1396">
        <f t="shared" si="4"/>
        <v>9522322.7868457474</v>
      </c>
      <c r="I50" s="810">
        <f t="shared" si="5"/>
        <v>9573902.0352744944</v>
      </c>
      <c r="J50" s="39"/>
      <c r="K50" s="236"/>
      <c r="L50" s="236"/>
      <c r="M50" s="39"/>
    </row>
    <row r="51" spans="1:13" s="248" customFormat="1">
      <c r="A51" s="834">
        <f t="shared" si="2"/>
        <v>26.150000000000023</v>
      </c>
      <c r="B51" s="465"/>
      <c r="C51" s="1580">
        <v>42430</v>
      </c>
      <c r="D51" s="1581">
        <v>3.2500000000000001E-2</v>
      </c>
      <c r="E51" s="458">
        <f t="shared" si="6"/>
        <v>2.7083333333333334E-3</v>
      </c>
      <c r="F51" s="810">
        <f t="shared" si="1"/>
        <v>25789.6242143739</v>
      </c>
      <c r="G51" s="1530"/>
      <c r="H51" s="1396">
        <f t="shared" si="4"/>
        <v>9522322.7868457474</v>
      </c>
      <c r="I51" s="810">
        <f t="shared" si="5"/>
        <v>9599691.659488868</v>
      </c>
      <c r="J51" s="39"/>
      <c r="K51" s="39"/>
      <c r="L51" s="39"/>
      <c r="M51" s="39"/>
    </row>
    <row r="52" spans="1:13" s="248" customFormat="1">
      <c r="A52" s="834">
        <f t="shared" si="2"/>
        <v>26.160000000000025</v>
      </c>
      <c r="B52" s="38">
        <v>1</v>
      </c>
      <c r="C52" s="1580">
        <v>42461</v>
      </c>
      <c r="D52" s="1581">
        <v>3.4599999999999999E-2</v>
      </c>
      <c r="E52" s="458">
        <f t="shared" si="6"/>
        <v>2.8833333333333332E-3</v>
      </c>
      <c r="F52" s="810">
        <f t="shared" si="1"/>
        <v>27679.110951526236</v>
      </c>
      <c r="G52" s="1530"/>
      <c r="H52" s="1396">
        <f t="shared" si="4"/>
        <v>9599691.659488868</v>
      </c>
      <c r="I52" s="810">
        <f t="shared" si="5"/>
        <v>9627370.7704403941</v>
      </c>
      <c r="J52" s="39"/>
      <c r="K52" s="39"/>
      <c r="L52" s="39"/>
      <c r="M52" s="39"/>
    </row>
    <row r="53" spans="1:13" s="248" customFormat="1">
      <c r="A53" s="834">
        <f t="shared" si="2"/>
        <v>26.170000000000027</v>
      </c>
      <c r="B53" s="465"/>
      <c r="C53" s="1580">
        <v>42491</v>
      </c>
      <c r="D53" s="1581">
        <v>3.4599999999999999E-2</v>
      </c>
      <c r="E53" s="458">
        <f t="shared" si="6"/>
        <v>2.8833333333333332E-3</v>
      </c>
      <c r="F53" s="810">
        <f t="shared" si="1"/>
        <v>27679.110951526236</v>
      </c>
      <c r="G53" s="1530"/>
      <c r="H53" s="1396">
        <f t="shared" si="4"/>
        <v>9599691.659488868</v>
      </c>
      <c r="I53" s="810">
        <f t="shared" si="5"/>
        <v>9655049.8813919201</v>
      </c>
      <c r="J53" s="39"/>
      <c r="K53" s="38"/>
      <c r="L53" s="38"/>
      <c r="M53" s="38"/>
    </row>
    <row r="54" spans="1:13" s="248" customFormat="1">
      <c r="A54" s="834">
        <f t="shared" si="2"/>
        <v>26.180000000000028</v>
      </c>
      <c r="B54" s="465"/>
      <c r="C54" s="1580">
        <v>42522</v>
      </c>
      <c r="D54" s="1581">
        <v>3.4599999999999999E-2</v>
      </c>
      <c r="E54" s="458">
        <f t="shared" si="6"/>
        <v>2.8833333333333332E-3</v>
      </c>
      <c r="F54" s="810">
        <f t="shared" si="1"/>
        <v>25322.051819575085</v>
      </c>
      <c r="G54" s="141">
        <v>-817477.15558999428</v>
      </c>
      <c r="H54" s="1396">
        <f>IF((B54=1),I53+G54,+H53+G54)</f>
        <v>8782214.5038988739</v>
      </c>
      <c r="I54" s="810">
        <f>I53+F54+G54</f>
        <v>8862894.7776215021</v>
      </c>
      <c r="J54" s="39"/>
      <c r="K54" s="38"/>
      <c r="L54" s="38"/>
      <c r="M54" s="38"/>
    </row>
    <row r="55" spans="1:13" s="248" customFormat="1">
      <c r="A55" s="834">
        <f t="shared" si="2"/>
        <v>26.19000000000003</v>
      </c>
      <c r="B55" s="38">
        <v>1</v>
      </c>
      <c r="C55" s="1580">
        <v>42552</v>
      </c>
      <c r="D55" s="1581">
        <v>3.5000000000000003E-2</v>
      </c>
      <c r="E55" s="458">
        <f t="shared" si="6"/>
        <v>2.9166666666666668E-3</v>
      </c>
      <c r="F55" s="810">
        <f t="shared" si="1"/>
        <v>23465.801397591898</v>
      </c>
      <c r="G55" s="1530">
        <f>+G54</f>
        <v>-817477.15558999428</v>
      </c>
      <c r="H55" s="1396">
        <f t="shared" si="4"/>
        <v>8045417.622031508</v>
      </c>
      <c r="I55" s="810">
        <f t="shared" si="5"/>
        <v>8068883.4234290998</v>
      </c>
      <c r="J55" s="39"/>
      <c r="K55" s="38"/>
      <c r="L55" s="38"/>
      <c r="M55" s="38"/>
    </row>
    <row r="56" spans="1:13" s="248" customFormat="1">
      <c r="A56" s="834">
        <f t="shared" si="2"/>
        <v>26.200000000000031</v>
      </c>
      <c r="B56" s="39"/>
      <c r="C56" s="1580">
        <v>42583</v>
      </c>
      <c r="D56" s="1581">
        <v>3.5000000000000003E-2</v>
      </c>
      <c r="E56" s="458">
        <f t="shared" si="6"/>
        <v>2.9166666666666668E-3</v>
      </c>
      <c r="F56" s="810">
        <f t="shared" si="1"/>
        <v>21081.493027121083</v>
      </c>
      <c r="G56" s="1530">
        <f>+G55</f>
        <v>-817477.15558999428</v>
      </c>
      <c r="H56" s="1396">
        <f t="shared" si="4"/>
        <v>7227940.466441514</v>
      </c>
      <c r="I56" s="810">
        <f t="shared" si="5"/>
        <v>7272487.7608662266</v>
      </c>
      <c r="J56" s="39"/>
      <c r="K56" s="38"/>
      <c r="L56" s="38"/>
      <c r="M56" s="38"/>
    </row>
    <row r="57" spans="1:13" s="248" customFormat="1">
      <c r="A57" s="834">
        <f t="shared" si="2"/>
        <v>26.210000000000033</v>
      </c>
      <c r="B57" s="39"/>
      <c r="C57" s="1580">
        <v>42614</v>
      </c>
      <c r="D57" s="1581">
        <v>3.5000000000000003E-2</v>
      </c>
      <c r="E57" s="458">
        <f t="shared" si="6"/>
        <v>2.9166666666666668E-3</v>
      </c>
      <c r="F57" s="810">
        <f t="shared" si="1"/>
        <v>18697.184656650268</v>
      </c>
      <c r="G57" s="1530">
        <f t="shared" ref="G57:G65" si="7">+G56</f>
        <v>-817477.15558999428</v>
      </c>
      <c r="H57" s="1396">
        <f t="shared" si="4"/>
        <v>6410463.3108515199</v>
      </c>
      <c r="I57" s="810">
        <f t="shared" si="5"/>
        <v>6473707.7899328824</v>
      </c>
      <c r="J57" s="39"/>
      <c r="K57" s="38"/>
      <c r="L57" s="38"/>
      <c r="M57" s="38"/>
    </row>
    <row r="58" spans="1:13" s="248" customFormat="1">
      <c r="A58" s="834">
        <f t="shared" si="2"/>
        <v>26.220000000000034</v>
      </c>
      <c r="B58" s="38">
        <v>1</v>
      </c>
      <c r="C58" s="1580">
        <v>42644</v>
      </c>
      <c r="D58" s="1581">
        <v>3.5000000000000003E-2</v>
      </c>
      <c r="E58" s="458">
        <f t="shared" si="6"/>
        <v>2.9166666666666668E-3</v>
      </c>
      <c r="F58" s="810">
        <f t="shared" si="1"/>
        <v>16497.33935016676</v>
      </c>
      <c r="G58" s="1530">
        <f t="shared" si="7"/>
        <v>-817477.15558999428</v>
      </c>
      <c r="H58" s="1396">
        <f t="shared" si="4"/>
        <v>5656230.6343428884</v>
      </c>
      <c r="I58" s="810">
        <f t="shared" si="5"/>
        <v>5672727.9736930551</v>
      </c>
      <c r="J58" s="39"/>
      <c r="K58" s="38" t="s">
        <v>424</v>
      </c>
      <c r="L58" s="38"/>
      <c r="M58" s="38"/>
    </row>
    <row r="59" spans="1:13" s="248" customFormat="1">
      <c r="A59" s="834">
        <f t="shared" si="2"/>
        <v>26.230000000000036</v>
      </c>
      <c r="B59" s="39"/>
      <c r="C59" s="1580">
        <v>42675</v>
      </c>
      <c r="D59" s="1581">
        <v>3.5000000000000003E-2</v>
      </c>
      <c r="E59" s="458">
        <f t="shared" si="6"/>
        <v>2.9166666666666668E-3</v>
      </c>
      <c r="F59" s="810">
        <f t="shared" si="1"/>
        <v>14113.030979695943</v>
      </c>
      <c r="G59" s="1530">
        <f t="shared" si="7"/>
        <v>-817477.15558999428</v>
      </c>
      <c r="H59" s="1396">
        <f t="shared" si="4"/>
        <v>4838753.4787528943</v>
      </c>
      <c r="I59" s="810">
        <f t="shared" si="5"/>
        <v>4869363.8490827568</v>
      </c>
      <c r="J59" s="39"/>
      <c r="K59" s="38" t="s">
        <v>425</v>
      </c>
      <c r="L59" s="38"/>
      <c r="M59" s="38"/>
    </row>
    <row r="60" spans="1:13" s="248" customFormat="1">
      <c r="A60" s="834">
        <f t="shared" si="2"/>
        <v>26.240000000000038</v>
      </c>
      <c r="B60" s="39"/>
      <c r="C60" s="1580">
        <v>42705</v>
      </c>
      <c r="D60" s="1581">
        <v>3.5000000000000003E-2</v>
      </c>
      <c r="E60" s="458">
        <f t="shared" si="6"/>
        <v>2.9166666666666668E-3</v>
      </c>
      <c r="F60" s="810">
        <f t="shared" si="1"/>
        <v>11728.722609225126</v>
      </c>
      <c r="G60" s="1530">
        <f t="shared" si="7"/>
        <v>-817477.15558999428</v>
      </c>
      <c r="H60" s="1396">
        <f t="shared" si="4"/>
        <v>4021276.3231629003</v>
      </c>
      <c r="I60" s="810">
        <f t="shared" si="5"/>
        <v>4063615.4161019875</v>
      </c>
      <c r="J60" s="39"/>
      <c r="K60" s="38"/>
      <c r="L60" s="38"/>
      <c r="M60" s="38"/>
    </row>
    <row r="61" spans="1:13" s="248" customFormat="1">
      <c r="A61" s="834">
        <f t="shared" si="2"/>
        <v>26.250000000000039</v>
      </c>
      <c r="B61" s="38">
        <v>1</v>
      </c>
      <c r="C61" s="1580">
        <v>42736</v>
      </c>
      <c r="D61" s="1581">
        <v>3.5000000000000003E-2</v>
      </c>
      <c r="E61" s="458">
        <f t="shared" si="6"/>
        <v>2.9166666666666668E-3</v>
      </c>
      <c r="F61" s="810">
        <f t="shared" si="1"/>
        <v>9467.9032598266476</v>
      </c>
      <c r="G61" s="1530">
        <f t="shared" si="7"/>
        <v>-817477.15558999428</v>
      </c>
      <c r="H61" s="1396">
        <f t="shared" si="4"/>
        <v>3246138.2605119934</v>
      </c>
      <c r="I61" s="810">
        <f t="shared" si="5"/>
        <v>3255606.1637718203</v>
      </c>
      <c r="J61" s="38"/>
      <c r="K61" s="38" t="s">
        <v>426</v>
      </c>
      <c r="L61" s="38"/>
      <c r="M61" s="38"/>
    </row>
    <row r="62" spans="1:13" s="248" customFormat="1">
      <c r="A62" s="834">
        <f t="shared" si="2"/>
        <v>26.260000000000041</v>
      </c>
      <c r="B62" s="78"/>
      <c r="C62" s="1580">
        <v>42767</v>
      </c>
      <c r="D62" s="1581">
        <v>3.5000000000000003E-2</v>
      </c>
      <c r="E62" s="458">
        <f t="shared" si="6"/>
        <v>2.9166666666666668E-3</v>
      </c>
      <c r="F62" s="810">
        <f t="shared" si="1"/>
        <v>7083.5948893558316</v>
      </c>
      <c r="G62" s="1530">
        <f t="shared" si="7"/>
        <v>-817477.15558999428</v>
      </c>
      <c r="H62" s="1396">
        <f t="shared" si="4"/>
        <v>2428661.1049219994</v>
      </c>
      <c r="I62" s="810">
        <f t="shared" si="5"/>
        <v>2445212.603071182</v>
      </c>
      <c r="J62" s="38"/>
      <c r="K62" s="38"/>
      <c r="L62" s="866" t="s">
        <v>427</v>
      </c>
      <c r="M62" s="867" t="str">
        <f ca="1">CELL("address",I65)</f>
        <v>$I$65</v>
      </c>
    </row>
    <row r="63" spans="1:13" s="248" customFormat="1">
      <c r="A63" s="834">
        <f t="shared" si="2"/>
        <v>26.270000000000042</v>
      </c>
      <c r="B63" s="465"/>
      <c r="C63" s="1580">
        <v>42795</v>
      </c>
      <c r="D63" s="1581">
        <v>3.5000000000000003E-2</v>
      </c>
      <c r="E63" s="458">
        <f t="shared" si="6"/>
        <v>2.9166666666666668E-3</v>
      </c>
      <c r="F63" s="810">
        <f t="shared" si="1"/>
        <v>4699.2865188850155</v>
      </c>
      <c r="G63" s="1530">
        <f t="shared" si="7"/>
        <v>-817477.15558999428</v>
      </c>
      <c r="H63" s="1396">
        <f t="shared" si="4"/>
        <v>1611183.9493320051</v>
      </c>
      <c r="I63" s="810">
        <f t="shared" si="5"/>
        <v>1632434.7340000726</v>
      </c>
      <c r="J63" s="38"/>
      <c r="K63" s="38"/>
      <c r="L63" s="866" t="s">
        <v>428</v>
      </c>
      <c r="M63" s="866">
        <v>0</v>
      </c>
    </row>
    <row r="64" spans="1:13" s="248" customFormat="1">
      <c r="A64" s="834">
        <f t="shared" si="2"/>
        <v>26.280000000000044</v>
      </c>
      <c r="B64" s="38">
        <v>1</v>
      </c>
      <c r="C64" s="1580">
        <v>42826</v>
      </c>
      <c r="D64" s="1581">
        <v>3.7100000000000001E-2</v>
      </c>
      <c r="E64" s="458">
        <f t="shared" si="6"/>
        <v>3.0916666666666666E-3</v>
      </c>
      <c r="F64" s="810">
        <f t="shared" si="1"/>
        <v>2519.5771799178256</v>
      </c>
      <c r="G64" s="1530">
        <f t="shared" si="7"/>
        <v>-817477.15558999428</v>
      </c>
      <c r="H64" s="1396">
        <f t="shared" si="4"/>
        <v>814957.57841007831</v>
      </c>
      <c r="I64" s="810">
        <f t="shared" si="5"/>
        <v>817477.15558999614</v>
      </c>
      <c r="J64" s="38"/>
      <c r="K64" s="38"/>
      <c r="L64" s="866" t="s">
        <v>429</v>
      </c>
      <c r="M64" s="867" t="str">
        <f ca="1">CELL("address",G54)</f>
        <v>$G$54</v>
      </c>
    </row>
    <row r="65" spans="1:21" s="248" customFormat="1" ht="15">
      <c r="A65" s="834">
        <f t="shared" si="2"/>
        <v>26.290000000000045</v>
      </c>
      <c r="B65" s="38"/>
      <c r="C65" s="1580">
        <v>42856</v>
      </c>
      <c r="D65" s="1581">
        <v>3.7100000000000001E-2</v>
      </c>
      <c r="E65" s="458">
        <f t="shared" si="6"/>
        <v>3.0916666666666666E-3</v>
      </c>
      <c r="F65" s="1582">
        <f>H65*E65</f>
        <v>0</v>
      </c>
      <c r="G65" s="1530">
        <f t="shared" si="7"/>
        <v>-817477.15558999428</v>
      </c>
      <c r="H65" s="1396"/>
      <c r="I65" s="1583">
        <f t="shared" si="5"/>
        <v>1.862645149230957E-9</v>
      </c>
      <c r="J65" s="38"/>
      <c r="K65" s="38"/>
      <c r="L65" s="810"/>
      <c r="M65" s="38"/>
    </row>
    <row r="66" spans="1:21" s="248" customFormat="1">
      <c r="A66" s="836">
        <f>+A36+1</f>
        <v>27</v>
      </c>
      <c r="B66" s="38" t="s">
        <v>830</v>
      </c>
      <c r="C66" s="457"/>
      <c r="D66" s="463"/>
      <c r="E66" s="1088"/>
      <c r="F66" s="810">
        <f>SUM(F37:F65)</f>
        <v>336577.92804272944</v>
      </c>
      <c r="G66" s="868"/>
      <c r="H66" s="459" t="str">
        <f>+"Col. "&amp;F6&amp;" Sum of Line "&amp;A36&amp;" Subparts"</f>
        <v>Col. E Sum of Line 26 Subparts</v>
      </c>
      <c r="I66" s="869"/>
      <c r="J66" s="38"/>
      <c r="K66" s="38"/>
      <c r="L66" s="38"/>
      <c r="M66" s="38"/>
    </row>
    <row r="67" spans="1:21" s="248" customFormat="1" ht="13.8" thickBot="1">
      <c r="A67" s="1670">
        <f>A66+1</f>
        <v>28</v>
      </c>
      <c r="B67" s="1439" t="s">
        <v>1134</v>
      </c>
      <c r="C67" s="457"/>
      <c r="D67" s="463"/>
      <c r="E67" s="1088"/>
      <c r="F67" s="1440">
        <f>+G29+G31</f>
        <v>9473147.9390372038</v>
      </c>
      <c r="G67" s="467"/>
      <c r="H67" s="1702" t="str">
        <f>+"Col. "&amp;G6&amp;" Line "&amp;A29&amp;" + Line "&amp;A31</f>
        <v>Col. F Line 21 + Line 23</v>
      </c>
      <c r="I67" s="1702"/>
      <c r="J67" s="38"/>
      <c r="K67" s="38"/>
      <c r="L67" s="38"/>
      <c r="M67" s="38"/>
    </row>
    <row r="68" spans="1:21" s="248" customFormat="1" ht="13.8" thickBot="1">
      <c r="A68" s="1670">
        <f>A67+1</f>
        <v>29</v>
      </c>
      <c r="B68" s="38" t="s">
        <v>1135</v>
      </c>
      <c r="C68" s="457"/>
      <c r="D68" s="463"/>
      <c r="E68" s="1088"/>
      <c r="F68" s="1441">
        <f>SUM(F66:F67)</f>
        <v>9809725.8670799341</v>
      </c>
      <c r="G68" s="459"/>
      <c r="H68" s="459" t="str">
        <f>+"Col. "&amp;F6&amp;" Line "&amp;A66&amp;" + "&amp;A67</f>
        <v>Col. E Line 27 + 28</v>
      </c>
      <c r="I68" s="459"/>
      <c r="J68" s="38"/>
      <c r="K68" s="38"/>
      <c r="L68" s="38"/>
      <c r="M68" s="38"/>
    </row>
    <row r="69" spans="1:21" s="248" customFormat="1" ht="13.8" thickBot="1">
      <c r="A69" s="39"/>
      <c r="B69" s="38"/>
      <c r="C69" s="38"/>
      <c r="D69" s="38"/>
      <c r="E69" s="38"/>
      <c r="F69" s="38"/>
      <c r="G69" s="1441">
        <f>-SUM(G54:G60)</f>
        <v>5722340.0891299592</v>
      </c>
      <c r="H69" s="40" t="s">
        <v>1511</v>
      </c>
      <c r="I69" s="40"/>
      <c r="J69" s="38"/>
      <c r="K69" s="38"/>
      <c r="L69" s="38"/>
      <c r="M69" s="38"/>
    </row>
    <row r="70" spans="1:21" s="39" customFormat="1">
      <c r="B70" s="38"/>
      <c r="C70" s="457"/>
      <c r="D70" s="463"/>
      <c r="E70" s="1088"/>
      <c r="F70" s="459"/>
      <c r="G70" s="460"/>
      <c r="H70" s="466"/>
      <c r="I70" s="459"/>
      <c r="J70" s="38"/>
      <c r="K70" s="38"/>
      <c r="L70" s="38"/>
      <c r="M70" s="38"/>
    </row>
    <row r="71" spans="1:21" s="248" customFormat="1">
      <c r="A71" s="39" t="s">
        <v>295</v>
      </c>
      <c r="B71" s="38"/>
      <c r="C71" s="457"/>
      <c r="D71" s="463"/>
      <c r="E71" s="1088"/>
      <c r="F71" s="459"/>
      <c r="G71" s="460"/>
      <c r="H71" s="466"/>
      <c r="I71" s="459"/>
      <c r="J71" s="39"/>
      <c r="K71" s="39"/>
      <c r="L71" s="39"/>
      <c r="M71" s="39"/>
    </row>
    <row r="72" spans="1:21" s="248" customFormat="1" ht="39.6" customHeight="1">
      <c r="A72" s="658">
        <v>1</v>
      </c>
      <c r="B72" s="1700" t="s">
        <v>1109</v>
      </c>
      <c r="C72" s="1700"/>
      <c r="D72" s="1700"/>
      <c r="E72" s="1700"/>
      <c r="F72" s="1700"/>
      <c r="G72" s="1700"/>
      <c r="H72" s="1700"/>
      <c r="I72" s="1700"/>
      <c r="J72" s="39"/>
      <c r="K72" s="39"/>
      <c r="L72" s="39"/>
      <c r="M72" s="39"/>
    </row>
    <row r="73" spans="1:21" s="248" customFormat="1" ht="27" customHeight="1">
      <c r="A73" s="835">
        <v>2</v>
      </c>
      <c r="B73" s="1697" t="s">
        <v>1131</v>
      </c>
      <c r="C73" s="1697"/>
      <c r="D73" s="1697"/>
      <c r="E73" s="1697"/>
      <c r="F73" s="1697"/>
      <c r="G73" s="1697"/>
      <c r="H73" s="1697"/>
      <c r="I73" s="1697"/>
      <c r="J73" s="39"/>
      <c r="K73" s="1698"/>
      <c r="L73" s="1698"/>
      <c r="M73" s="1698"/>
      <c r="N73" s="1698"/>
      <c r="O73" s="1698"/>
      <c r="P73" s="1698"/>
      <c r="Q73" s="1698"/>
      <c r="R73" s="1698"/>
      <c r="S73" s="1698"/>
      <c r="T73" s="1698"/>
      <c r="U73" s="1698"/>
    </row>
    <row r="74" spans="1:21" s="248" customFormat="1" ht="27" customHeight="1">
      <c r="A74" s="658">
        <v>3</v>
      </c>
      <c r="B74" s="1697" t="s">
        <v>451</v>
      </c>
      <c r="C74" s="1697"/>
      <c r="D74" s="1697"/>
      <c r="E74" s="1697"/>
      <c r="F74" s="1697"/>
      <c r="G74" s="1697"/>
      <c r="H74" s="1697"/>
      <c r="I74" s="1697"/>
      <c r="J74" s="39"/>
      <c r="K74" s="39"/>
      <c r="L74" s="39"/>
      <c r="M74" s="39"/>
    </row>
    <row r="75" spans="1:21" s="248" customFormat="1" ht="66" customHeight="1">
      <c r="A75" s="658">
        <v>4</v>
      </c>
      <c r="B75" s="1697" t="s">
        <v>1136</v>
      </c>
      <c r="C75" s="1697"/>
      <c r="D75" s="1697"/>
      <c r="E75" s="1697"/>
      <c r="F75" s="1697"/>
      <c r="G75" s="1697"/>
      <c r="H75" s="1697"/>
      <c r="I75" s="1697"/>
      <c r="J75" s="39"/>
      <c r="K75" s="39"/>
      <c r="L75" s="39"/>
      <c r="M75" s="39"/>
    </row>
    <row r="76" spans="1:21" s="248" customFormat="1" ht="39" customHeight="1">
      <c r="A76" s="1667">
        <v>5</v>
      </c>
      <c r="B76" s="1697" t="s">
        <v>1137</v>
      </c>
      <c r="C76" s="1697"/>
      <c r="D76" s="1697"/>
      <c r="E76" s="1697"/>
      <c r="F76" s="1697"/>
      <c r="G76" s="1697"/>
      <c r="H76" s="1697"/>
      <c r="I76" s="1697"/>
      <c r="J76" s="39"/>
      <c r="K76" s="39"/>
      <c r="L76" s="39"/>
      <c r="M76" s="39"/>
    </row>
    <row r="77" spans="1:21" s="248" customFormat="1" ht="79.95" customHeight="1">
      <c r="A77" s="1667">
        <v>6</v>
      </c>
      <c r="B77" s="1697" t="s">
        <v>1138</v>
      </c>
      <c r="C77" s="1697"/>
      <c r="D77" s="1697"/>
      <c r="E77" s="1697"/>
      <c r="F77" s="1697"/>
      <c r="G77" s="1697"/>
      <c r="H77" s="1697"/>
      <c r="I77" s="1697"/>
      <c r="J77" s="39"/>
      <c r="K77" s="39"/>
      <c r="L77" s="39"/>
      <c r="M77" s="39"/>
    </row>
    <row r="78" spans="1:21" s="248" customFormat="1" ht="54.6" customHeight="1">
      <c r="A78" s="1665">
        <v>7</v>
      </c>
      <c r="B78" s="1697" t="s">
        <v>1139</v>
      </c>
      <c r="C78" s="1697"/>
      <c r="D78" s="1697"/>
      <c r="E78" s="1697"/>
      <c r="F78" s="1697"/>
      <c r="G78" s="1697"/>
      <c r="H78" s="1697"/>
      <c r="I78" s="1697"/>
      <c r="J78" s="39"/>
      <c r="K78" s="39"/>
      <c r="L78" s="39"/>
      <c r="M78" s="39"/>
    </row>
    <row r="79" spans="1:21" s="248" customFormat="1">
      <c r="A79" s="1667">
        <v>8</v>
      </c>
      <c r="B79" s="912" t="s">
        <v>1512</v>
      </c>
      <c r="C79" s="484"/>
      <c r="D79" s="1819"/>
      <c r="E79" s="1820"/>
      <c r="F79" s="459"/>
      <c r="G79" s="460"/>
      <c r="H79" s="466"/>
      <c r="I79" s="459"/>
      <c r="J79" s="39"/>
      <c r="K79" s="39"/>
      <c r="L79" s="39"/>
      <c r="M79" s="39"/>
    </row>
    <row r="80" spans="1:21" s="248" customFormat="1">
      <c r="A80" s="1667">
        <v>9</v>
      </c>
      <c r="B80" s="38" t="s">
        <v>1513</v>
      </c>
      <c r="C80" s="457"/>
      <c r="D80" s="463"/>
      <c r="E80" s="1088"/>
      <c r="F80" s="459"/>
      <c r="G80" s="460"/>
      <c r="H80" s="466"/>
      <c r="I80" s="459"/>
      <c r="J80" s="39"/>
      <c r="K80" s="39"/>
      <c r="L80" s="39"/>
      <c r="M80" s="39"/>
    </row>
    <row r="81" spans="1:13" s="248" customFormat="1" ht="39" customHeight="1">
      <c r="A81" s="1667">
        <v>10</v>
      </c>
      <c r="B81" s="1697" t="s">
        <v>1602</v>
      </c>
      <c r="C81" s="1697"/>
      <c r="D81" s="1697"/>
      <c r="E81" s="1697"/>
      <c r="F81" s="1697"/>
      <c r="G81" s="1697"/>
      <c r="H81" s="1697"/>
      <c r="I81" s="1697"/>
      <c r="J81" s="39"/>
      <c r="K81" s="39"/>
      <c r="L81" s="39"/>
      <c r="M81" s="39"/>
    </row>
    <row r="82" spans="1:13" s="248" customFormat="1" ht="30.6" customHeight="1">
      <c r="A82" s="1667">
        <v>11</v>
      </c>
      <c r="B82" s="1697" t="s">
        <v>1603</v>
      </c>
      <c r="C82" s="1697"/>
      <c r="D82" s="1697"/>
      <c r="E82" s="1697"/>
      <c r="F82" s="1697"/>
      <c r="G82" s="1697"/>
      <c r="H82" s="1697"/>
      <c r="I82" s="1697"/>
      <c r="J82" s="39"/>
      <c r="K82" s="39"/>
      <c r="L82" s="39"/>
      <c r="M82" s="39"/>
    </row>
    <row r="83" spans="1:13" s="248" customFormat="1">
      <c r="A83" s="39"/>
      <c r="B83" s="38"/>
      <c r="C83" s="457"/>
      <c r="D83" s="468"/>
      <c r="E83" s="458"/>
      <c r="F83" s="459"/>
      <c r="G83" s="460"/>
      <c r="H83" s="466"/>
      <c r="I83" s="459"/>
      <c r="J83" s="39"/>
      <c r="K83" s="39"/>
      <c r="L83" s="39"/>
      <c r="M83" s="39"/>
    </row>
    <row r="84" spans="1:13" s="248" customFormat="1">
      <c r="A84" s="39"/>
      <c r="B84" s="38"/>
      <c r="C84" s="457"/>
      <c r="D84" s="468"/>
      <c r="E84" s="458"/>
      <c r="F84" s="459"/>
      <c r="G84" s="460"/>
      <c r="H84" s="466"/>
      <c r="I84" s="459"/>
      <c r="J84" s="39"/>
      <c r="K84" s="39"/>
      <c r="L84" s="39"/>
      <c r="M84" s="39"/>
    </row>
    <row r="85" spans="1:13" s="248" customFormat="1">
      <c r="A85" s="39"/>
      <c r="B85" s="38"/>
      <c r="C85" s="457"/>
      <c r="D85" s="468"/>
      <c r="E85" s="458"/>
      <c r="F85" s="459"/>
      <c r="G85" s="460"/>
      <c r="H85" s="466"/>
      <c r="I85" s="459"/>
      <c r="J85" s="39"/>
      <c r="K85" s="39"/>
      <c r="L85" s="39"/>
      <c r="M85" s="39"/>
    </row>
    <row r="86" spans="1:13" s="248" customFormat="1">
      <c r="A86" s="39"/>
      <c r="B86" s="39"/>
      <c r="C86" s="457"/>
      <c r="D86" s="468"/>
      <c r="E86" s="458"/>
      <c r="F86" s="459"/>
      <c r="G86" s="460"/>
      <c r="H86" s="466"/>
      <c r="I86" s="459"/>
      <c r="J86" s="39"/>
      <c r="K86" s="39"/>
      <c r="L86" s="39"/>
      <c r="M86" s="39"/>
    </row>
    <row r="87" spans="1:13" s="248" customFormat="1">
      <c r="A87" s="39"/>
      <c r="B87" s="39"/>
      <c r="C87" s="457"/>
      <c r="D87" s="468"/>
      <c r="E87" s="458"/>
      <c r="F87" s="459"/>
      <c r="G87" s="460"/>
      <c r="H87" s="466"/>
      <c r="I87" s="459"/>
      <c r="J87" s="39"/>
      <c r="K87" s="39"/>
      <c r="L87" s="39"/>
      <c r="M87" s="39"/>
    </row>
    <row r="88" spans="1:13" s="248" customFormat="1">
      <c r="A88" s="39"/>
      <c r="B88" s="39"/>
      <c r="C88" s="457"/>
      <c r="D88" s="468"/>
      <c r="E88" s="458"/>
      <c r="F88" s="459"/>
      <c r="G88" s="460"/>
      <c r="H88" s="466"/>
      <c r="I88" s="459"/>
      <c r="J88" s="39"/>
      <c r="K88" s="39"/>
      <c r="L88" s="39"/>
      <c r="M88" s="39"/>
    </row>
    <row r="89" spans="1:13" s="248" customFormat="1">
      <c r="A89" s="39"/>
      <c r="B89" s="39"/>
      <c r="C89" s="457"/>
      <c r="D89" s="468"/>
      <c r="E89" s="458"/>
      <c r="F89" s="459"/>
      <c r="G89" s="460"/>
      <c r="H89" s="466"/>
      <c r="I89" s="459"/>
      <c r="J89" s="39"/>
      <c r="K89" s="39"/>
      <c r="L89" s="39"/>
      <c r="M89" s="39"/>
    </row>
    <row r="90" spans="1:13" s="248" customFormat="1">
      <c r="A90" s="39"/>
      <c r="B90" s="39"/>
      <c r="C90" s="457"/>
      <c r="D90" s="468"/>
      <c r="E90" s="458"/>
      <c r="F90" s="459"/>
      <c r="G90" s="460"/>
      <c r="H90" s="466"/>
      <c r="I90" s="459"/>
      <c r="J90" s="39"/>
      <c r="K90" s="39"/>
      <c r="L90" s="39"/>
      <c r="M90" s="39"/>
    </row>
    <row r="91" spans="1:13" s="248" customFormat="1">
      <c r="A91" s="39"/>
      <c r="B91" s="39"/>
      <c r="C91" s="457"/>
      <c r="D91" s="468"/>
      <c r="E91" s="458"/>
      <c r="F91" s="459"/>
      <c r="G91" s="460"/>
      <c r="H91" s="466"/>
      <c r="I91" s="459"/>
      <c r="J91" s="39"/>
      <c r="K91" s="39"/>
      <c r="L91" s="39"/>
      <c r="M91" s="39"/>
    </row>
    <row r="92" spans="1:13" s="248" customFormat="1">
      <c r="A92" s="39"/>
      <c r="B92" s="39"/>
      <c r="C92" s="457"/>
      <c r="D92" s="468"/>
      <c r="E92" s="458"/>
      <c r="F92" s="459"/>
      <c r="G92" s="460"/>
      <c r="H92" s="466"/>
      <c r="I92" s="459"/>
      <c r="J92" s="39"/>
      <c r="K92" s="39"/>
      <c r="L92" s="39"/>
      <c r="M92" s="39"/>
    </row>
    <row r="93" spans="1:13" s="248" customFormat="1">
      <c r="A93" s="39"/>
      <c r="B93" s="39"/>
      <c r="C93" s="457"/>
      <c r="D93" s="468"/>
      <c r="E93" s="458"/>
      <c r="F93" s="459"/>
      <c r="G93" s="460"/>
      <c r="H93" s="466"/>
      <c r="I93" s="459"/>
      <c r="J93" s="39"/>
      <c r="K93" s="39"/>
      <c r="L93" s="39"/>
      <c r="M93" s="39"/>
    </row>
    <row r="94" spans="1:13" s="248" customFormat="1">
      <c r="A94" s="39"/>
      <c r="B94" s="39"/>
      <c r="C94" s="457"/>
      <c r="D94" s="468"/>
      <c r="E94" s="458"/>
      <c r="F94" s="459"/>
      <c r="G94" s="460"/>
      <c r="H94" s="466"/>
      <c r="I94" s="459"/>
      <c r="J94" s="39"/>
      <c r="K94" s="39"/>
      <c r="L94" s="39"/>
      <c r="M94" s="39"/>
    </row>
    <row r="95" spans="1:13" s="248" customFormat="1">
      <c r="A95" s="39"/>
      <c r="B95" s="39"/>
      <c r="C95" s="457"/>
      <c r="D95" s="468"/>
      <c r="E95" s="458"/>
      <c r="F95" s="459"/>
      <c r="G95" s="460"/>
      <c r="H95" s="466"/>
      <c r="I95" s="459"/>
      <c r="J95" s="39"/>
      <c r="K95" s="39"/>
      <c r="L95" s="39"/>
      <c r="M95" s="39"/>
    </row>
    <row r="96" spans="1:13" s="248" customFormat="1">
      <c r="A96" s="39"/>
      <c r="B96" s="39"/>
      <c r="C96" s="457"/>
      <c r="D96" s="468"/>
      <c r="E96" s="458"/>
      <c r="F96" s="459"/>
      <c r="G96" s="460"/>
      <c r="H96" s="466"/>
      <c r="I96" s="459"/>
      <c r="J96" s="39"/>
      <c r="K96" s="39"/>
      <c r="L96" s="39"/>
      <c r="M96" s="39"/>
    </row>
    <row r="97" spans="1:38" s="248" customFormat="1">
      <c r="A97" s="39"/>
      <c r="B97" s="39"/>
      <c r="C97" s="457"/>
      <c r="D97" s="468"/>
      <c r="E97" s="458"/>
      <c r="F97" s="459"/>
      <c r="G97" s="460"/>
      <c r="H97" s="466"/>
      <c r="I97" s="459"/>
      <c r="J97" s="39"/>
      <c r="K97" s="39"/>
      <c r="L97" s="39"/>
      <c r="M97" s="39"/>
    </row>
    <row r="98" spans="1:38" s="248" customFormat="1">
      <c r="A98" s="39"/>
      <c r="B98" s="39"/>
      <c r="C98" s="457"/>
      <c r="D98" s="468"/>
      <c r="E98" s="458"/>
      <c r="F98" s="459"/>
      <c r="G98" s="460"/>
      <c r="H98" s="466"/>
      <c r="I98" s="459"/>
      <c r="J98" s="39"/>
      <c r="K98" s="39"/>
      <c r="L98" s="39"/>
      <c r="M98" s="39"/>
    </row>
    <row r="99" spans="1:38" s="248" customFormat="1">
      <c r="A99" s="39"/>
      <c r="B99" s="39"/>
      <c r="C99" s="457"/>
      <c r="D99" s="468"/>
      <c r="E99" s="458"/>
      <c r="F99" s="459"/>
      <c r="G99" s="460"/>
      <c r="H99" s="466"/>
      <c r="I99" s="459"/>
      <c r="J99" s="39"/>
      <c r="K99" s="39"/>
      <c r="L99" s="39"/>
      <c r="M99" s="39"/>
    </row>
    <row r="100" spans="1:38" s="248" customFormat="1">
      <c r="A100" s="39"/>
      <c r="B100" s="39"/>
      <c r="C100" s="457"/>
      <c r="D100" s="468"/>
      <c r="E100" s="458"/>
      <c r="F100" s="459"/>
      <c r="G100" s="460"/>
      <c r="H100" s="466"/>
      <c r="I100" s="459"/>
      <c r="J100" s="39"/>
      <c r="K100" s="39"/>
      <c r="L100" s="39"/>
      <c r="M100" s="39"/>
    </row>
    <row r="101" spans="1:38" s="248" customFormat="1">
      <c r="A101" s="39"/>
      <c r="B101" s="39"/>
      <c r="C101" s="457"/>
      <c r="D101" s="468"/>
      <c r="E101" s="458"/>
      <c r="F101" s="459"/>
      <c r="G101" s="460"/>
      <c r="H101" s="466"/>
      <c r="I101" s="459"/>
      <c r="J101" s="39"/>
      <c r="K101" s="39"/>
      <c r="L101" s="39"/>
      <c r="M101" s="39"/>
    </row>
    <row r="102" spans="1:38">
      <c r="C102" s="457"/>
      <c r="D102" s="468"/>
      <c r="E102" s="458"/>
      <c r="F102" s="459"/>
      <c r="G102" s="460"/>
      <c r="H102" s="466"/>
      <c r="I102" s="459"/>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row>
    <row r="103" spans="1:38">
      <c r="C103" s="457"/>
      <c r="D103" s="468"/>
      <c r="E103" s="458"/>
      <c r="F103" s="459"/>
      <c r="G103" s="460"/>
      <c r="H103" s="466"/>
      <c r="I103" s="459"/>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row>
    <row r="104" spans="1:38">
      <c r="C104" s="457"/>
      <c r="D104" s="468"/>
      <c r="E104" s="458"/>
      <c r="F104" s="459"/>
      <c r="G104" s="460"/>
      <c r="H104" s="466"/>
      <c r="I104" s="459"/>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row>
    <row r="105" spans="1:38">
      <c r="C105" s="457"/>
      <c r="D105" s="468"/>
      <c r="E105" s="458"/>
      <c r="F105" s="459"/>
      <c r="G105" s="460"/>
      <c r="H105" s="466"/>
      <c r="I105" s="459"/>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row>
    <row r="106" spans="1:38">
      <c r="C106" s="457"/>
      <c r="D106" s="468"/>
      <c r="E106" s="458"/>
      <c r="F106" s="459"/>
      <c r="G106" s="460"/>
      <c r="H106" s="466"/>
      <c r="I106" s="459"/>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row>
    <row r="107" spans="1:38">
      <c r="C107" s="457"/>
      <c r="D107" s="468"/>
      <c r="E107" s="458"/>
      <c r="F107" s="459"/>
      <c r="G107" s="460"/>
      <c r="H107" s="466"/>
      <c r="I107" s="459"/>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row>
    <row r="108" spans="1:38">
      <c r="C108" s="457"/>
      <c r="D108" s="468"/>
      <c r="E108" s="458"/>
      <c r="F108" s="459"/>
      <c r="G108" s="460"/>
      <c r="H108" s="466"/>
      <c r="I108" s="459"/>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row>
    <row r="109" spans="1:38">
      <c r="C109" s="457"/>
      <c r="D109" s="468"/>
      <c r="E109" s="458"/>
      <c r="F109" s="459"/>
      <c r="G109" s="460"/>
      <c r="H109" s="466"/>
      <c r="I109" s="459"/>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row>
    <row r="110" spans="1:38">
      <c r="B110" s="60"/>
      <c r="C110" s="457"/>
      <c r="D110" s="468"/>
      <c r="E110" s="458"/>
      <c r="F110" s="459"/>
      <c r="G110" s="460"/>
      <c r="H110" s="466"/>
      <c r="I110" s="459"/>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row>
    <row r="111" spans="1:38">
      <c r="A111" s="60"/>
      <c r="B111" s="60"/>
      <c r="C111" s="457"/>
      <c r="D111" s="468"/>
      <c r="E111" s="458"/>
      <c r="F111" s="459"/>
      <c r="G111" s="460"/>
      <c r="H111" s="466"/>
      <c r="I111" s="459"/>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row>
    <row r="112" spans="1:38">
      <c r="A112" s="60"/>
      <c r="B112" s="60"/>
      <c r="C112" s="457"/>
      <c r="D112" s="468"/>
      <c r="E112" s="458"/>
      <c r="F112" s="459"/>
      <c r="G112" s="460"/>
      <c r="H112" s="466"/>
      <c r="I112" s="459"/>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row>
    <row r="113" spans="1:38">
      <c r="A113" s="60"/>
      <c r="B113" s="60"/>
      <c r="C113" s="457"/>
      <c r="D113" s="468"/>
      <c r="E113" s="458"/>
      <c r="F113" s="459"/>
      <c r="G113" s="460"/>
      <c r="H113" s="466"/>
      <c r="I113" s="459"/>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row>
    <row r="114" spans="1:38">
      <c r="A114" s="60"/>
      <c r="B114" s="60"/>
      <c r="C114" s="457"/>
      <c r="D114" s="468"/>
      <c r="E114" s="458"/>
      <c r="F114" s="459"/>
      <c r="G114" s="460"/>
      <c r="H114" s="466"/>
      <c r="I114" s="459"/>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row>
    <row r="115" spans="1:38">
      <c r="A115" s="60"/>
      <c r="B115" s="60"/>
      <c r="C115" s="457"/>
      <c r="D115" s="468"/>
      <c r="E115" s="458"/>
      <c r="F115" s="459"/>
      <c r="G115" s="460"/>
      <c r="H115" s="466"/>
      <c r="I115" s="459"/>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row>
    <row r="116" spans="1:38">
      <c r="A116" s="60"/>
      <c r="B116" s="60"/>
      <c r="C116" s="457"/>
      <c r="D116" s="468"/>
      <c r="E116" s="458"/>
      <c r="F116" s="459"/>
      <c r="G116" s="460"/>
      <c r="H116" s="466"/>
      <c r="I116" s="459"/>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row>
    <row r="117" spans="1:38">
      <c r="A117" s="60"/>
      <c r="B117" s="60"/>
      <c r="C117" s="457"/>
      <c r="D117" s="468"/>
      <c r="E117" s="458"/>
      <c r="F117" s="459"/>
      <c r="G117" s="460"/>
      <c r="H117" s="466"/>
      <c r="I117" s="459"/>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row>
    <row r="118" spans="1:38">
      <c r="A118" s="60"/>
      <c r="B118" s="60"/>
      <c r="C118" s="457"/>
      <c r="D118" s="468"/>
      <c r="E118" s="458"/>
      <c r="F118" s="459"/>
      <c r="G118" s="460"/>
      <c r="H118" s="466"/>
      <c r="I118" s="459"/>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row>
    <row r="119" spans="1:38">
      <c r="A119" s="60"/>
      <c r="B119" s="60"/>
      <c r="C119" s="457"/>
      <c r="D119" s="468"/>
      <c r="E119" s="458"/>
      <c r="F119" s="459"/>
      <c r="G119" s="460"/>
      <c r="H119" s="466"/>
      <c r="I119" s="459"/>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row>
    <row r="120" spans="1:38">
      <c r="A120" s="60"/>
      <c r="B120" s="60"/>
      <c r="C120" s="457"/>
      <c r="D120" s="468"/>
      <c r="E120" s="458"/>
      <c r="F120" s="459"/>
      <c r="G120" s="460"/>
      <c r="H120" s="466"/>
      <c r="I120" s="459"/>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row>
    <row r="121" spans="1:38">
      <c r="A121" s="60"/>
      <c r="B121" s="60"/>
      <c r="C121" s="457"/>
      <c r="D121" s="468"/>
      <c r="E121" s="458"/>
      <c r="F121" s="459"/>
      <c r="G121" s="460"/>
      <c r="H121" s="466"/>
      <c r="I121" s="459"/>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row>
    <row r="122" spans="1:38">
      <c r="A122" s="60"/>
      <c r="B122" s="60"/>
      <c r="C122" s="457"/>
      <c r="D122" s="468"/>
      <c r="E122" s="458"/>
      <c r="F122" s="459"/>
      <c r="G122" s="460"/>
      <c r="H122" s="466"/>
      <c r="I122" s="459"/>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row>
    <row r="123" spans="1:38">
      <c r="A123" s="60"/>
      <c r="B123" s="60"/>
      <c r="F123" s="469"/>
      <c r="G123" s="469"/>
      <c r="H123" s="469"/>
      <c r="I123" s="469"/>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row>
    <row r="124" spans="1:38">
      <c r="A124" s="60"/>
      <c r="B124" s="60"/>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row>
    <row r="125" spans="1:38">
      <c r="A125" s="60"/>
      <c r="B125" s="60"/>
      <c r="F125" s="470"/>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row>
    <row r="126" spans="1:38">
      <c r="A126" s="60"/>
      <c r="B126" s="60"/>
      <c r="C126" s="60"/>
      <c r="D126" s="60"/>
      <c r="E126" s="60"/>
      <c r="F126" s="470"/>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row>
    <row r="127" spans="1:38">
      <c r="A127" s="60"/>
      <c r="B127" s="60"/>
      <c r="C127" s="60"/>
      <c r="D127" s="60"/>
      <c r="E127" s="60"/>
      <c r="F127" s="469"/>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row>
    <row r="128" spans="1:38">
      <c r="A128" s="60"/>
      <c r="B128" s="60"/>
      <c r="C128" s="60"/>
      <c r="D128" s="60"/>
      <c r="E128" s="60"/>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row>
    <row r="129" spans="1:38">
      <c r="A129" s="60"/>
      <c r="B129" s="60"/>
      <c r="C129" s="60"/>
      <c r="D129" s="60"/>
      <c r="E129" s="60"/>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row>
    <row r="130" spans="1:38">
      <c r="A130" s="60"/>
      <c r="B130" s="60"/>
      <c r="C130" s="60"/>
      <c r="D130" s="60"/>
      <c r="E130" s="60"/>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row>
    <row r="131" spans="1:38">
      <c r="A131" s="60"/>
      <c r="B131" s="60"/>
      <c r="C131" s="60"/>
      <c r="D131" s="60"/>
      <c r="E131" s="60"/>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row>
    <row r="132" spans="1:38">
      <c r="A132" s="60"/>
      <c r="B132" s="60"/>
      <c r="C132" s="60"/>
      <c r="D132" s="60"/>
      <c r="E132" s="60"/>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row>
    <row r="133" spans="1:38">
      <c r="A133" s="60"/>
      <c r="B133" s="60"/>
      <c r="C133" s="60"/>
      <c r="D133" s="60"/>
      <c r="E133" s="60"/>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row>
    <row r="134" spans="1:38">
      <c r="A134" s="60"/>
      <c r="B134" s="60"/>
      <c r="C134" s="60"/>
      <c r="D134" s="60"/>
      <c r="E134" s="60"/>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row>
    <row r="135" spans="1:38">
      <c r="A135" s="60"/>
      <c r="B135" s="60"/>
      <c r="C135" s="60"/>
      <c r="D135" s="60"/>
      <c r="E135" s="60"/>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row>
    <row r="136" spans="1:38">
      <c r="A136" s="60"/>
      <c r="B136" s="60"/>
      <c r="C136" s="60"/>
      <c r="D136" s="60"/>
      <c r="E136" s="60"/>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row>
    <row r="137" spans="1:38">
      <c r="A137" s="60"/>
      <c r="B137" s="60"/>
      <c r="C137" s="60"/>
      <c r="D137" s="60"/>
      <c r="E137" s="60"/>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row>
    <row r="138" spans="1:38">
      <c r="A138" s="60"/>
      <c r="B138" s="60"/>
      <c r="C138" s="60"/>
      <c r="D138" s="60"/>
      <c r="E138" s="60"/>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row>
    <row r="139" spans="1:38">
      <c r="A139" s="60"/>
      <c r="B139" s="60"/>
      <c r="C139" s="60"/>
      <c r="D139" s="60"/>
      <c r="E139" s="60"/>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row>
    <row r="140" spans="1:38">
      <c r="A140" s="60"/>
      <c r="B140" s="60"/>
      <c r="C140" s="60"/>
      <c r="D140" s="60"/>
      <c r="E140" s="60"/>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row>
    <row r="141" spans="1:38">
      <c r="A141" s="60"/>
      <c r="B141" s="60"/>
      <c r="C141" s="60"/>
      <c r="D141" s="60"/>
      <c r="E141" s="60"/>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row>
    <row r="142" spans="1:38">
      <c r="A142" s="60"/>
      <c r="B142" s="60"/>
      <c r="C142" s="60"/>
      <c r="D142" s="60"/>
      <c r="E142" s="60"/>
      <c r="F142" s="60"/>
      <c r="G142" s="60"/>
      <c r="H142" s="60"/>
      <c r="I142" s="60"/>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row>
    <row r="143" spans="1:38">
      <c r="A143" s="60"/>
      <c r="B143" s="60"/>
      <c r="C143" s="60"/>
      <c r="D143" s="60"/>
      <c r="E143" s="60"/>
      <c r="F143" s="60"/>
      <c r="G143" s="60"/>
      <c r="H143" s="60"/>
      <c r="I143" s="60"/>
      <c r="J143" s="60"/>
      <c r="K143" s="60"/>
      <c r="L143" s="60"/>
      <c r="M143" s="60"/>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row>
    <row r="144" spans="1:38">
      <c r="A144" s="60"/>
      <c r="B144" s="60"/>
      <c r="C144" s="60"/>
      <c r="D144" s="60"/>
      <c r="E144" s="60"/>
      <c r="F144" s="60"/>
      <c r="G144" s="60"/>
      <c r="H144" s="60"/>
      <c r="I144" s="60"/>
      <c r="J144" s="60"/>
      <c r="K144" s="60"/>
      <c r="L144" s="60"/>
      <c r="M144" s="60"/>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row>
    <row r="145" spans="1:38">
      <c r="A145" s="60"/>
      <c r="B145" s="60"/>
      <c r="C145" s="60"/>
      <c r="D145" s="60"/>
      <c r="E145" s="60"/>
      <c r="F145" s="60"/>
      <c r="G145" s="60"/>
      <c r="H145" s="60"/>
      <c r="I145" s="60"/>
      <c r="J145" s="60"/>
      <c r="K145" s="60"/>
      <c r="L145" s="60"/>
      <c r="M145" s="60"/>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row>
    <row r="146" spans="1:38">
      <c r="A146" s="60"/>
      <c r="B146" s="60"/>
      <c r="C146" s="60"/>
      <c r="D146" s="60"/>
      <c r="E146" s="60"/>
      <c r="F146" s="60"/>
      <c r="G146" s="60"/>
      <c r="H146" s="60"/>
      <c r="I146" s="60"/>
      <c r="J146" s="60"/>
      <c r="K146" s="60"/>
      <c r="L146" s="60"/>
      <c r="M146" s="60"/>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row>
    <row r="147" spans="1:38">
      <c r="A147" s="60"/>
      <c r="B147" s="60"/>
      <c r="C147" s="60"/>
      <c r="D147" s="60"/>
      <c r="E147" s="60"/>
      <c r="F147" s="60"/>
      <c r="G147" s="60"/>
      <c r="H147" s="60"/>
      <c r="I147" s="60"/>
      <c r="J147" s="60"/>
      <c r="K147" s="60"/>
      <c r="L147" s="60"/>
      <c r="M147" s="60"/>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row>
    <row r="148" spans="1:38">
      <c r="A148" s="60"/>
      <c r="B148" s="60"/>
      <c r="C148" s="60"/>
      <c r="D148" s="60"/>
      <c r="E148" s="60"/>
      <c r="F148" s="60"/>
      <c r="G148" s="60"/>
      <c r="H148" s="60"/>
      <c r="I148" s="60"/>
      <c r="J148" s="60"/>
      <c r="K148" s="60"/>
      <c r="L148" s="60"/>
      <c r="M148" s="60"/>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row>
    <row r="149" spans="1:38">
      <c r="A149" s="60"/>
      <c r="B149" s="60"/>
      <c r="C149" s="60"/>
      <c r="D149" s="60"/>
      <c r="E149" s="60"/>
      <c r="F149" s="60"/>
      <c r="G149" s="60"/>
      <c r="H149" s="60"/>
      <c r="I149" s="60"/>
      <c r="J149" s="60"/>
      <c r="K149" s="60"/>
      <c r="L149" s="60"/>
      <c r="M149" s="60"/>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row>
    <row r="150" spans="1:38">
      <c r="A150" s="60"/>
      <c r="B150" s="60"/>
      <c r="C150" s="60"/>
      <c r="D150" s="60"/>
      <c r="E150" s="60"/>
      <c r="F150" s="60"/>
      <c r="G150" s="60"/>
      <c r="H150" s="60"/>
      <c r="I150" s="60"/>
      <c r="J150" s="60"/>
      <c r="K150" s="60"/>
      <c r="L150" s="60"/>
      <c r="M150" s="60"/>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row>
    <row r="151" spans="1:38">
      <c r="A151" s="60"/>
      <c r="B151" s="60"/>
      <c r="C151" s="60"/>
      <c r="D151" s="60"/>
      <c r="E151" s="60"/>
      <c r="F151" s="60"/>
      <c r="G151" s="60"/>
      <c r="H151" s="60"/>
      <c r="I151" s="60"/>
      <c r="J151" s="60"/>
      <c r="K151" s="60"/>
      <c r="L151" s="60"/>
      <c r="M151" s="60"/>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row>
    <row r="152" spans="1:38">
      <c r="A152" s="60"/>
      <c r="B152" s="60"/>
      <c r="C152" s="60"/>
      <c r="D152" s="60"/>
      <c r="E152" s="60"/>
      <c r="F152" s="60"/>
      <c r="G152" s="60"/>
      <c r="H152" s="60"/>
      <c r="I152" s="60"/>
      <c r="J152" s="60"/>
      <c r="K152" s="60"/>
      <c r="L152" s="60"/>
      <c r="M152" s="60"/>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row>
    <row r="153" spans="1:38">
      <c r="A153" s="60"/>
      <c r="B153" s="60"/>
      <c r="C153" s="60"/>
      <c r="D153" s="60"/>
      <c r="E153" s="60"/>
      <c r="F153" s="60"/>
      <c r="G153" s="60"/>
      <c r="H153" s="60"/>
      <c r="I153" s="60"/>
      <c r="J153" s="60"/>
      <c r="K153" s="60"/>
      <c r="L153" s="60"/>
      <c r="M153" s="60"/>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row>
    <row r="154" spans="1:38">
      <c r="A154" s="60"/>
      <c r="B154" s="60"/>
      <c r="C154" s="60"/>
      <c r="D154" s="60"/>
      <c r="E154" s="60"/>
      <c r="F154" s="60"/>
      <c r="G154" s="60"/>
      <c r="H154" s="60"/>
      <c r="I154" s="60"/>
      <c r="J154" s="60"/>
      <c r="K154" s="60"/>
      <c r="L154" s="60"/>
      <c r="M154" s="60"/>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row>
    <row r="155" spans="1:38">
      <c r="A155" s="60"/>
      <c r="B155" s="60"/>
      <c r="C155" s="60"/>
      <c r="D155" s="60"/>
      <c r="E155" s="60"/>
      <c r="F155" s="60"/>
      <c r="G155" s="60"/>
      <c r="H155" s="60"/>
      <c r="I155" s="60"/>
      <c r="J155" s="60"/>
      <c r="K155" s="60"/>
      <c r="L155" s="60"/>
      <c r="M155" s="60"/>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row>
    <row r="156" spans="1:38">
      <c r="A156" s="60"/>
      <c r="B156" s="60"/>
      <c r="C156" s="60"/>
      <c r="D156" s="60"/>
      <c r="E156" s="60"/>
      <c r="F156" s="60"/>
      <c r="G156" s="60"/>
      <c r="H156" s="60"/>
      <c r="I156" s="60"/>
      <c r="J156" s="60"/>
      <c r="K156" s="60"/>
      <c r="L156" s="60"/>
      <c r="M156" s="60"/>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row>
    <row r="157" spans="1:38">
      <c r="A157" s="60"/>
      <c r="B157" s="60"/>
      <c r="C157" s="60"/>
      <c r="D157" s="60"/>
      <c r="E157" s="60"/>
      <c r="F157" s="60"/>
      <c r="G157" s="60"/>
      <c r="H157" s="60"/>
      <c r="I157" s="60"/>
      <c r="J157" s="60"/>
      <c r="K157" s="60"/>
      <c r="L157" s="60"/>
      <c r="M157" s="60"/>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row>
    <row r="158" spans="1:38">
      <c r="A158" s="60"/>
      <c r="J158" s="60"/>
      <c r="K158" s="60"/>
      <c r="L158" s="60"/>
      <c r="M158" s="60"/>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row>
    <row r="159" spans="1:38" s="211" customFormat="1">
      <c r="A159" s="39"/>
      <c r="B159" s="39"/>
      <c r="C159" s="38"/>
      <c r="D159" s="39"/>
      <c r="E159" s="39"/>
      <c r="F159" s="39"/>
      <c r="G159" s="39"/>
      <c r="H159" s="39"/>
      <c r="I159" s="39"/>
      <c r="J159" s="39"/>
      <c r="K159" s="39"/>
      <c r="L159" s="39"/>
      <c r="M159" s="39"/>
      <c r="N159" s="219"/>
      <c r="O159" s="219"/>
      <c r="P159" s="219"/>
      <c r="Q159" s="219"/>
      <c r="R159" s="219"/>
      <c r="S159" s="219"/>
      <c r="T159" s="219"/>
      <c r="U159" s="219"/>
      <c r="V159" s="219"/>
      <c r="W159" s="219"/>
      <c r="X159" s="219"/>
      <c r="Y159" s="219"/>
      <c r="Z159" s="219"/>
      <c r="AA159" s="219"/>
      <c r="AB159" s="219"/>
      <c r="AC159" s="219"/>
      <c r="AD159" s="219"/>
      <c r="AE159" s="219"/>
      <c r="AF159" s="219"/>
      <c r="AG159" s="219"/>
      <c r="AH159" s="219"/>
      <c r="AI159" s="219"/>
      <c r="AJ159" s="219"/>
      <c r="AK159" s="219"/>
      <c r="AL159" s="219"/>
    </row>
    <row r="160" spans="1:38">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row>
    <row r="161" spans="1:38">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row>
    <row r="162" spans="1:38">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row>
    <row r="163" spans="1:38">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row>
    <row r="164" spans="1:38">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row>
    <row r="165" spans="1:38">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row>
    <row r="166" spans="1:38">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row>
    <row r="167" spans="1:38">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row>
    <row r="168" spans="1:38">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row>
    <row r="169" spans="1:38">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row>
    <row r="170" spans="1:38">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row>
    <row r="171" spans="1:38">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row>
    <row r="172" spans="1:38">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row>
    <row r="173" spans="1:38">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row>
    <row r="174" spans="1:38">
      <c r="B174" s="60"/>
      <c r="C174" s="60"/>
      <c r="D174" s="60"/>
      <c r="E174" s="60"/>
      <c r="F174" s="60"/>
      <c r="G174" s="60"/>
      <c r="H174" s="60"/>
      <c r="I174" s="60"/>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row>
    <row r="175" spans="1:38">
      <c r="A175" s="60"/>
      <c r="B175" s="60"/>
      <c r="C175" s="60"/>
      <c r="D175" s="60"/>
      <c r="E175" s="60"/>
      <c r="F175" s="60"/>
      <c r="G175" s="60"/>
      <c r="H175" s="60"/>
      <c r="I175" s="60"/>
      <c r="J175" s="60"/>
      <c r="K175" s="60"/>
      <c r="L175" s="60"/>
      <c r="M175" s="60"/>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row>
    <row r="176" spans="1:38">
      <c r="A176" s="60"/>
      <c r="B176" s="60"/>
      <c r="C176" s="60"/>
      <c r="D176" s="60"/>
      <c r="E176" s="60"/>
      <c r="F176" s="60"/>
      <c r="G176" s="60"/>
      <c r="H176" s="60"/>
      <c r="I176" s="60"/>
      <c r="J176" s="60"/>
      <c r="K176" s="60"/>
      <c r="L176" s="60"/>
      <c r="M176" s="60"/>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row>
    <row r="177" spans="1:38">
      <c r="A177" s="60"/>
      <c r="B177" s="60"/>
      <c r="C177" s="60"/>
      <c r="D177" s="60"/>
      <c r="E177" s="60"/>
      <c r="F177" s="60"/>
      <c r="G177" s="60"/>
      <c r="H177" s="60"/>
      <c r="I177" s="60"/>
      <c r="J177" s="60"/>
      <c r="K177" s="60"/>
      <c r="L177" s="60"/>
      <c r="M177" s="60"/>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row>
    <row r="178" spans="1:38">
      <c r="A178" s="60"/>
      <c r="B178" s="60"/>
      <c r="C178" s="60"/>
      <c r="D178" s="60"/>
      <c r="E178" s="60"/>
      <c r="F178" s="60"/>
      <c r="G178" s="60"/>
      <c r="H178" s="60"/>
      <c r="I178" s="60"/>
      <c r="J178" s="60"/>
      <c r="K178" s="60"/>
      <c r="L178" s="60"/>
      <c r="M178" s="60"/>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row>
    <row r="179" spans="1:38">
      <c r="A179" s="60"/>
      <c r="J179" s="60"/>
      <c r="K179" s="60"/>
      <c r="L179" s="60"/>
      <c r="M179" s="60"/>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row>
  </sheetData>
  <mergeCells count="18">
    <mergeCell ref="B81:I81"/>
    <mergeCell ref="B82:I82"/>
    <mergeCell ref="B76:I76"/>
    <mergeCell ref="B77:I77"/>
    <mergeCell ref="B78:I78"/>
    <mergeCell ref="K2:Q3"/>
    <mergeCell ref="B75:I75"/>
    <mergeCell ref="A1:I1"/>
    <mergeCell ref="A2:I2"/>
    <mergeCell ref="A3:I3"/>
    <mergeCell ref="A4:I4"/>
    <mergeCell ref="H9:I9"/>
    <mergeCell ref="B24:F24"/>
    <mergeCell ref="H67:I67"/>
    <mergeCell ref="B72:I72"/>
    <mergeCell ref="B73:I73"/>
    <mergeCell ref="K73:U73"/>
    <mergeCell ref="B74:I74"/>
  </mergeCells>
  <pageMargins left="0.7" right="0.7" top="0.75" bottom="0.75" header="0.3" footer="0.3"/>
  <pageSetup scale="90" orientation="portrait" r:id="rId1"/>
  <headerFooter>
    <oddFooter>&amp;R&amp;A</oddFooter>
  </headerFooter>
  <ignoredErrors>
    <ignoredError sqref="G8:I2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164"/>
  <sheetViews>
    <sheetView zoomScaleNormal="100" zoomScaleSheetLayoutView="70" workbookViewId="0">
      <selection activeCell="A9" sqref="A9"/>
    </sheetView>
  </sheetViews>
  <sheetFormatPr defaultColWidth="9.109375" defaultRowHeight="13.2"/>
  <cols>
    <col min="1" max="1" width="5.88671875" style="537" bestFit="1" customWidth="1"/>
    <col min="2" max="2" width="2.6640625" style="60" customWidth="1"/>
    <col min="3" max="3" width="68.6640625" style="60" customWidth="1"/>
    <col min="4" max="4" width="15.6640625" style="60" customWidth="1"/>
    <col min="5" max="5" width="16.6640625" style="60" customWidth="1"/>
    <col min="6" max="7" width="12.44140625" style="60" bestFit="1" customWidth="1"/>
    <col min="8" max="8" width="14.88671875" style="60" customWidth="1"/>
    <col min="9" max="9" width="32.33203125" style="648" bestFit="1" customWidth="1"/>
    <col min="10" max="10" width="18.33203125" style="74" customWidth="1"/>
    <col min="11" max="11" width="18.88671875" style="74" customWidth="1"/>
    <col min="12" max="12" width="16.5546875" style="248" customWidth="1"/>
    <col min="13" max="13" width="15.109375" style="248" customWidth="1"/>
    <col min="14" max="14" width="17.88671875" style="248" customWidth="1"/>
    <col min="15" max="15" width="17.88671875" style="74" customWidth="1"/>
    <col min="16" max="16" width="15.6640625" style="74" customWidth="1"/>
    <col min="17" max="17" width="4.109375" style="74" customWidth="1"/>
    <col min="18" max="18" width="17.88671875" style="74" customWidth="1"/>
    <col min="19" max="19" width="15.6640625" style="74" customWidth="1"/>
    <col min="20" max="20" width="23" style="60" customWidth="1"/>
    <col min="21" max="16384" width="9.109375" style="60"/>
  </cols>
  <sheetData>
    <row r="1" spans="1:19">
      <c r="A1" s="1703" t="str">
        <f>+'MISO Cover'!C6</f>
        <v>Entergy Texas, Inc.</v>
      </c>
      <c r="B1" s="1703"/>
      <c r="C1" s="1703"/>
      <c r="D1" s="1703"/>
      <c r="E1" s="1703"/>
      <c r="F1" s="1703"/>
      <c r="G1" s="1703"/>
      <c r="H1" s="1703"/>
      <c r="I1" s="1703"/>
      <c r="J1" s="164"/>
      <c r="K1" s="164"/>
      <c r="L1" s="164"/>
      <c r="M1" s="164"/>
    </row>
    <row r="2" spans="1:19">
      <c r="A2" s="1695" t="s">
        <v>689</v>
      </c>
      <c r="B2" s="1695"/>
      <c r="C2" s="1695"/>
      <c r="D2" s="1695"/>
      <c r="E2" s="1695"/>
      <c r="F2" s="1695"/>
      <c r="G2" s="1695"/>
      <c r="H2" s="1695"/>
      <c r="I2" s="1695"/>
      <c r="J2" s="164"/>
      <c r="K2" s="164"/>
      <c r="L2" s="164"/>
      <c r="M2" s="164"/>
    </row>
    <row r="3" spans="1:19">
      <c r="A3" s="1703" t="str">
        <f>+'MISO Cover'!K4</f>
        <v>For  the 12 Months Ended 12/31/2016</v>
      </c>
      <c r="B3" s="1703"/>
      <c r="C3" s="1703"/>
      <c r="D3" s="1703"/>
      <c r="E3" s="1703"/>
      <c r="F3" s="1703"/>
      <c r="G3" s="1703"/>
      <c r="H3" s="1703"/>
      <c r="I3" s="1703"/>
      <c r="J3" s="164"/>
      <c r="K3" s="164"/>
      <c r="L3" s="164"/>
      <c r="M3" s="164"/>
    </row>
    <row r="4" spans="1:19">
      <c r="A4" s="581"/>
      <c r="B4" s="581"/>
      <c r="C4" s="581"/>
      <c r="D4" s="581"/>
      <c r="E4" s="581"/>
      <c r="F4" s="581"/>
      <c r="G4" s="581"/>
      <c r="H4" s="581"/>
      <c r="I4" s="35"/>
      <c r="J4" s="164"/>
      <c r="K4" s="164"/>
      <c r="L4" s="164"/>
      <c r="M4" s="164"/>
    </row>
    <row r="5" spans="1:19" s="211" customFormat="1">
      <c r="A5" s="538" t="s">
        <v>277</v>
      </c>
      <c r="B5" s="211" t="s">
        <v>67</v>
      </c>
      <c r="C5" s="211" t="s">
        <v>114</v>
      </c>
      <c r="D5" s="211" t="s">
        <v>55</v>
      </c>
      <c r="E5" s="211" t="s">
        <v>68</v>
      </c>
      <c r="F5" s="211" t="s">
        <v>66</v>
      </c>
      <c r="G5" s="211" t="s">
        <v>156</v>
      </c>
      <c r="H5" s="211" t="s">
        <v>69</v>
      </c>
      <c r="I5" s="211" t="s">
        <v>169</v>
      </c>
      <c r="J5" s="202"/>
      <c r="K5" s="1821"/>
      <c r="L5" s="204"/>
      <c r="M5" s="204"/>
      <c r="N5" s="204"/>
      <c r="O5" s="1821"/>
      <c r="P5" s="1821"/>
      <c r="Q5" s="1821"/>
      <c r="R5" s="1821"/>
      <c r="S5" s="1821"/>
    </row>
    <row r="6" spans="1:19" s="211" customFormat="1">
      <c r="A6" s="538"/>
      <c r="I6" s="648"/>
      <c r="J6" s="202"/>
      <c r="K6" s="1821"/>
      <c r="L6" s="204"/>
      <c r="M6" s="204"/>
      <c r="N6" s="204"/>
      <c r="O6" s="1821"/>
      <c r="P6" s="1821"/>
      <c r="Q6" s="1821"/>
      <c r="R6" s="1821"/>
      <c r="S6" s="1821"/>
    </row>
    <row r="7" spans="1:19">
      <c r="A7" s="811">
        <v>1</v>
      </c>
      <c r="B7" s="588" t="s">
        <v>86</v>
      </c>
      <c r="C7" s="585"/>
      <c r="D7" s="586"/>
      <c r="E7" s="586"/>
      <c r="F7" s="587"/>
      <c r="G7" s="589"/>
      <c r="H7" s="590"/>
      <c r="I7" s="649"/>
      <c r="J7" s="202"/>
      <c r="K7" s="1821"/>
      <c r="L7" s="204"/>
      <c r="M7" s="204"/>
    </row>
    <row r="8" spans="1:19">
      <c r="A8" s="812">
        <f>+A7+1</f>
        <v>2</v>
      </c>
      <c r="B8" s="39"/>
      <c r="C8" s="39"/>
      <c r="D8" s="209"/>
      <c r="E8" s="74"/>
      <c r="F8" s="74"/>
      <c r="G8" s="74"/>
      <c r="H8" s="74"/>
    </row>
    <row r="9" spans="1:19" ht="13.2" customHeight="1">
      <c r="A9" s="812">
        <f>+A8+1</f>
        <v>3</v>
      </c>
      <c r="B9" s="582" t="s">
        <v>87</v>
      </c>
      <c r="C9" s="255"/>
      <c r="D9" s="494"/>
      <c r="E9" s="75"/>
      <c r="F9" s="75"/>
      <c r="G9" s="75"/>
      <c r="H9" s="75"/>
      <c r="J9" s="1823"/>
    </row>
    <row r="10" spans="1:19">
      <c r="A10" s="811">
        <f>+A9+1</f>
        <v>4</v>
      </c>
      <c r="C10" s="69" t="s">
        <v>779</v>
      </c>
      <c r="D10" s="249"/>
      <c r="E10" s="75"/>
      <c r="F10" s="75"/>
      <c r="G10" s="75"/>
      <c r="H10" s="75"/>
      <c r="I10" s="202"/>
    </row>
    <row r="11" spans="1:19">
      <c r="A11" s="813">
        <f>+A10+0.1</f>
        <v>4.0999999999999996</v>
      </c>
      <c r="C11" s="539" t="s">
        <v>776</v>
      </c>
      <c r="D11" s="249">
        <f>+'WP10 Storm'!D45</f>
        <v>213048.08000000002</v>
      </c>
      <c r="E11" s="75"/>
      <c r="F11" s="75"/>
      <c r="G11" s="248"/>
      <c r="H11" s="248"/>
      <c r="I11" s="202" t="str">
        <f>+"WP10 Storm Ln "&amp;'WP10 Storm'!A45&amp;" Col. "&amp;'WP10 Storm'!$D$6</f>
        <v>WP10 Storm Ln 8 Col. C</v>
      </c>
    </row>
    <row r="12" spans="1:19">
      <c r="A12" s="813">
        <f>+A11+0.1</f>
        <v>4.1999999999999993</v>
      </c>
      <c r="C12" s="539" t="s">
        <v>747</v>
      </c>
      <c r="D12" s="900">
        <f>'WP AJ1 MISO'!H61</f>
        <v>0</v>
      </c>
      <c r="E12" s="75"/>
      <c r="F12" s="75"/>
      <c r="G12" s="248"/>
      <c r="H12" s="248"/>
      <c r="I12" s="202" t="str">
        <f>+"WP AJ1 MISO Ln "&amp;'WP AJ1 MISO'!A61&amp;" Col. "&amp;'WP AJ1 MISO'!H$8</f>
        <v>WP AJ1 MISO Ln 8 Col. G</v>
      </c>
    </row>
    <row r="13" spans="1:19">
      <c r="A13" s="813">
        <f>+A12+0.1</f>
        <v>4.2999999999999989</v>
      </c>
      <c r="C13" s="539" t="s">
        <v>1155</v>
      </c>
      <c r="D13" s="900">
        <f>-'WP AJ2 ITC'!E47</f>
        <v>0</v>
      </c>
      <c r="E13" s="75"/>
      <c r="F13" s="75"/>
      <c r="G13" s="248"/>
      <c r="H13" s="248"/>
      <c r="I13" s="202" t="str">
        <f>"WP AJ2 ITC Ln "&amp;'WP AJ2 ITC'!A47&amp;" Col. "&amp;'WP AJ2 ITC'!E$6</f>
        <v>WP AJ2 ITC Ln 8 Col. C</v>
      </c>
    </row>
    <row r="14" spans="1:19" s="879" customFormat="1">
      <c r="A14" s="1198">
        <f>+A13+0.1</f>
        <v>4.3999999999999986</v>
      </c>
      <c r="B14" s="1199"/>
      <c r="C14" s="1197" t="s">
        <v>913</v>
      </c>
      <c r="D14" s="179"/>
      <c r="E14" s="248"/>
      <c r="F14" s="248"/>
      <c r="G14" s="248"/>
      <c r="H14" s="248"/>
      <c r="I14" s="1196"/>
      <c r="J14" s="74"/>
      <c r="K14" s="1461"/>
      <c r="L14" s="1454"/>
      <c r="M14" s="1454"/>
      <c r="N14" s="1454"/>
      <c r="O14" s="1461"/>
      <c r="P14" s="1461"/>
      <c r="Q14" s="1461"/>
      <c r="R14" s="1461"/>
      <c r="S14" s="1461"/>
    </row>
    <row r="15" spans="1:19" s="879" customFormat="1">
      <c r="A15" s="1198" t="s">
        <v>903</v>
      </c>
      <c r="B15" s="1199"/>
      <c r="C15" s="1197" t="s">
        <v>913</v>
      </c>
      <c r="D15" s="179"/>
      <c r="E15" s="248"/>
      <c r="F15" s="248"/>
      <c r="G15" s="248"/>
      <c r="H15" s="248"/>
      <c r="I15" s="1196"/>
      <c r="J15" s="74"/>
      <c r="K15" s="1461"/>
      <c r="L15" s="1454"/>
      <c r="M15" s="1454"/>
      <c r="N15" s="1454"/>
      <c r="O15" s="1461"/>
      <c r="P15" s="1461"/>
      <c r="Q15" s="1461"/>
      <c r="R15" s="1461"/>
      <c r="S15" s="1461"/>
    </row>
    <row r="16" spans="1:19" s="879" customFormat="1">
      <c r="A16" s="1198" t="str">
        <f>+A10&amp;".x"</f>
        <v>4.x</v>
      </c>
      <c r="B16" s="1199"/>
      <c r="C16" s="1197" t="s">
        <v>913</v>
      </c>
      <c r="D16" s="244"/>
      <c r="E16" s="248"/>
      <c r="F16" s="248"/>
      <c r="G16" s="248"/>
      <c r="H16" s="248"/>
      <c r="I16" s="1196"/>
      <c r="J16" s="74"/>
      <c r="K16" s="1461"/>
      <c r="L16" s="1454"/>
      <c r="M16" s="1454"/>
      <c r="N16" s="1454"/>
      <c r="O16" s="1461"/>
      <c r="P16" s="1461"/>
      <c r="Q16" s="1461"/>
      <c r="R16" s="1461"/>
      <c r="S16" s="1461"/>
    </row>
    <row r="17" spans="1:19">
      <c r="A17" s="811">
        <f>+A10+1</f>
        <v>5</v>
      </c>
      <c r="C17" s="673" t="str">
        <f>+"Total "&amp;+C10</f>
        <v>Total Adjustments to Transmission Wages Expense (1) (2)</v>
      </c>
      <c r="D17" s="249">
        <f>SUM(D11:D16)</f>
        <v>213048.08000000002</v>
      </c>
      <c r="E17" s="248"/>
      <c r="F17" s="248"/>
      <c r="G17" s="248"/>
      <c r="H17" s="248"/>
      <c r="I17" s="1060" t="str">
        <f>+"Sum Ln "&amp;A10&amp;" Subparts"</f>
        <v>Sum Ln 4 Subparts</v>
      </c>
    </row>
    <row r="18" spans="1:19">
      <c r="A18" s="811">
        <f>+A17+1</f>
        <v>6</v>
      </c>
      <c r="C18" s="40"/>
      <c r="D18" s="916"/>
      <c r="E18" s="248"/>
      <c r="F18" s="248"/>
      <c r="G18" s="248"/>
      <c r="H18" s="248"/>
      <c r="I18" s="202"/>
    </row>
    <row r="19" spans="1:19">
      <c r="A19" s="811">
        <f>+A18+1</f>
        <v>7</v>
      </c>
      <c r="C19" s="69" t="s">
        <v>785</v>
      </c>
      <c r="D19" s="249"/>
      <c r="E19" s="248"/>
      <c r="F19" s="248"/>
      <c r="G19" s="248"/>
      <c r="H19" s="248"/>
      <c r="I19" s="202"/>
    </row>
    <row r="20" spans="1:19">
      <c r="A20" s="813">
        <f>+A19+0.1</f>
        <v>7.1</v>
      </c>
      <c r="C20" s="539" t="s">
        <v>776</v>
      </c>
      <c r="D20" s="900">
        <f>+'WP10 Storm'!D59</f>
        <v>213048.08000000002</v>
      </c>
      <c r="E20" s="248"/>
      <c r="F20" s="248"/>
      <c r="G20" s="248"/>
      <c r="H20" s="248"/>
      <c r="I20" s="202" t="str">
        <f>+"WP10 Storm Ln "&amp;'WP10 Storm'!A59&amp;" Col. "&amp;'WP10 Storm'!$D$6</f>
        <v>WP10 Storm Ln 22 Col. C</v>
      </c>
    </row>
    <row r="21" spans="1:19">
      <c r="A21" s="813">
        <f>+A20+0.1</f>
        <v>7.1999999999999993</v>
      </c>
      <c r="C21" s="539" t="s">
        <v>777</v>
      </c>
      <c r="D21" s="900">
        <f>'WP AJ1 MISO'!H75</f>
        <v>0</v>
      </c>
      <c r="E21" s="248"/>
      <c r="F21" s="248"/>
      <c r="G21" s="248"/>
      <c r="H21" s="248"/>
      <c r="I21" s="202" t="str">
        <f>+"WP AJ1 MISO Ln "&amp;'WP AJ1 MISO'!A75&amp;" Col. "&amp;'WP AJ1 MISO'!H$8</f>
        <v>WP AJ1 MISO Ln 22 Col. G</v>
      </c>
    </row>
    <row r="22" spans="1:19">
      <c r="A22" s="813">
        <f>+A21+0.1</f>
        <v>7.2999999999999989</v>
      </c>
      <c r="C22" s="539" t="s">
        <v>1156</v>
      </c>
      <c r="D22" s="900">
        <f>-'WP AJ2 ITC'!E61</f>
        <v>0</v>
      </c>
      <c r="E22" s="248"/>
      <c r="F22" s="248"/>
      <c r="G22" s="248"/>
      <c r="H22" s="248"/>
      <c r="I22" s="202" t="str">
        <f>"WP AJ2 ITC Ln "&amp;'WP AJ2 ITC'!A61&amp;" Col. "&amp;'WP AJ2 ITC'!E$6</f>
        <v>WP AJ2 ITC Ln 22 Col. C</v>
      </c>
    </row>
    <row r="23" spans="1:19" s="879" customFormat="1">
      <c r="A23" s="1198">
        <f>+A22+0.1</f>
        <v>7.3999999999999986</v>
      </c>
      <c r="B23" s="1199"/>
      <c r="C23" s="1197" t="s">
        <v>913</v>
      </c>
      <c r="D23" s="179"/>
      <c r="E23" s="248"/>
      <c r="F23" s="248"/>
      <c r="G23" s="248"/>
      <c r="H23" s="248"/>
      <c r="I23" s="1196"/>
      <c r="J23" s="74"/>
      <c r="K23" s="1461"/>
      <c r="L23" s="1454"/>
      <c r="M23" s="1454"/>
      <c r="N23" s="1454"/>
      <c r="O23" s="1461"/>
      <c r="P23" s="1461"/>
      <c r="Q23" s="1461"/>
      <c r="R23" s="1461"/>
      <c r="S23" s="1461"/>
    </row>
    <row r="24" spans="1:19" s="879" customFormat="1">
      <c r="A24" s="1198" t="s">
        <v>903</v>
      </c>
      <c r="B24" s="1199"/>
      <c r="C24" s="1197" t="s">
        <v>913</v>
      </c>
      <c r="D24" s="179"/>
      <c r="E24" s="248"/>
      <c r="F24" s="248"/>
      <c r="G24" s="248"/>
      <c r="H24" s="248"/>
      <c r="I24" s="1196"/>
      <c r="J24" s="74"/>
      <c r="K24" s="1461"/>
      <c r="L24" s="1454"/>
      <c r="M24" s="1454"/>
      <c r="N24" s="1454"/>
      <c r="O24" s="1461"/>
      <c r="P24" s="1461"/>
      <c r="Q24" s="1461"/>
      <c r="R24" s="1461"/>
      <c r="S24" s="1461"/>
    </row>
    <row r="25" spans="1:19" s="879" customFormat="1">
      <c r="A25" s="1198" t="str">
        <f>+A19&amp;".x"</f>
        <v>7.x</v>
      </c>
      <c r="B25" s="1199"/>
      <c r="C25" s="1197" t="s">
        <v>913</v>
      </c>
      <c r="D25" s="244"/>
      <c r="E25" s="248"/>
      <c r="F25" s="248"/>
      <c r="G25" s="248"/>
      <c r="H25" s="248"/>
      <c r="I25" s="1196"/>
      <c r="J25" s="74"/>
      <c r="K25" s="1461"/>
      <c r="L25" s="1454"/>
      <c r="M25" s="1454"/>
      <c r="N25" s="1454"/>
      <c r="O25" s="1461"/>
      <c r="P25" s="1461"/>
      <c r="Q25" s="1461"/>
      <c r="R25" s="1461"/>
      <c r="S25" s="1461"/>
    </row>
    <row r="26" spans="1:19">
      <c r="A26" s="811">
        <f>+A19+1</f>
        <v>8</v>
      </c>
      <c r="C26" s="673" t="str">
        <f>+"Total "&amp;+C19</f>
        <v>Total Adjustment to Total Wages Expense (1) (2)</v>
      </c>
      <c r="D26" s="249">
        <f>SUM(D20:D25)</f>
        <v>213048.08000000002</v>
      </c>
      <c r="E26" s="248"/>
      <c r="F26" s="248"/>
      <c r="G26" s="248"/>
      <c r="H26" s="248"/>
      <c r="I26" s="1112" t="str">
        <f>+"Sum Ln "&amp;A19&amp;" Subparts"</f>
        <v>Sum Ln 7 Subparts</v>
      </c>
    </row>
    <row r="27" spans="1:19">
      <c r="A27" s="811">
        <f>+A26+1</f>
        <v>9</v>
      </c>
      <c r="D27" s="249"/>
      <c r="E27" s="248"/>
      <c r="F27" s="248"/>
      <c r="G27" s="248"/>
      <c r="H27" s="248"/>
      <c r="I27" s="202"/>
    </row>
    <row r="28" spans="1:19">
      <c r="A28" s="811">
        <f>+A27+1</f>
        <v>10</v>
      </c>
      <c r="C28" s="69" t="s">
        <v>780</v>
      </c>
      <c r="D28" s="249"/>
      <c r="E28" s="248"/>
      <c r="F28" s="248"/>
      <c r="G28" s="248"/>
      <c r="H28" s="248"/>
      <c r="I28" s="202"/>
    </row>
    <row r="29" spans="1:19">
      <c r="A29" s="813">
        <f>+A28+0.1</f>
        <v>10.1</v>
      </c>
      <c r="C29" s="539" t="s">
        <v>776</v>
      </c>
      <c r="D29" s="900">
        <f>+'WP10 Storm'!D58</f>
        <v>0</v>
      </c>
      <c r="E29" s="248"/>
      <c r="F29" s="248"/>
      <c r="G29" s="248"/>
      <c r="H29" s="248"/>
      <c r="I29" s="202" t="str">
        <f>+"WP10 Storm Ln "&amp;'WP10 Storm'!A58&amp;" Col. "&amp;'WP10 Storm'!$D$6</f>
        <v>WP10 Storm Ln 21 Col. C</v>
      </c>
    </row>
    <row r="30" spans="1:19">
      <c r="A30" s="813">
        <f>+A29+0.1</f>
        <v>10.199999999999999</v>
      </c>
      <c r="C30" s="539" t="s">
        <v>777</v>
      </c>
      <c r="D30" s="900">
        <f>'WP AJ1 MISO'!H74</f>
        <v>0</v>
      </c>
      <c r="E30" s="248"/>
      <c r="F30" s="248"/>
      <c r="G30" s="248"/>
      <c r="H30" s="248"/>
      <c r="I30" s="202" t="str">
        <f>+"WP AJ1 MISO Ln "&amp;'WP AJ1 MISO'!A74&amp;" Col. "&amp;'WP AJ1 MISO'!H$8</f>
        <v>WP AJ1 MISO Ln 21 Col. G</v>
      </c>
    </row>
    <row r="31" spans="1:19">
      <c r="A31" s="813">
        <f>+A30+0.1</f>
        <v>10.299999999999999</v>
      </c>
      <c r="C31" s="539" t="s">
        <v>1156</v>
      </c>
      <c r="D31" s="900">
        <f>-'WP AJ2 ITC'!E60</f>
        <v>0</v>
      </c>
      <c r="E31" s="248"/>
      <c r="F31" s="248"/>
      <c r="G31" s="248"/>
      <c r="H31" s="248"/>
      <c r="I31" s="202" t="str">
        <f>"WP AJ2 ITC Ln "&amp;'WP AJ2 ITC'!A60&amp;" Col. "&amp;'WP AJ2 ITC'!E$6</f>
        <v>WP AJ2 ITC Ln 21 Col. C</v>
      </c>
    </row>
    <row r="32" spans="1:19" s="879" customFormat="1">
      <c r="A32" s="1198">
        <f>+A31+0.1</f>
        <v>10.399999999999999</v>
      </c>
      <c r="B32" s="1199"/>
      <c r="C32" s="1197" t="s">
        <v>913</v>
      </c>
      <c r="D32" s="179"/>
      <c r="E32" s="248"/>
      <c r="F32" s="248"/>
      <c r="G32" s="248"/>
      <c r="H32" s="248"/>
      <c r="I32" s="1196"/>
      <c r="J32" s="74"/>
      <c r="K32" s="1461"/>
      <c r="L32" s="1454"/>
      <c r="M32" s="1454"/>
      <c r="N32" s="1454"/>
      <c r="O32" s="1461"/>
      <c r="P32" s="1461"/>
      <c r="Q32" s="1461"/>
      <c r="R32" s="1461"/>
      <c r="S32" s="1461"/>
    </row>
    <row r="33" spans="1:19" s="879" customFormat="1">
      <c r="A33" s="1198" t="s">
        <v>903</v>
      </c>
      <c r="B33" s="1199"/>
      <c r="C33" s="1197" t="s">
        <v>913</v>
      </c>
      <c r="D33" s="179"/>
      <c r="E33" s="248"/>
      <c r="F33" s="248"/>
      <c r="G33" s="248"/>
      <c r="H33" s="248"/>
      <c r="I33" s="1196"/>
      <c r="J33" s="74"/>
      <c r="K33" s="1461"/>
      <c r="L33" s="1454"/>
      <c r="M33" s="1454"/>
      <c r="N33" s="1454"/>
      <c r="O33" s="1461"/>
      <c r="P33" s="1461"/>
      <c r="Q33" s="1461"/>
      <c r="R33" s="1461"/>
      <c r="S33" s="1461"/>
    </row>
    <row r="34" spans="1:19" s="879" customFormat="1">
      <c r="A34" s="1198" t="str">
        <f>+A28&amp;".x"</f>
        <v>10.x</v>
      </c>
      <c r="B34" s="1199"/>
      <c r="C34" s="1197" t="s">
        <v>913</v>
      </c>
      <c r="D34" s="244"/>
      <c r="E34" s="248"/>
      <c r="F34" s="248"/>
      <c r="G34" s="248"/>
      <c r="H34" s="248"/>
      <c r="I34" s="1196"/>
      <c r="J34" s="74"/>
      <c r="K34" s="1461"/>
      <c r="L34" s="1454"/>
      <c r="M34" s="1454"/>
      <c r="N34" s="1454"/>
      <c r="O34" s="1461"/>
      <c r="P34" s="1461"/>
      <c r="Q34" s="1461"/>
      <c r="R34" s="1461"/>
      <c r="S34" s="1461"/>
    </row>
    <row r="35" spans="1:19">
      <c r="A35" s="811">
        <f>+A28+1</f>
        <v>11</v>
      </c>
      <c r="C35" s="673" t="str">
        <f>+"Total "&amp;+C28</f>
        <v>Total Adjustment to A&amp;G Wages Expense (1) (2)</v>
      </c>
      <c r="D35" s="249">
        <f>SUM(D29:D34)</f>
        <v>0</v>
      </c>
      <c r="E35" s="248"/>
      <c r="F35" s="248"/>
      <c r="G35" s="248"/>
      <c r="H35" s="248"/>
      <c r="I35" s="1112" t="str">
        <f>+"Sum Ln "&amp;A28&amp;" Subparts"</f>
        <v>Sum Ln 10 Subparts</v>
      </c>
    </row>
    <row r="36" spans="1:19">
      <c r="A36" s="811">
        <f>+A35+1</f>
        <v>12</v>
      </c>
      <c r="B36" s="250"/>
      <c r="D36" s="236"/>
      <c r="I36" s="202"/>
    </row>
    <row r="37" spans="1:19">
      <c r="A37" s="811">
        <f>+A36+1</f>
        <v>13</v>
      </c>
      <c r="B37" s="588" t="s">
        <v>107</v>
      </c>
      <c r="C37" s="585"/>
      <c r="D37" s="586"/>
      <c r="E37" s="586"/>
      <c r="F37" s="587"/>
      <c r="G37" s="589"/>
      <c r="H37" s="590"/>
      <c r="I37" s="649"/>
      <c r="K37" s="1821"/>
      <c r="L37" s="204"/>
      <c r="M37" s="204"/>
    </row>
    <row r="38" spans="1:19">
      <c r="A38" s="811">
        <f>+A37+1</f>
        <v>14</v>
      </c>
      <c r="B38" s="211" t="s">
        <v>67</v>
      </c>
      <c r="C38" s="211" t="s">
        <v>114</v>
      </c>
      <c r="D38" s="211" t="s">
        <v>55</v>
      </c>
      <c r="E38" s="211" t="s">
        <v>68</v>
      </c>
      <c r="F38" s="211" t="s">
        <v>66</v>
      </c>
      <c r="G38" s="211" t="s">
        <v>156</v>
      </c>
      <c r="H38" s="211" t="s">
        <v>69</v>
      </c>
      <c r="I38" s="211" t="s">
        <v>169</v>
      </c>
    </row>
    <row r="39" spans="1:19" ht="13.2" customHeight="1">
      <c r="A39" s="811">
        <f>+A38+1</f>
        <v>15</v>
      </c>
      <c r="B39" s="69" t="s">
        <v>853</v>
      </c>
      <c r="C39" s="255"/>
      <c r="D39" s="541" t="s">
        <v>520</v>
      </c>
      <c r="E39" s="541" t="s">
        <v>486</v>
      </c>
      <c r="F39" s="541" t="s">
        <v>136</v>
      </c>
      <c r="G39" s="541" t="s">
        <v>159</v>
      </c>
      <c r="H39" s="541" t="s">
        <v>144</v>
      </c>
      <c r="I39" s="650" t="s">
        <v>140</v>
      </c>
    </row>
    <row r="40" spans="1:19">
      <c r="A40" s="811">
        <v>16</v>
      </c>
      <c r="C40" s="78" t="s">
        <v>465</v>
      </c>
      <c r="D40" s="182"/>
      <c r="E40" s="183"/>
      <c r="F40" s="183"/>
      <c r="G40" s="248"/>
      <c r="H40" s="248"/>
    </row>
    <row r="41" spans="1:19">
      <c r="A41" s="813">
        <f t="shared" ref="A41:A47" si="0">+A40+0.1</f>
        <v>16.100000000000001</v>
      </c>
      <c r="B41" s="250"/>
      <c r="C41" s="539" t="s">
        <v>462</v>
      </c>
      <c r="D41" s="184">
        <f>'WP20 Reserves'!Q8</f>
        <v>-1551632.9692308551</v>
      </c>
      <c r="E41" s="260">
        <f>+D41</f>
        <v>-1551632.9692308551</v>
      </c>
      <c r="F41" s="183"/>
      <c r="G41" s="170"/>
      <c r="H41" s="75"/>
      <c r="I41" s="202" t="str">
        <f>+"WP20 Reserves Ln "&amp;'WP20 Reserves'!A8&amp;" Col. "&amp;'WP20 Reserves'!Q$5</f>
        <v>WP20 Reserves Ln 2.01 Col. P</v>
      </c>
    </row>
    <row r="42" spans="1:19">
      <c r="A42" s="813">
        <f t="shared" si="0"/>
        <v>16.200000000000003</v>
      </c>
      <c r="B42" s="250"/>
      <c r="C42" s="539" t="s">
        <v>624</v>
      </c>
      <c r="D42" s="184">
        <f>'WP20 Reserves'!Q9</f>
        <v>0</v>
      </c>
      <c r="E42" s="260">
        <f>+D42</f>
        <v>0</v>
      </c>
      <c r="F42" s="183"/>
      <c r="G42" s="170"/>
      <c r="H42" s="75"/>
      <c r="I42" s="202" t="str">
        <f>+"WP20 Reserves Ln "&amp;'WP20 Reserves'!A9&amp;" Col. "&amp;'WP20 Reserves'!Q$5</f>
        <v>WP20 Reserves Ln 2.02 Col. P</v>
      </c>
    </row>
    <row r="43" spans="1:19">
      <c r="A43" s="813">
        <f t="shared" si="0"/>
        <v>16.300000000000004</v>
      </c>
      <c r="B43" s="250"/>
      <c r="C43" s="539" t="s">
        <v>463</v>
      </c>
      <c r="D43" s="184">
        <f>'WP20 Reserves'!Q10</f>
        <v>0</v>
      </c>
      <c r="E43" s="260">
        <f>+D43</f>
        <v>0</v>
      </c>
      <c r="F43" s="183"/>
      <c r="G43" s="170"/>
      <c r="H43" s="75"/>
      <c r="I43" s="202" t="str">
        <f>+"WP20 Reserves Ln "&amp;'WP20 Reserves'!A10&amp;" Col. "&amp;'WP20 Reserves'!Q$5</f>
        <v>WP20 Reserves Ln 2.03 Col. P</v>
      </c>
    </row>
    <row r="44" spans="1:19">
      <c r="A44" s="813">
        <f t="shared" si="0"/>
        <v>16.400000000000006</v>
      </c>
      <c r="B44" s="250"/>
      <c r="C44" s="539" t="s">
        <v>805</v>
      </c>
      <c r="D44" s="184">
        <f>'WP20 Reserves'!Q11</f>
        <v>0</v>
      </c>
      <c r="E44" s="260">
        <f>+D44</f>
        <v>0</v>
      </c>
      <c r="F44" s="183"/>
      <c r="G44" s="170"/>
      <c r="H44" s="75"/>
      <c r="I44" s="202" t="str">
        <f>+"WP20 Reserves Ln "&amp;'WP20 Reserves'!A11&amp;" Col. "&amp;'WP20 Reserves'!Q$5</f>
        <v>WP20 Reserves Ln 2.04 Col. P</v>
      </c>
    </row>
    <row r="45" spans="1:19">
      <c r="A45" s="813">
        <f t="shared" si="0"/>
        <v>16.500000000000007</v>
      </c>
      <c r="B45" s="250"/>
      <c r="C45" s="539" t="s">
        <v>483</v>
      </c>
      <c r="D45" s="184">
        <f>'WP20 Reserves'!Q12</f>
        <v>-208527.88461538457</v>
      </c>
      <c r="E45" s="260">
        <f>+D45</f>
        <v>-208527.88461538457</v>
      </c>
      <c r="F45" s="183"/>
      <c r="G45" s="260"/>
      <c r="H45" s="75"/>
      <c r="I45" s="202" t="str">
        <f>+"WP20 Reserves Ln "&amp;'WP20 Reserves'!A12&amp;" Col. "&amp;'WP20 Reserves'!Q$5</f>
        <v>WP20 Reserves Ln 2.05 Col. P</v>
      </c>
    </row>
    <row r="46" spans="1:19">
      <c r="A46" s="813">
        <f t="shared" si="0"/>
        <v>16.600000000000009</v>
      </c>
      <c r="B46" s="250"/>
      <c r="C46" s="539" t="s">
        <v>464</v>
      </c>
      <c r="D46" s="184">
        <f>'WP20 Reserves'!Q13</f>
        <v>0</v>
      </c>
      <c r="E46" s="170">
        <f>D46</f>
        <v>0</v>
      </c>
      <c r="F46" s="183"/>
      <c r="G46" s="170"/>
      <c r="H46" s="75"/>
      <c r="I46" s="202" t="str">
        <f>+"WP20 Reserves Ln "&amp;'WP20 Reserves'!A13&amp;" Col. "&amp;'WP20 Reserves'!Q$5</f>
        <v>WP20 Reserves Ln 2.06 Col. P</v>
      </c>
    </row>
    <row r="47" spans="1:19" s="879" customFormat="1">
      <c r="A47" s="1198">
        <f t="shared" si="0"/>
        <v>16.70000000000001</v>
      </c>
      <c r="B47" s="1199"/>
      <c r="C47" s="1197" t="s">
        <v>913</v>
      </c>
      <c r="D47" s="179"/>
      <c r="E47" s="1195"/>
      <c r="F47" s="1195"/>
      <c r="G47" s="1195"/>
      <c r="H47" s="1195"/>
      <c r="I47" s="1196"/>
      <c r="J47" s="74"/>
      <c r="K47" s="1461"/>
      <c r="L47" s="1454"/>
      <c r="M47" s="1454"/>
      <c r="N47" s="1454"/>
      <c r="O47" s="1461"/>
      <c r="P47" s="1461"/>
      <c r="Q47" s="1461"/>
      <c r="R47" s="1461"/>
      <c r="S47" s="1461"/>
    </row>
    <row r="48" spans="1:19" s="879" customFormat="1">
      <c r="A48" s="1198" t="s">
        <v>903</v>
      </c>
      <c r="B48" s="1199"/>
      <c r="C48" s="1197" t="s">
        <v>913</v>
      </c>
      <c r="D48" s="179"/>
      <c r="E48" s="1195"/>
      <c r="F48" s="1195"/>
      <c r="G48" s="1195"/>
      <c r="H48" s="1195"/>
      <c r="I48" s="1196"/>
      <c r="J48" s="74"/>
      <c r="K48" s="1461"/>
      <c r="L48" s="1454"/>
      <c r="M48" s="1454"/>
      <c r="N48" s="1454"/>
      <c r="O48" s="1461"/>
      <c r="P48" s="1461"/>
      <c r="Q48" s="1461"/>
      <c r="R48" s="1461"/>
      <c r="S48" s="1461"/>
    </row>
    <row r="49" spans="1:19" s="879" customFormat="1">
      <c r="A49" s="1198" t="str">
        <f>+A40&amp;".x"</f>
        <v>16.x</v>
      </c>
      <c r="B49" s="1199"/>
      <c r="C49" s="1197" t="s">
        <v>913</v>
      </c>
      <c r="D49" s="244"/>
      <c r="E49" s="1200"/>
      <c r="F49" s="1200"/>
      <c r="G49" s="1200"/>
      <c r="H49" s="1200"/>
      <c r="I49" s="1196"/>
      <c r="J49" s="74"/>
      <c r="K49" s="1461"/>
      <c r="L49" s="1454"/>
      <c r="M49" s="1454"/>
      <c r="N49" s="1454"/>
      <c r="O49" s="1461"/>
      <c r="P49" s="1461"/>
      <c r="Q49" s="1461"/>
      <c r="R49" s="1461"/>
      <c r="S49" s="1461"/>
    </row>
    <row r="50" spans="1:19" s="814" customFormat="1">
      <c r="A50" s="956">
        <f>+A40+1</f>
        <v>17</v>
      </c>
      <c r="B50" s="250"/>
      <c r="C50" s="870" t="str">
        <f>+"2281 Total "&amp;C40</f>
        <v>2281 Total Accumulated Provision for Property Insurance</v>
      </c>
      <c r="D50" s="188">
        <f>SUM(D41:D49)</f>
        <v>-1760160.8538462396</v>
      </c>
      <c r="E50" s="188">
        <f>SUM(E41:E49)</f>
        <v>-1760160.8538462396</v>
      </c>
      <c r="F50" s="188">
        <f>SUM(F41:F49)</f>
        <v>0</v>
      </c>
      <c r="G50" s="188">
        <f>SUM(G41:G49)</f>
        <v>0</v>
      </c>
      <c r="H50" s="188">
        <f>SUM(H41:H49)</f>
        <v>0</v>
      </c>
      <c r="I50" s="911" t="str">
        <f>+"Sum Ln "&amp;A40&amp;" Subparts"</f>
        <v>Sum Ln 16 Subparts</v>
      </c>
      <c r="J50" s="74"/>
      <c r="K50" s="1822"/>
      <c r="L50" s="560"/>
      <c r="M50" s="560"/>
      <c r="N50" s="560"/>
      <c r="O50" s="1822"/>
      <c r="P50" s="1822"/>
      <c r="Q50" s="1822"/>
      <c r="R50" s="1822"/>
      <c r="S50" s="1822"/>
    </row>
    <row r="51" spans="1:19">
      <c r="A51" s="811">
        <f>+A50+1</f>
        <v>18</v>
      </c>
      <c r="C51" s="250" t="s">
        <v>482</v>
      </c>
      <c r="D51" s="184"/>
      <c r="E51" s="75"/>
      <c r="F51" s="183"/>
      <c r="G51" s="170"/>
      <c r="H51" s="75"/>
    </row>
    <row r="52" spans="1:19">
      <c r="A52" s="813">
        <f>+A51+0.1</f>
        <v>18.100000000000001</v>
      </c>
      <c r="B52" s="74"/>
      <c r="C52" s="1201" t="s">
        <v>484</v>
      </c>
      <c r="D52" s="1396">
        <f>'WP20 Reserves'!Q14</f>
        <v>-1176391.7861538457</v>
      </c>
      <c r="E52" s="75"/>
      <c r="F52" s="183"/>
      <c r="G52" s="248"/>
      <c r="H52" s="170">
        <f>+D52</f>
        <v>-1176391.7861538457</v>
      </c>
      <c r="I52" s="202" t="str">
        <f>+"WP20 Reserves Ln "&amp;'WP20 Reserves'!A14&amp;" Col. "&amp;'WP20 Reserves'!Q$5</f>
        <v>WP20 Reserves Ln 2.07 Col. P</v>
      </c>
    </row>
    <row r="53" spans="1:19">
      <c r="A53" s="813">
        <f>+A52+0.1</f>
        <v>18.200000000000003</v>
      </c>
      <c r="B53" s="74"/>
      <c r="C53" s="1201" t="s">
        <v>485</v>
      </c>
      <c r="D53" s="187">
        <f>'WP20 Reserves'!Q15</f>
        <v>-3326191.05</v>
      </c>
      <c r="E53" s="75"/>
      <c r="F53" s="183"/>
      <c r="G53" s="248"/>
      <c r="H53" s="170">
        <f>+D53</f>
        <v>-3326191.05</v>
      </c>
      <c r="I53" s="202" t="str">
        <f>+"WP20 Reserves Ln "&amp;'WP20 Reserves'!A15&amp;" Col. "&amp;'WP20 Reserves'!Q$5</f>
        <v>WP20 Reserves Ln 2.08 Col. P</v>
      </c>
    </row>
    <row r="54" spans="1:19" s="879" customFormat="1">
      <c r="A54" s="1198">
        <f>+A53+0.1</f>
        <v>18.300000000000004</v>
      </c>
      <c r="B54" s="1199"/>
      <c r="C54" s="1197" t="s">
        <v>913</v>
      </c>
      <c r="D54" s="179"/>
      <c r="E54" s="1195"/>
      <c r="F54" s="1195"/>
      <c r="G54" s="1195"/>
      <c r="H54" s="1195"/>
      <c r="I54" s="1196"/>
      <c r="J54" s="74"/>
      <c r="K54" s="1461"/>
      <c r="L54" s="1454"/>
      <c r="M54" s="1454"/>
      <c r="N54" s="1454"/>
      <c r="O54" s="1461"/>
      <c r="P54" s="1461"/>
      <c r="Q54" s="1461"/>
      <c r="R54" s="1461"/>
      <c r="S54" s="1461"/>
    </row>
    <row r="55" spans="1:19" s="879" customFormat="1">
      <c r="A55" s="1198" t="s">
        <v>903</v>
      </c>
      <c r="B55" s="1199"/>
      <c r="C55" s="1197" t="s">
        <v>913</v>
      </c>
      <c r="D55" s="179"/>
      <c r="E55" s="1195"/>
      <c r="F55" s="1195"/>
      <c r="G55" s="1195"/>
      <c r="H55" s="1195"/>
      <c r="I55" s="1196"/>
      <c r="J55" s="74"/>
      <c r="K55" s="1461"/>
      <c r="L55" s="1454"/>
      <c r="M55" s="1454"/>
      <c r="N55" s="1454"/>
      <c r="O55" s="1461"/>
      <c r="P55" s="1461"/>
      <c r="Q55" s="1461"/>
      <c r="R55" s="1461"/>
      <c r="S55" s="1461"/>
    </row>
    <row r="56" spans="1:19" s="879" customFormat="1">
      <c r="A56" s="1198" t="str">
        <f>+A51&amp;".x"</f>
        <v>18.x</v>
      </c>
      <c r="B56" s="1199"/>
      <c r="C56" s="1197" t="s">
        <v>913</v>
      </c>
      <c r="D56" s="244"/>
      <c r="E56" s="1200"/>
      <c r="F56" s="1200"/>
      <c r="G56" s="1200"/>
      <c r="H56" s="1200"/>
      <c r="I56" s="1196"/>
      <c r="J56" s="74"/>
      <c r="K56" s="1461"/>
      <c r="L56" s="1454"/>
      <c r="M56" s="1454"/>
      <c r="N56" s="1454"/>
      <c r="O56" s="1461"/>
      <c r="P56" s="1461"/>
      <c r="Q56" s="1461"/>
      <c r="R56" s="1461"/>
      <c r="S56" s="1461"/>
    </row>
    <row r="57" spans="1:19">
      <c r="A57" s="811">
        <f>+A51+1</f>
        <v>19</v>
      </c>
      <c r="B57" s="74"/>
      <c r="C57" s="871" t="str">
        <f>+"2282 Total "&amp;C51</f>
        <v>2282 Total Accumulated Provision for Injuries and Damages</v>
      </c>
      <c r="D57" s="187">
        <f>SUM(D52:D56)</f>
        <v>-4502582.8361538453</v>
      </c>
      <c r="E57" s="187">
        <f>SUM(E52:E56)</f>
        <v>0</v>
      </c>
      <c r="F57" s="187">
        <f>SUM(F52:F56)</f>
        <v>0</v>
      </c>
      <c r="G57" s="187">
        <f>SUM(G52:G56)</f>
        <v>0</v>
      </c>
      <c r="H57" s="187">
        <f>SUM(H52:H56)</f>
        <v>-4502582.8361538453</v>
      </c>
      <c r="I57" s="1184" t="str">
        <f>+"Sum Ln "&amp;A51&amp;" Subparts"</f>
        <v>Sum Ln 18 Subparts</v>
      </c>
    </row>
    <row r="58" spans="1:19">
      <c r="A58" s="811">
        <f>+A57+1</f>
        <v>20</v>
      </c>
      <c r="C58" s="250" t="s">
        <v>466</v>
      </c>
      <c r="D58" s="191"/>
      <c r="E58" s="75"/>
      <c r="F58" s="183"/>
      <c r="G58" s="248"/>
      <c r="H58" s="75"/>
      <c r="I58" s="202"/>
    </row>
    <row r="59" spans="1:19">
      <c r="A59" s="813">
        <f>+A58+0.1</f>
        <v>20.100000000000001</v>
      </c>
      <c r="B59" s="250"/>
      <c r="C59" s="1201" t="s">
        <v>629</v>
      </c>
      <c r="D59" s="184">
        <f>'WP20 Reserves'!Q16</f>
        <v>-2566233.3076923075</v>
      </c>
      <c r="E59" s="75"/>
      <c r="F59" s="183"/>
      <c r="G59" s="248"/>
      <c r="H59" s="170">
        <f>+D59</f>
        <v>-2566233.3076923075</v>
      </c>
      <c r="I59" s="202" t="str">
        <f>+"WP20 Reserves Ln 2.9 Col. "&amp;'WP20 Reserves'!Q$5</f>
        <v>WP20 Reserves Ln 2.9 Col. P</v>
      </c>
    </row>
    <row r="60" spans="1:19">
      <c r="A60" s="813">
        <f>+A59+0.1</f>
        <v>20.200000000000003</v>
      </c>
      <c r="B60" s="250"/>
      <c r="C60" s="1201" t="s">
        <v>628</v>
      </c>
      <c r="D60" s="184">
        <f>'WP20 Reserves'!Q17</f>
        <v>18468158.775384612</v>
      </c>
      <c r="E60" s="170">
        <f>+D60</f>
        <v>18468158.775384612</v>
      </c>
      <c r="F60" s="183"/>
      <c r="G60" s="248"/>
      <c r="H60" s="186"/>
      <c r="I60" s="202" t="str">
        <f>+"WP20 Reserves Ln 2.10 Col. "&amp;'WP20 Reserves'!Q$5</f>
        <v>WP20 Reserves Ln 2.10 Col. P</v>
      </c>
    </row>
    <row r="61" spans="1:19" s="879" customFormat="1">
      <c r="A61" s="1198">
        <f>+A60+0.1</f>
        <v>20.300000000000004</v>
      </c>
      <c r="B61" s="1199"/>
      <c r="C61" s="1197" t="s">
        <v>913</v>
      </c>
      <c r="D61" s="179"/>
      <c r="E61" s="1195"/>
      <c r="F61" s="1195"/>
      <c r="G61" s="1195"/>
      <c r="H61" s="1195"/>
      <c r="I61" s="1196"/>
      <c r="J61" s="74"/>
      <c r="K61" s="1461"/>
      <c r="L61" s="1454"/>
      <c r="M61" s="1454"/>
      <c r="N61" s="1454"/>
      <c r="O61" s="1461"/>
      <c r="P61" s="1461"/>
      <c r="Q61" s="1461"/>
      <c r="R61" s="1461"/>
      <c r="S61" s="1461"/>
    </row>
    <row r="62" spans="1:19" s="879" customFormat="1">
      <c r="A62" s="1198" t="s">
        <v>903</v>
      </c>
      <c r="B62" s="1199"/>
      <c r="C62" s="1197" t="s">
        <v>913</v>
      </c>
      <c r="D62" s="179"/>
      <c r="E62" s="1195"/>
      <c r="F62" s="1195"/>
      <c r="G62" s="1195"/>
      <c r="H62" s="1195"/>
      <c r="I62" s="1196"/>
      <c r="J62" s="74"/>
      <c r="K62" s="1461"/>
      <c r="L62" s="1454"/>
      <c r="M62" s="1454"/>
      <c r="N62" s="1454"/>
      <c r="O62" s="1461"/>
      <c r="P62" s="1461"/>
      <c r="Q62" s="1461"/>
      <c r="R62" s="1461"/>
      <c r="S62" s="1461"/>
    </row>
    <row r="63" spans="1:19" s="879" customFormat="1">
      <c r="A63" s="1198" t="str">
        <f>+A58&amp;".x"</f>
        <v>20.x</v>
      </c>
      <c r="B63" s="1199"/>
      <c r="C63" s="1197" t="s">
        <v>913</v>
      </c>
      <c r="D63" s="244"/>
      <c r="E63" s="1200"/>
      <c r="F63" s="1200"/>
      <c r="G63" s="1200"/>
      <c r="H63" s="1200"/>
      <c r="I63" s="1196"/>
      <c r="J63" s="74"/>
      <c r="K63" s="1461"/>
      <c r="L63" s="1454"/>
      <c r="M63" s="1454"/>
      <c r="N63" s="1454"/>
      <c r="O63" s="1461"/>
      <c r="P63" s="1461"/>
      <c r="Q63" s="1461"/>
      <c r="R63" s="1461"/>
      <c r="S63" s="1461"/>
    </row>
    <row r="64" spans="1:19">
      <c r="A64" s="811">
        <f>+A58+1</f>
        <v>21</v>
      </c>
      <c r="B64" s="250"/>
      <c r="C64" s="871" t="str">
        <f>+"2283 Total "&amp;C58</f>
        <v>2283 Total Accumulated Provision for Pensions and Benefits</v>
      </c>
      <c r="D64" s="187">
        <f>SUM(D59:D63)</f>
        <v>15901925.467692304</v>
      </c>
      <c r="E64" s="187">
        <f>SUM(E59:E63)</f>
        <v>18468158.775384612</v>
      </c>
      <c r="F64" s="187">
        <f>SUM(F59:F63)</f>
        <v>0</v>
      </c>
      <c r="G64" s="187">
        <f>SUM(G59:G63)</f>
        <v>0</v>
      </c>
      <c r="H64" s="187">
        <f>SUM(H59:H63)</f>
        <v>-2566233.3076923075</v>
      </c>
      <c r="I64" s="1184" t="str">
        <f>+"Sum Ln "&amp;A58&amp;" Subparts"</f>
        <v>Sum Ln 20 Subparts</v>
      </c>
    </row>
    <row r="65" spans="1:19">
      <c r="A65" s="811">
        <f>+A64+1</f>
        <v>22</v>
      </c>
      <c r="C65" s="250" t="s">
        <v>467</v>
      </c>
      <c r="D65" s="188"/>
      <c r="E65" s="75"/>
      <c r="F65" s="183"/>
      <c r="G65" s="248"/>
      <c r="H65" s="75"/>
      <c r="I65" s="202"/>
    </row>
    <row r="66" spans="1:19">
      <c r="A66" s="813">
        <f>+A65+0.1</f>
        <v>22.1</v>
      </c>
      <c r="B66" s="250"/>
      <c r="C66" s="1201" t="s">
        <v>625</v>
      </c>
      <c r="D66" s="1396">
        <f>'WP20 Reserves'!Q18</f>
        <v>-775420.15230769094</v>
      </c>
      <c r="E66" s="170">
        <f>+D66</f>
        <v>-775420.15230769094</v>
      </c>
      <c r="F66" s="183"/>
      <c r="G66" s="248"/>
      <c r="H66" s="75"/>
      <c r="I66" s="202" t="str">
        <f>+"WP20 Reserves Ln "&amp;'WP20 Reserves'!A18&amp;" Col. "&amp;'WP20 Reserves'!Q$5</f>
        <v>WP20 Reserves Ln 2.11 Col. P</v>
      </c>
    </row>
    <row r="67" spans="1:19">
      <c r="A67" s="813">
        <f>+A66+0.1</f>
        <v>22.200000000000003</v>
      </c>
      <c r="B67" s="250"/>
      <c r="C67" s="1201" t="s">
        <v>626</v>
      </c>
      <c r="D67" s="1396">
        <f>'WP20 Reserves'!Q19</f>
        <v>0</v>
      </c>
      <c r="E67" s="170">
        <f>+D67</f>
        <v>0</v>
      </c>
      <c r="F67" s="183"/>
      <c r="G67" s="248"/>
      <c r="H67" s="75"/>
      <c r="I67" s="202" t="str">
        <f>+"WP20 Reserves Ln "&amp;'WP20 Reserves'!A19&amp;" Col. "&amp;'WP20 Reserves'!Q$5</f>
        <v>WP20 Reserves Ln 2.12 Col. P</v>
      </c>
    </row>
    <row r="68" spans="1:19">
      <c r="A68" s="813">
        <f>+A67+0.1</f>
        <v>22.300000000000004</v>
      </c>
      <c r="B68" s="250"/>
      <c r="C68" s="1201" t="s">
        <v>627</v>
      </c>
      <c r="D68" s="1396">
        <f>'WP20 Reserves'!Q20</f>
        <v>0</v>
      </c>
      <c r="E68" s="170">
        <f>+D68</f>
        <v>0</v>
      </c>
      <c r="F68" s="183"/>
      <c r="G68" s="248"/>
      <c r="H68" s="248"/>
      <c r="I68" s="202" t="str">
        <f>+"WP20 Reserves Ln "&amp;'WP20 Reserves'!A20&amp;" Col. "&amp;'WP20 Reserves'!Q$5</f>
        <v>WP20 Reserves Ln 2.13 Col. P</v>
      </c>
    </row>
    <row r="69" spans="1:19">
      <c r="A69" s="813">
        <f>+A68+0.1</f>
        <v>22.400000000000006</v>
      </c>
      <c r="B69" s="250"/>
      <c r="C69" s="1201" t="s">
        <v>631</v>
      </c>
      <c r="D69" s="187">
        <f>'WP20 Reserves'!Q21</f>
        <v>0</v>
      </c>
      <c r="E69" s="170">
        <f>+D69</f>
        <v>0</v>
      </c>
      <c r="F69" s="183"/>
      <c r="G69" s="248"/>
      <c r="H69" s="75"/>
      <c r="I69" s="1183" t="str">
        <f>+"WP20 Reserves Ln "&amp;'WP20 Reserves'!A21&amp;" Col. "&amp;'WP20 Reserves'!Q$5</f>
        <v>WP20 Reserves Ln 2.14 Col. P</v>
      </c>
    </row>
    <row r="70" spans="1:19" s="879" customFormat="1">
      <c r="A70" s="1198">
        <f>+A69+0.1</f>
        <v>22.500000000000007</v>
      </c>
      <c r="B70" s="1199"/>
      <c r="C70" s="1197" t="s">
        <v>913</v>
      </c>
      <c r="D70" s="179"/>
      <c r="E70" s="1195"/>
      <c r="F70" s="1195"/>
      <c r="G70" s="1195"/>
      <c r="H70" s="1195"/>
      <c r="I70" s="1196"/>
      <c r="J70" s="74"/>
      <c r="K70" s="1461"/>
      <c r="L70" s="1454"/>
      <c r="M70" s="1454"/>
      <c r="N70" s="1454"/>
      <c r="O70" s="1461"/>
      <c r="P70" s="1461"/>
      <c r="Q70" s="1461"/>
      <c r="R70" s="1461"/>
      <c r="S70" s="1461"/>
    </row>
    <row r="71" spans="1:19" s="879" customFormat="1">
      <c r="A71" s="1198" t="s">
        <v>903</v>
      </c>
      <c r="B71" s="1199"/>
      <c r="C71" s="1197" t="s">
        <v>913</v>
      </c>
      <c r="D71" s="179"/>
      <c r="E71" s="1195"/>
      <c r="F71" s="1195"/>
      <c r="G71" s="1195"/>
      <c r="H71" s="1195"/>
      <c r="I71" s="1196"/>
      <c r="J71" s="74"/>
      <c r="K71" s="1461"/>
      <c r="L71" s="1454"/>
      <c r="M71" s="1454"/>
      <c r="N71" s="1454"/>
      <c r="O71" s="1461"/>
      <c r="P71" s="1461"/>
      <c r="Q71" s="1461"/>
      <c r="R71" s="1461"/>
      <c r="S71" s="1461"/>
    </row>
    <row r="72" spans="1:19" s="879" customFormat="1">
      <c r="A72" s="1198" t="str">
        <f>+A65&amp;".x"</f>
        <v>22.x</v>
      </c>
      <c r="B72" s="1199"/>
      <c r="C72" s="1197" t="s">
        <v>913</v>
      </c>
      <c r="D72" s="244"/>
      <c r="E72" s="1200"/>
      <c r="F72" s="1200"/>
      <c r="G72" s="1200"/>
      <c r="H72" s="1200"/>
      <c r="I72" s="1196"/>
      <c r="J72" s="74"/>
      <c r="K72" s="1461"/>
      <c r="L72" s="1454"/>
      <c r="M72" s="1454"/>
      <c r="N72" s="1454"/>
      <c r="O72" s="1461"/>
      <c r="P72" s="1461"/>
      <c r="Q72" s="1461"/>
      <c r="R72" s="1461"/>
      <c r="S72" s="1461"/>
    </row>
    <row r="73" spans="1:19">
      <c r="A73" s="811">
        <f>+A65+1</f>
        <v>23</v>
      </c>
      <c r="B73" s="250"/>
      <c r="C73" s="871" t="str">
        <f>+"2284 Total "&amp;C65</f>
        <v>2284 Total Accumulated Miscellaneous Operating Provisions</v>
      </c>
      <c r="D73" s="189">
        <f>SUM(D66:D72)</f>
        <v>-775420.15230769094</v>
      </c>
      <c r="E73" s="189">
        <f>SUM(E66:E72)</f>
        <v>-775420.15230769094</v>
      </c>
      <c r="F73" s="189">
        <f>SUM(F66:F72)</f>
        <v>0</v>
      </c>
      <c r="G73" s="189">
        <f>SUM(G66:G72)</f>
        <v>0</v>
      </c>
      <c r="H73" s="189">
        <f>SUM(H66:H72)</f>
        <v>0</v>
      </c>
      <c r="I73" s="911" t="str">
        <f>+"Sum Ln "&amp;A65&amp;" Subparts"</f>
        <v>Sum Ln 22 Subparts</v>
      </c>
    </row>
    <row r="74" spans="1:19">
      <c r="A74" s="811">
        <f>+A73+1</f>
        <v>24</v>
      </c>
      <c r="B74" s="250"/>
      <c r="I74" s="60"/>
    </row>
    <row r="75" spans="1:19" s="74" customFormat="1">
      <c r="A75" s="811">
        <f>+A74+1</f>
        <v>25</v>
      </c>
      <c r="C75" s="250" t="s">
        <v>852</v>
      </c>
      <c r="D75" s="188"/>
      <c r="E75" s="75"/>
      <c r="F75" s="183"/>
      <c r="G75" s="248"/>
      <c r="H75" s="75"/>
      <c r="I75" s="202"/>
      <c r="L75" s="248"/>
      <c r="M75" s="248"/>
      <c r="N75" s="248"/>
    </row>
    <row r="76" spans="1:19">
      <c r="A76" s="813">
        <f>+A75+0.1</f>
        <v>25.1</v>
      </c>
      <c r="B76" s="74"/>
      <c r="C76" s="1201" t="s">
        <v>630</v>
      </c>
      <c r="D76" s="249">
        <f>-D45</f>
        <v>208527.88461538457</v>
      </c>
      <c r="E76" s="170">
        <f>+D76</f>
        <v>208527.88461538457</v>
      </c>
      <c r="F76" s="183"/>
      <c r="G76" s="170"/>
      <c r="H76" s="248"/>
      <c r="I76" s="648" t="str">
        <f>+"Less Ln "&amp;A45</f>
        <v>Less Ln 16.5</v>
      </c>
    </row>
    <row r="77" spans="1:19">
      <c r="A77" s="813">
        <f t="shared" ref="A77:A78" si="1">+A76+0.1</f>
        <v>25.200000000000003</v>
      </c>
      <c r="B77" s="74"/>
      <c r="C77" s="1201" t="s">
        <v>1496</v>
      </c>
      <c r="D77" s="1553">
        <f>+'WP21 Pension'!F24</f>
        <v>80047965.230769232</v>
      </c>
      <c r="E77" s="249"/>
      <c r="F77" s="1407"/>
      <c r="G77" s="249"/>
      <c r="H77" s="249">
        <f>+D77</f>
        <v>80047965.230769232</v>
      </c>
      <c r="I77" s="1574" t="str">
        <f>+"WP21 Pension Ln "&amp;'WP21 Pension'!A$24&amp;" Col. "&amp;LEFT('WP21 Pension'!F5,1)</f>
        <v>WP21 Pension Ln 18 Col. F</v>
      </c>
      <c r="J77" s="74" t="s">
        <v>1497</v>
      </c>
    </row>
    <row r="78" spans="1:19">
      <c r="A78" s="813">
        <f t="shared" si="1"/>
        <v>25.300000000000004</v>
      </c>
      <c r="B78" s="74"/>
      <c r="C78" s="1201" t="s">
        <v>1498</v>
      </c>
      <c r="D78" s="1553">
        <f>+'WP21 Pension'!K24</f>
        <v>-9074213.7146153841</v>
      </c>
      <c r="E78" s="249"/>
      <c r="F78" s="1407"/>
      <c r="G78" s="249"/>
      <c r="H78" s="249">
        <f t="shared" ref="H78" si="2">+D78</f>
        <v>-9074213.7146153841</v>
      </c>
      <c r="I78" s="1574" t="str">
        <f>+"WP21 Pension Ln "&amp;'WP21 Pension'!A$24&amp;" Col. "&amp; LEFT('WP21 Pension'!K5,1)</f>
        <v>WP21 Pension Ln 18 Col. K</v>
      </c>
      <c r="J78" s="74" t="s">
        <v>1497</v>
      </c>
    </row>
    <row r="79" spans="1:19" s="879" customFormat="1">
      <c r="A79" s="1198">
        <f>+A78+0.1</f>
        <v>25.400000000000006</v>
      </c>
      <c r="B79" s="1199"/>
      <c r="C79" s="1197" t="s">
        <v>913</v>
      </c>
      <c r="D79" s="179"/>
      <c r="E79" s="1195"/>
      <c r="F79" s="1195"/>
      <c r="G79" s="1195"/>
      <c r="H79" s="1195"/>
      <c r="I79" s="1196"/>
      <c r="J79" s="74"/>
      <c r="K79" s="1461"/>
      <c r="L79" s="1454"/>
      <c r="M79" s="1454"/>
      <c r="N79" s="1454"/>
      <c r="O79" s="1461"/>
      <c r="P79" s="1461"/>
      <c r="Q79" s="1461"/>
      <c r="R79" s="1461"/>
      <c r="S79" s="1461"/>
    </row>
    <row r="80" spans="1:19" s="879" customFormat="1">
      <c r="A80" s="1198" t="s">
        <v>903</v>
      </c>
      <c r="B80" s="1199"/>
      <c r="C80" s="1197" t="s">
        <v>913</v>
      </c>
      <c r="D80" s="179"/>
      <c r="E80" s="1195"/>
      <c r="F80" s="1195"/>
      <c r="G80" s="1195"/>
      <c r="H80" s="1195"/>
      <c r="I80" s="1196"/>
      <c r="J80" s="74"/>
      <c r="K80" s="1461"/>
      <c r="L80" s="1454"/>
      <c r="M80" s="1454"/>
      <c r="N80" s="1454"/>
      <c r="O80" s="1461"/>
      <c r="P80" s="1461"/>
      <c r="Q80" s="1461"/>
      <c r="R80" s="1461"/>
      <c r="S80" s="1461"/>
    </row>
    <row r="81" spans="1:19" s="879" customFormat="1">
      <c r="A81" s="1198" t="str">
        <f>+A75&amp;".x"</f>
        <v>25.x</v>
      </c>
      <c r="B81" s="1199"/>
      <c r="C81" s="1197" t="s">
        <v>913</v>
      </c>
      <c r="D81" s="244"/>
      <c r="E81" s="1200"/>
      <c r="F81" s="1200"/>
      <c r="G81" s="1200"/>
      <c r="H81" s="1200"/>
      <c r="I81" s="1196"/>
      <c r="J81" s="74"/>
      <c r="K81" s="1461"/>
      <c r="L81" s="1454"/>
      <c r="M81" s="1454"/>
      <c r="N81" s="1454"/>
      <c r="O81" s="1461"/>
      <c r="P81" s="1461"/>
      <c r="Q81" s="1461"/>
      <c r="R81" s="1461"/>
      <c r="S81" s="1461"/>
    </row>
    <row r="82" spans="1:19">
      <c r="A82" s="811">
        <f>+A75+1</f>
        <v>26</v>
      </c>
      <c r="B82" s="250"/>
      <c r="C82" s="871" t="str">
        <f>+"Total "&amp;C75</f>
        <v>Total Associated Balance Sheet Accounts &amp; Regulatory Assets (5)</v>
      </c>
      <c r="D82" s="540">
        <f>SUM(D76:D81)</f>
        <v>71182279.400769234</v>
      </c>
      <c r="E82" s="540">
        <f>SUM(E76:E81)</f>
        <v>208527.88461538457</v>
      </c>
      <c r="F82" s="540">
        <f>SUM(F76:F81)</f>
        <v>0</v>
      </c>
      <c r="G82" s="540">
        <f>SUM(G76:G81)</f>
        <v>0</v>
      </c>
      <c r="H82" s="540">
        <f>SUM(H76:H81)</f>
        <v>70973751.516153842</v>
      </c>
      <c r="I82" s="957" t="str">
        <f>+"Sum Ln "&amp;A75&amp;" Subparts"</f>
        <v>Sum Ln 25 Subparts</v>
      </c>
    </row>
    <row r="83" spans="1:19" s="77" customFormat="1">
      <c r="A83" s="811">
        <f>+A82+1</f>
        <v>27</v>
      </c>
      <c r="B83" s="250" t="s">
        <v>702</v>
      </c>
      <c r="C83" s="37"/>
      <c r="D83" s="535">
        <f>+D50+D57+D64+D73+D82</f>
        <v>80046041.026153758</v>
      </c>
      <c r="E83" s="535">
        <f>+E50+E57+E64+E73+E82</f>
        <v>16141105.653846066</v>
      </c>
      <c r="F83" s="535">
        <f>+F50+F57+F64+F73+F82</f>
        <v>0</v>
      </c>
      <c r="G83" s="535">
        <f>+G50+G57+G64+G73+G82</f>
        <v>0</v>
      </c>
      <c r="H83" s="535">
        <f>+H50+H57+H64+H73+H82</f>
        <v>63904935.372307688</v>
      </c>
      <c r="I83" s="911" t="str">
        <f>+"Sum (Ln "&amp;A50&amp;" + "&amp;A57&amp;" + "&amp;A64&amp;" + "&amp;A73&amp;" + "&amp;A82&amp;")"</f>
        <v>Sum (Ln 17 + 19 + 21 + 23 + 26)</v>
      </c>
      <c r="J83" s="74"/>
      <c r="K83" s="74"/>
      <c r="L83" s="248"/>
      <c r="M83" s="248"/>
      <c r="N83" s="248"/>
      <c r="O83" s="74"/>
      <c r="P83" s="74"/>
      <c r="Q83" s="74"/>
      <c r="R83" s="74"/>
      <c r="S83" s="74"/>
    </row>
    <row r="84" spans="1:19" s="77" customFormat="1">
      <c r="A84" s="811">
        <f>+A83+1</f>
        <v>28</v>
      </c>
      <c r="B84" s="250"/>
      <c r="C84" s="37"/>
      <c r="D84" s="535"/>
      <c r="E84" s="536"/>
      <c r="F84" s="536"/>
      <c r="G84" s="536"/>
      <c r="H84" s="536"/>
      <c r="I84" s="651"/>
      <c r="J84" s="74"/>
      <c r="K84" s="74"/>
      <c r="L84" s="248"/>
      <c r="M84" s="248"/>
      <c r="N84" s="248"/>
      <c r="O84" s="74"/>
      <c r="P84" s="74"/>
      <c r="Q84" s="74"/>
      <c r="R84" s="74"/>
      <c r="S84" s="74"/>
    </row>
    <row r="85" spans="1:19">
      <c r="A85" s="811">
        <f>+A84+1</f>
        <v>29</v>
      </c>
      <c r="B85" s="588" t="s">
        <v>126</v>
      </c>
      <c r="C85" s="585"/>
      <c r="D85" s="586"/>
      <c r="E85" s="586"/>
      <c r="F85" s="587"/>
      <c r="G85" s="589"/>
      <c r="H85" s="590"/>
      <c r="I85" s="649"/>
    </row>
    <row r="86" spans="1:19">
      <c r="A86" s="811">
        <f>+A85+1</f>
        <v>30</v>
      </c>
      <c r="B86" s="211" t="s">
        <v>67</v>
      </c>
      <c r="C86" s="211" t="s">
        <v>114</v>
      </c>
      <c r="D86" s="211" t="s">
        <v>55</v>
      </c>
      <c r="E86" s="211" t="s">
        <v>68</v>
      </c>
      <c r="F86" s="211" t="s">
        <v>66</v>
      </c>
      <c r="G86" s="211" t="s">
        <v>156</v>
      </c>
      <c r="H86" s="211" t="s">
        <v>69</v>
      </c>
      <c r="I86" s="211" t="s">
        <v>169</v>
      </c>
      <c r="J86" s="40"/>
      <c r="K86" s="40"/>
      <c r="L86" s="40"/>
      <c r="O86" s="40"/>
      <c r="P86" s="248"/>
      <c r="R86" s="40"/>
      <c r="S86" s="248"/>
    </row>
    <row r="87" spans="1:19" s="74" customFormat="1">
      <c r="A87" s="811">
        <f>+A86+1</f>
        <v>31</v>
      </c>
      <c r="C87" s="205" t="s">
        <v>781</v>
      </c>
      <c r="D87" s="650" t="s">
        <v>889</v>
      </c>
      <c r="H87" s="75"/>
      <c r="I87" s="173"/>
      <c r="J87" s="40"/>
      <c r="K87" s="40"/>
      <c r="L87" s="40"/>
      <c r="M87" s="40"/>
      <c r="N87" s="248"/>
      <c r="O87" s="248"/>
      <c r="P87" s="248"/>
    </row>
    <row r="88" spans="1:19" s="74" customFormat="1">
      <c r="A88" s="813">
        <f>+A87+0.1</f>
        <v>31.1</v>
      </c>
      <c r="C88" s="539" t="s">
        <v>786</v>
      </c>
      <c r="D88" s="249">
        <f>+'WP10 Storm'!E45</f>
        <v>785036.3629411452</v>
      </c>
      <c r="H88" s="248"/>
      <c r="I88" s="202" t="str">
        <f>+"WP10 Storm Ln "&amp;'WP10 Storm'!A45&amp;" Column "&amp;'WP10 Storm'!E6</f>
        <v xml:space="preserve">WP10 Storm Ln 8 Column D </v>
      </c>
      <c r="J88" s="40"/>
      <c r="K88" s="40"/>
      <c r="L88" s="40"/>
      <c r="M88" s="40"/>
      <c r="N88" s="248"/>
      <c r="O88" s="248"/>
      <c r="P88" s="248"/>
    </row>
    <row r="89" spans="1:19">
      <c r="A89" s="813">
        <f>+A88+0.1</f>
        <v>31.200000000000003</v>
      </c>
      <c r="B89" s="75"/>
      <c r="C89" s="539" t="s">
        <v>787</v>
      </c>
      <c r="D89" s="249">
        <f>+'WP AJ1 MISO'!K61</f>
        <v>-49008.950000000012</v>
      </c>
      <c r="F89" s="74"/>
      <c r="G89" s="74"/>
      <c r="H89" s="513"/>
      <c r="I89" s="202" t="str">
        <f>+"WP AJ1 MISO Ln "&amp;'WP AJ1 MISO'!A61&amp;" Column "&amp;'WP AJ1 MISO'!K8</f>
        <v>WP AJ1 MISO Ln 8 Column J</v>
      </c>
      <c r="J89" s="40"/>
      <c r="K89" s="40"/>
      <c r="L89" s="40"/>
      <c r="M89" s="40"/>
      <c r="O89" s="248"/>
      <c r="P89" s="248"/>
    </row>
    <row r="90" spans="1:19">
      <c r="A90" s="813">
        <f>+A89+0.1</f>
        <v>31.300000000000004</v>
      </c>
      <c r="B90" s="75"/>
      <c r="C90" s="539" t="s">
        <v>1156</v>
      </c>
      <c r="D90" s="249">
        <f>-'WP AJ2 ITC'!F47</f>
        <v>0</v>
      </c>
      <c r="F90" s="74"/>
      <c r="G90" s="74"/>
      <c r="H90" s="513"/>
      <c r="I90" s="202" t="str">
        <f>"WP AJ2 ITC Ln "&amp;'WP AJ2 ITC'!A47&amp;" Column "&amp;'WP AJ2 ITC'!F6</f>
        <v>WP AJ2 ITC Ln 8 Column D</v>
      </c>
      <c r="J90" s="40"/>
      <c r="K90" s="40"/>
      <c r="L90" s="40"/>
      <c r="M90" s="40"/>
      <c r="O90" s="248"/>
      <c r="P90" s="248"/>
    </row>
    <row r="91" spans="1:19" s="879" customFormat="1">
      <c r="A91" s="1198">
        <f>+A90+0.1</f>
        <v>31.400000000000006</v>
      </c>
      <c r="B91" s="1199"/>
      <c r="C91" s="1197" t="s">
        <v>913</v>
      </c>
      <c r="D91" s="179"/>
      <c r="E91" s="248"/>
      <c r="F91" s="248"/>
      <c r="G91" s="248"/>
      <c r="H91" s="248"/>
      <c r="I91" s="1196"/>
      <c r="J91" s="74"/>
      <c r="K91" s="1461"/>
      <c r="L91" s="1454"/>
      <c r="M91" s="1454"/>
      <c r="N91" s="1454"/>
      <c r="O91" s="1461"/>
      <c r="P91" s="1461"/>
      <c r="Q91" s="1461"/>
      <c r="R91" s="1461"/>
      <c r="S91" s="1461"/>
    </row>
    <row r="92" spans="1:19" s="879" customFormat="1">
      <c r="A92" s="1198" t="s">
        <v>903</v>
      </c>
      <c r="B92" s="1199"/>
      <c r="C92" s="1197" t="s">
        <v>913</v>
      </c>
      <c r="D92" s="179"/>
      <c r="E92" s="248"/>
      <c r="F92" s="248"/>
      <c r="G92" s="248"/>
      <c r="H92" s="248"/>
      <c r="I92" s="1196"/>
      <c r="J92" s="74"/>
      <c r="K92" s="1461"/>
      <c r="L92" s="1454"/>
      <c r="M92" s="1454"/>
      <c r="N92" s="1454"/>
      <c r="O92" s="1461"/>
      <c r="P92" s="1461"/>
      <c r="Q92" s="1461"/>
      <c r="R92" s="1461"/>
      <c r="S92" s="1461"/>
    </row>
    <row r="93" spans="1:19" s="879" customFormat="1">
      <c r="A93" s="1198" t="str">
        <f>+A87&amp;".x"</f>
        <v>31.x</v>
      </c>
      <c r="B93" s="1199"/>
      <c r="C93" s="1197" t="s">
        <v>913</v>
      </c>
      <c r="D93" s="244"/>
      <c r="E93" s="248"/>
      <c r="F93" s="248"/>
      <c r="G93" s="248"/>
      <c r="H93" s="248"/>
      <c r="I93" s="1196"/>
      <c r="J93" s="74"/>
      <c r="K93" s="1461"/>
      <c r="L93" s="1454"/>
      <c r="M93" s="1454"/>
      <c r="N93" s="1454"/>
      <c r="O93" s="1461"/>
      <c r="P93" s="1461"/>
      <c r="Q93" s="1461"/>
      <c r="R93" s="1461"/>
      <c r="S93" s="1461"/>
    </row>
    <row r="94" spans="1:19">
      <c r="A94" s="811">
        <f>+A87+1</f>
        <v>32</v>
      </c>
      <c r="B94" s="75"/>
      <c r="C94" s="872" t="s">
        <v>488</v>
      </c>
      <c r="D94" s="186">
        <f>SUM(D88:D93)</f>
        <v>736027.41294114524</v>
      </c>
      <c r="E94" s="248"/>
      <c r="F94" s="248"/>
      <c r="G94" s="248"/>
      <c r="H94" s="513"/>
      <c r="I94" s="803" t="str">
        <f>+"Sum Ln "&amp;A87&amp;" Subparts"</f>
        <v>Sum Ln 31 Subparts</v>
      </c>
      <c r="J94" s="1704"/>
      <c r="K94" s="40"/>
      <c r="L94" s="40"/>
      <c r="M94" s="40"/>
      <c r="O94" s="248"/>
      <c r="P94" s="248"/>
    </row>
    <row r="95" spans="1:19">
      <c r="A95" s="811">
        <f>+A94+1</f>
        <v>33</v>
      </c>
      <c r="C95" s="74"/>
      <c r="D95" s="74"/>
      <c r="E95" s="248"/>
      <c r="F95" s="248"/>
      <c r="G95" s="248"/>
      <c r="H95" s="248"/>
      <c r="J95" s="1704"/>
      <c r="K95" s="40"/>
      <c r="L95" s="40"/>
    </row>
    <row r="96" spans="1:19" s="74" customFormat="1">
      <c r="A96" s="811">
        <f>+A95+1</f>
        <v>34</v>
      </c>
      <c r="C96" s="205" t="s">
        <v>782</v>
      </c>
      <c r="D96" s="204"/>
      <c r="E96" s="248"/>
      <c r="F96" s="248"/>
      <c r="G96" s="248"/>
      <c r="H96" s="248"/>
      <c r="I96" s="202"/>
      <c r="J96" s="1704"/>
      <c r="K96" s="40"/>
      <c r="L96" s="40"/>
      <c r="M96" s="40"/>
      <c r="N96" s="248"/>
      <c r="O96" s="248"/>
      <c r="P96" s="248"/>
    </row>
    <row r="97" spans="1:19">
      <c r="A97" s="813">
        <f>+A96+0.1</f>
        <v>34.1</v>
      </c>
      <c r="B97" s="75"/>
      <c r="C97" s="1455" t="s">
        <v>1144</v>
      </c>
      <c r="D97" s="249">
        <v>0</v>
      </c>
      <c r="E97" s="1454"/>
      <c r="F97" s="74"/>
      <c r="G97" s="75"/>
      <c r="H97" s="75"/>
      <c r="I97" s="202" t="str">
        <f>+"WP10 Storm Ln "&amp;'WP10 Storm'!A58&amp;" Column "&amp;'WP10 Storm'!E6</f>
        <v xml:space="preserve">WP10 Storm Ln 21 Column D </v>
      </c>
      <c r="J97" s="1462"/>
      <c r="K97" s="180"/>
      <c r="L97" s="180"/>
      <c r="M97" s="180"/>
      <c r="O97" s="40"/>
      <c r="P97" s="248"/>
      <c r="R97" s="40"/>
      <c r="S97" s="248"/>
    </row>
    <row r="98" spans="1:19">
      <c r="A98" s="813">
        <f>+A97+0.1</f>
        <v>34.200000000000003</v>
      </c>
      <c r="B98" s="75"/>
      <c r="C98" s="1455" t="s">
        <v>1157</v>
      </c>
      <c r="D98" s="1490">
        <f>+'WP AJ1 MISO'!K74</f>
        <v>-55721.100000000006</v>
      </c>
      <c r="E98" s="1454"/>
      <c r="F98" s="74"/>
      <c r="G98" s="75"/>
      <c r="H98" s="75"/>
      <c r="I98" s="202" t="str">
        <f>+"WP AJ1 MISO Ln "&amp;'WP AJ1 MISO'!A74&amp;" Column "&amp;'WP AJ1 MISO'!K8</f>
        <v>WP AJ1 MISO Ln 21 Column J</v>
      </c>
      <c r="J98" s="1462"/>
      <c r="K98" s="40"/>
      <c r="L98" s="40"/>
      <c r="M98" s="40"/>
      <c r="O98" s="40"/>
      <c r="P98" s="248"/>
      <c r="R98" s="40"/>
      <c r="S98" s="248"/>
    </row>
    <row r="99" spans="1:19">
      <c r="A99" s="813">
        <f>+A98+0.1</f>
        <v>34.300000000000004</v>
      </c>
      <c r="B99" s="75"/>
      <c r="C99" s="1456" t="s">
        <v>1145</v>
      </c>
      <c r="D99" s="1490">
        <f>-'WP AJ2 ITC'!F60</f>
        <v>0</v>
      </c>
      <c r="E99" s="1454"/>
      <c r="F99" s="74"/>
      <c r="G99" s="75"/>
      <c r="H99" s="75"/>
      <c r="I99" s="202" t="str">
        <f>"WP AJ2 ITC Ln "&amp;'WP AJ2 ITC'!A60&amp;" Column "&amp;'WP AJ2 ITC'!F6</f>
        <v>WP AJ2 ITC Ln 21 Column D</v>
      </c>
      <c r="J99" s="1462"/>
      <c r="K99" s="40"/>
      <c r="L99" s="40"/>
      <c r="M99" s="40"/>
      <c r="O99" s="40"/>
      <c r="P99" s="248"/>
      <c r="R99" s="40"/>
      <c r="S99" s="248"/>
    </row>
    <row r="100" spans="1:19" s="879" customFormat="1">
      <c r="A100" s="1198">
        <f>+A99+0.1</f>
        <v>34.400000000000006</v>
      </c>
      <c r="B100" s="1199"/>
      <c r="C100" s="1197" t="s">
        <v>913</v>
      </c>
      <c r="D100" s="179"/>
      <c r="E100" s="248"/>
      <c r="F100" s="248"/>
      <c r="G100" s="248"/>
      <c r="H100" s="248"/>
      <c r="I100" s="1196"/>
      <c r="J100" s="74"/>
      <c r="K100" s="1461"/>
      <c r="L100" s="1454"/>
      <c r="M100" s="1454"/>
      <c r="N100" s="1454"/>
      <c r="O100" s="1461"/>
      <c r="P100" s="1461"/>
      <c r="Q100" s="1461"/>
      <c r="R100" s="1461"/>
      <c r="S100" s="1461"/>
    </row>
    <row r="101" spans="1:19" s="879" customFormat="1">
      <c r="A101" s="1198" t="s">
        <v>903</v>
      </c>
      <c r="B101" s="1199"/>
      <c r="C101" s="1197" t="s">
        <v>913</v>
      </c>
      <c r="D101" s="179"/>
      <c r="E101" s="248"/>
      <c r="F101" s="248"/>
      <c r="G101" s="248"/>
      <c r="H101" s="248"/>
      <c r="I101" s="1196"/>
      <c r="J101" s="74"/>
      <c r="K101" s="1461"/>
      <c r="L101" s="1454"/>
      <c r="M101" s="1454"/>
      <c r="N101" s="1454"/>
      <c r="O101" s="1461"/>
      <c r="P101" s="1461"/>
      <c r="Q101" s="1461"/>
      <c r="R101" s="1461"/>
      <c r="S101" s="1461"/>
    </row>
    <row r="102" spans="1:19" s="879" customFormat="1">
      <c r="A102" s="1198" t="str">
        <f>+A96&amp;".x"</f>
        <v>34.x</v>
      </c>
      <c r="B102" s="1199"/>
      <c r="C102" s="1197" t="s">
        <v>913</v>
      </c>
      <c r="D102" s="244"/>
      <c r="E102" s="248"/>
      <c r="F102" s="248"/>
      <c r="G102" s="248"/>
      <c r="H102" s="248"/>
      <c r="I102" s="1196"/>
      <c r="J102" s="74"/>
      <c r="K102" s="1461"/>
      <c r="L102" s="1454"/>
      <c r="M102" s="1454"/>
      <c r="N102" s="1454"/>
      <c r="O102" s="1461"/>
      <c r="P102" s="1461"/>
      <c r="Q102" s="1461"/>
      <c r="R102" s="1461"/>
      <c r="S102" s="1461"/>
    </row>
    <row r="103" spans="1:19">
      <c r="A103" s="811">
        <f>+A96+1</f>
        <v>35</v>
      </c>
      <c r="B103" s="75"/>
      <c r="C103" s="872" t="s">
        <v>489</v>
      </c>
      <c r="D103" s="186">
        <f>SUM(D97:D102)</f>
        <v>-55721.100000000006</v>
      </c>
      <c r="E103" s="513"/>
      <c r="F103" s="513"/>
      <c r="G103" s="513"/>
      <c r="H103" s="513"/>
      <c r="I103" s="902" t="str">
        <f>+"Sum Ln "&amp;A96&amp;" Subparts"</f>
        <v>Sum Ln 34 Subparts</v>
      </c>
      <c r="J103" s="40"/>
      <c r="K103" s="40"/>
      <c r="L103" s="40"/>
      <c r="M103" s="40"/>
      <c r="O103" s="248"/>
      <c r="P103" s="248"/>
    </row>
    <row r="104" spans="1:19">
      <c r="A104" s="811">
        <f>+A103+1</f>
        <v>36</v>
      </c>
      <c r="B104" s="75"/>
      <c r="C104" s="580"/>
      <c r="D104" s="236"/>
      <c r="E104" s="249"/>
      <c r="F104" s="170"/>
      <c r="G104" s="249"/>
      <c r="H104" s="249"/>
      <c r="I104" s="253"/>
      <c r="K104" s="40"/>
      <c r="L104" s="40"/>
    </row>
    <row r="105" spans="1:19">
      <c r="A105" s="811">
        <f>+A104+1</f>
        <v>37</v>
      </c>
      <c r="C105" s="150" t="s">
        <v>778</v>
      </c>
      <c r="D105" s="180"/>
      <c r="E105" s="248"/>
      <c r="F105" s="180"/>
      <c r="G105" s="180"/>
      <c r="H105" s="173"/>
      <c r="I105" s="652"/>
      <c r="K105" s="40"/>
      <c r="L105" s="40"/>
      <c r="N105" s="180"/>
      <c r="O105" s="180"/>
      <c r="P105" s="180"/>
      <c r="R105" s="180"/>
      <c r="S105" s="180"/>
    </row>
    <row r="106" spans="1:19" ht="15">
      <c r="A106" s="813">
        <f>+A105+0.1</f>
        <v>37.1</v>
      </c>
      <c r="B106" s="75"/>
      <c r="C106" s="1455" t="s">
        <v>1379</v>
      </c>
      <c r="D106" s="179">
        <v>318750</v>
      </c>
      <c r="E106" s="1454"/>
      <c r="G106" s="75"/>
      <c r="H106" s="75"/>
      <c r="I106" s="1196" t="s">
        <v>1096</v>
      </c>
      <c r="J106" s="1461"/>
      <c r="K106" s="247" t="s">
        <v>1163</v>
      </c>
      <c r="L106" s="40"/>
      <c r="M106" s="180"/>
      <c r="O106" s="40"/>
      <c r="P106" s="248"/>
      <c r="R106" s="40"/>
      <c r="S106" s="248"/>
    </row>
    <row r="107" spans="1:19" ht="13.8">
      <c r="A107" s="813">
        <f>+A106+0.1</f>
        <v>37.200000000000003</v>
      </c>
      <c r="B107" s="75"/>
      <c r="C107" s="1455" t="s">
        <v>1380</v>
      </c>
      <c r="D107" s="179">
        <v>1681033</v>
      </c>
      <c r="E107" s="1454"/>
      <c r="G107" s="75"/>
      <c r="H107" s="75"/>
      <c r="I107" s="1196" t="s">
        <v>1540</v>
      </c>
      <c r="J107" s="40" t="s">
        <v>1593</v>
      </c>
      <c r="K107" s="1824" t="s">
        <v>661</v>
      </c>
      <c r="L107" s="40"/>
      <c r="M107" s="40"/>
      <c r="O107" s="40"/>
      <c r="P107" s="248"/>
      <c r="R107" s="40"/>
      <c r="S107" s="248"/>
    </row>
    <row r="108" spans="1:19">
      <c r="A108" s="813">
        <f>+A107+0.1</f>
        <v>37.300000000000004</v>
      </c>
      <c r="B108" s="75"/>
      <c r="C108" s="1455" t="s">
        <v>1381</v>
      </c>
      <c r="D108" s="179">
        <v>-145072</v>
      </c>
      <c r="E108" s="1454"/>
      <c r="G108" s="75"/>
      <c r="H108" s="75"/>
      <c r="I108" s="1196" t="s">
        <v>1541</v>
      </c>
      <c r="L108" s="40"/>
      <c r="M108" s="40"/>
      <c r="O108" s="40"/>
      <c r="P108" s="248"/>
      <c r="R108" s="40"/>
      <c r="S108" s="248"/>
    </row>
    <row r="109" spans="1:19" s="879" customFormat="1">
      <c r="A109" s="1198">
        <f>+A108+0.1</f>
        <v>37.400000000000006</v>
      </c>
      <c r="B109" s="1199"/>
      <c r="C109" s="1197" t="s">
        <v>913</v>
      </c>
      <c r="D109" s="179"/>
      <c r="E109" s="248"/>
      <c r="F109" s="248"/>
      <c r="G109" s="248"/>
      <c r="H109" s="248"/>
      <c r="I109" s="1196"/>
      <c r="J109" s="74"/>
      <c r="K109" s="1825" t="s">
        <v>1164</v>
      </c>
      <c r="L109" s="1825"/>
      <c r="M109" s="1454"/>
      <c r="N109" s="1454"/>
      <c r="O109" s="1461"/>
      <c r="P109" s="1461"/>
      <c r="Q109" s="1461"/>
      <c r="R109" s="1461"/>
      <c r="S109" s="1461"/>
    </row>
    <row r="110" spans="1:19" s="879" customFormat="1">
      <c r="A110" s="1198" t="s">
        <v>903</v>
      </c>
      <c r="B110" s="1199"/>
      <c r="C110" s="1197" t="s">
        <v>913</v>
      </c>
      <c r="D110" s="179"/>
      <c r="E110" s="248"/>
      <c r="F110" s="248"/>
      <c r="G110" s="248"/>
      <c r="H110" s="248"/>
      <c r="I110" s="1196"/>
      <c r="J110" s="74"/>
      <c r="K110" s="1825"/>
      <c r="L110" s="1825"/>
      <c r="M110" s="1454"/>
      <c r="N110" s="1454"/>
      <c r="O110" s="1461"/>
      <c r="P110" s="1461"/>
      <c r="Q110" s="1461"/>
      <c r="R110" s="1461"/>
      <c r="S110" s="1461"/>
    </row>
    <row r="111" spans="1:19" s="879" customFormat="1">
      <c r="A111" s="1198" t="str">
        <f>+A105&amp;".x"</f>
        <v>37.x</v>
      </c>
      <c r="B111" s="1199"/>
      <c r="C111" s="1197" t="s">
        <v>913</v>
      </c>
      <c r="D111" s="244"/>
      <c r="E111" s="248"/>
      <c r="F111" s="248"/>
      <c r="G111" s="248"/>
      <c r="H111" s="248"/>
      <c r="I111" s="1196"/>
      <c r="J111" s="74"/>
      <c r="K111" s="1825"/>
      <c r="L111" s="1825"/>
      <c r="M111" s="1454"/>
      <c r="N111" s="1454"/>
      <c r="O111" s="1461"/>
      <c r="P111" s="1461"/>
      <c r="Q111" s="1461"/>
      <c r="R111" s="1461"/>
      <c r="S111" s="1461"/>
    </row>
    <row r="112" spans="1:19" ht="13.2" customHeight="1">
      <c r="A112" s="811">
        <f>+A105+1</f>
        <v>38</v>
      </c>
      <c r="B112" s="75"/>
      <c r="C112" s="873" t="str">
        <f>+"Total "&amp;C105</f>
        <v>Total 9302 Miscellaneous General Expenses Adjustments (3)</v>
      </c>
      <c r="D112" s="186">
        <f>SUM(D106:D111)</f>
        <v>1854711</v>
      </c>
      <c r="E112" s="248"/>
      <c r="F112" s="248"/>
      <c r="G112" s="248"/>
      <c r="H112" s="248"/>
      <c r="I112" s="902" t="str">
        <f>+"Sum Ln "&amp;A105&amp;" Subparts"</f>
        <v>Sum Ln 37 Subparts</v>
      </c>
      <c r="K112" s="1825"/>
      <c r="L112" s="1825"/>
    </row>
    <row r="113" spans="1:19">
      <c r="A113" s="811">
        <f>+A112+1</f>
        <v>39</v>
      </c>
      <c r="B113" s="75"/>
      <c r="C113" s="75"/>
      <c r="D113" s="75"/>
      <c r="E113" s="75"/>
      <c r="F113" s="75"/>
      <c r="G113" s="75"/>
      <c r="H113" s="75"/>
      <c r="I113" s="203"/>
      <c r="K113" s="1825"/>
      <c r="L113" s="1825"/>
      <c r="O113" s="248"/>
      <c r="P113" s="248"/>
    </row>
    <row r="114" spans="1:19">
      <c r="A114" s="811">
        <f>+A113+1</f>
        <v>40</v>
      </c>
      <c r="B114" s="250" t="s">
        <v>74</v>
      </c>
      <c r="C114" s="74"/>
      <c r="H114" s="494"/>
      <c r="I114" s="151"/>
      <c r="K114" s="1825"/>
      <c r="L114" s="1825"/>
    </row>
    <row r="115" spans="1:19">
      <c r="A115" s="811">
        <f>+A114+1</f>
        <v>41</v>
      </c>
      <c r="B115" s="250"/>
      <c r="C115" s="674" t="s">
        <v>510</v>
      </c>
      <c r="H115" s="494"/>
      <c r="I115" s="151"/>
      <c r="K115" s="1825"/>
      <c r="L115" s="1825"/>
    </row>
    <row r="116" spans="1:19">
      <c r="A116" s="813">
        <f>+A115+0.1</f>
        <v>41.1</v>
      </c>
      <c r="B116" s="250"/>
      <c r="C116" s="579" t="s">
        <v>1377</v>
      </c>
      <c r="D116" s="179">
        <v>0</v>
      </c>
      <c r="H116" s="494"/>
      <c r="I116" s="1196"/>
      <c r="K116" s="1825"/>
      <c r="L116" s="1825"/>
    </row>
    <row r="117" spans="1:19">
      <c r="A117" s="813">
        <f>+A116+0.1</f>
        <v>41.2</v>
      </c>
      <c r="B117" s="250"/>
      <c r="C117" s="591" t="s">
        <v>1378</v>
      </c>
      <c r="D117" s="179">
        <v>4899</v>
      </c>
      <c r="H117" s="494"/>
      <c r="I117" s="1196" t="s">
        <v>1551</v>
      </c>
      <c r="L117" s="170"/>
    </row>
    <row r="118" spans="1:19" s="879" customFormat="1">
      <c r="A118" s="1198">
        <f>+A117+0.1</f>
        <v>41.300000000000004</v>
      </c>
      <c r="B118" s="1199"/>
      <c r="C118" s="1197" t="s">
        <v>913</v>
      </c>
      <c r="D118" s="179"/>
      <c r="E118" s="248"/>
      <c r="F118" s="248"/>
      <c r="G118" s="248"/>
      <c r="H118" s="248"/>
      <c r="I118" s="1196"/>
      <c r="J118" s="74"/>
      <c r="K118" s="1461"/>
      <c r="L118" s="1454"/>
      <c r="M118" s="1454"/>
      <c r="N118" s="1454"/>
      <c r="O118" s="1461"/>
      <c r="P118" s="1461"/>
      <c r="Q118" s="1461"/>
      <c r="R118" s="1461"/>
      <c r="S118" s="1461"/>
    </row>
    <row r="119" spans="1:19" s="879" customFormat="1">
      <c r="A119" s="1198" t="s">
        <v>903</v>
      </c>
      <c r="B119" s="1199"/>
      <c r="C119" s="1197" t="s">
        <v>913</v>
      </c>
      <c r="D119" s="179"/>
      <c r="E119" s="248"/>
      <c r="F119" s="248"/>
      <c r="G119" s="248"/>
      <c r="H119" s="248"/>
      <c r="I119" s="1196"/>
      <c r="J119" s="74"/>
      <c r="K119" s="1461"/>
      <c r="L119" s="1454"/>
      <c r="M119" s="1454"/>
      <c r="N119" s="1454"/>
      <c r="O119" s="1461"/>
      <c r="P119" s="1461"/>
      <c r="Q119" s="1461"/>
      <c r="R119" s="1461"/>
      <c r="S119" s="1461"/>
    </row>
    <row r="120" spans="1:19" s="879" customFormat="1">
      <c r="A120" s="1198" t="str">
        <f>+A115&amp;".x"</f>
        <v>41.x</v>
      </c>
      <c r="B120" s="1199"/>
      <c r="C120" s="1197" t="s">
        <v>913</v>
      </c>
      <c r="D120" s="244"/>
      <c r="E120" s="248"/>
      <c r="F120" s="248"/>
      <c r="G120" s="248"/>
      <c r="H120" s="248"/>
      <c r="I120" s="1196"/>
      <c r="J120" s="74"/>
      <c r="K120" s="1461"/>
      <c r="L120" s="1454"/>
      <c r="M120" s="1454"/>
      <c r="N120" s="1454"/>
      <c r="O120" s="1461"/>
      <c r="P120" s="1461"/>
      <c r="Q120" s="1461"/>
      <c r="R120" s="1461"/>
      <c r="S120" s="1461"/>
    </row>
    <row r="121" spans="1:19">
      <c r="A121" s="811">
        <f>+A115+1</f>
        <v>42</v>
      </c>
      <c r="B121" s="250"/>
      <c r="C121" s="874" t="str">
        <f>+"Total  "&amp;C115</f>
        <v>Total  Regulatory Commission Expense Account 928</v>
      </c>
      <c r="D121" s="152">
        <f>SUM(D116:D120)</f>
        <v>4899</v>
      </c>
      <c r="E121" s="75"/>
      <c r="F121" s="75"/>
      <c r="G121" s="75"/>
      <c r="H121" s="494"/>
      <c r="I121" s="902" t="str">
        <f>+"Sum Ln "&amp;A115&amp;" Subparts"</f>
        <v>Sum Ln 41 Subparts</v>
      </c>
      <c r="L121" s="170"/>
    </row>
    <row r="122" spans="1:19">
      <c r="A122" s="811">
        <f>+A121+1</f>
        <v>43</v>
      </c>
      <c r="B122" s="75"/>
      <c r="C122" s="592"/>
      <c r="D122" s="152"/>
      <c r="E122" s="236"/>
      <c r="F122" s="494"/>
      <c r="G122" s="249"/>
      <c r="H122" s="249"/>
      <c r="I122" s="253"/>
    </row>
    <row r="123" spans="1:19">
      <c r="A123" s="811">
        <f>+A122+1</f>
        <v>44</v>
      </c>
      <c r="B123" s="588" t="s">
        <v>96</v>
      </c>
      <c r="C123" s="585"/>
      <c r="D123" s="586"/>
      <c r="E123" s="586"/>
      <c r="F123" s="587"/>
      <c r="G123" s="589"/>
      <c r="H123" s="590"/>
      <c r="I123" s="654"/>
      <c r="K123" s="38"/>
      <c r="L123" s="38"/>
      <c r="M123" s="38"/>
    </row>
    <row r="124" spans="1:19" s="39" customFormat="1" ht="13.2" customHeight="1">
      <c r="A124" s="811">
        <f>+A123+1</f>
        <v>45</v>
      </c>
      <c r="B124" s="211" t="s">
        <v>67</v>
      </c>
      <c r="C124" s="211" t="s">
        <v>114</v>
      </c>
      <c r="D124" s="211" t="s">
        <v>55</v>
      </c>
      <c r="E124" s="211" t="s">
        <v>68</v>
      </c>
      <c r="F124" s="211" t="s">
        <v>66</v>
      </c>
      <c r="G124" s="211" t="s">
        <v>156</v>
      </c>
      <c r="H124" s="211" t="s">
        <v>69</v>
      </c>
      <c r="I124" s="211" t="s">
        <v>169</v>
      </c>
      <c r="J124" s="74"/>
      <c r="K124" s="38"/>
      <c r="L124" s="38"/>
      <c r="M124" s="38"/>
      <c r="N124" s="38"/>
      <c r="O124" s="38"/>
      <c r="P124" s="38"/>
      <c r="Q124" s="38"/>
      <c r="R124" s="38"/>
      <c r="S124" s="38"/>
    </row>
    <row r="125" spans="1:19" s="39" customFormat="1" ht="13.95" customHeight="1">
      <c r="A125" s="811">
        <f>+A124+1</f>
        <v>46</v>
      </c>
      <c r="B125" s="205" t="s">
        <v>1465</v>
      </c>
      <c r="C125" s="592"/>
      <c r="D125" s="152"/>
      <c r="E125" s="236"/>
      <c r="F125" s="494"/>
      <c r="G125" s="249"/>
      <c r="H125" s="249"/>
      <c r="I125" s="253"/>
      <c r="J125" s="74" t="s">
        <v>1462</v>
      </c>
      <c r="K125" s="74"/>
      <c r="L125" s="248"/>
      <c r="M125" s="248"/>
      <c r="N125" s="38"/>
      <c r="O125" s="38"/>
      <c r="P125" s="38"/>
      <c r="Q125" s="38"/>
      <c r="R125" s="38"/>
      <c r="S125" s="38"/>
    </row>
    <row r="126" spans="1:19">
      <c r="A126" s="811">
        <f>+A125+1</f>
        <v>47</v>
      </c>
      <c r="B126" s="75"/>
      <c r="C126" s="252" t="s">
        <v>783</v>
      </c>
      <c r="D126" s="260"/>
      <c r="E126" s="236"/>
      <c r="F126" s="494"/>
      <c r="G126" s="249"/>
      <c r="H126" s="249"/>
      <c r="I126" s="74"/>
    </row>
    <row r="127" spans="1:19">
      <c r="A127" s="813">
        <f>+A126+0.1</f>
        <v>47.1</v>
      </c>
      <c r="B127" s="75"/>
      <c r="C127" s="539" t="s">
        <v>776</v>
      </c>
      <c r="D127" s="260">
        <f>+'WP10 Storm'!E50</f>
        <v>0</v>
      </c>
      <c r="E127" s="236"/>
      <c r="F127" s="494"/>
      <c r="G127" s="249"/>
      <c r="H127" s="249"/>
      <c r="I127" s="202" t="str">
        <f>+"WP10 Storm Ln "&amp;'WP10 Storm'!A50&amp;" Column "&amp;'WP10 Storm'!E6</f>
        <v xml:space="preserve">WP10 Storm Ln 13 Column D </v>
      </c>
    </row>
    <row r="128" spans="1:19">
      <c r="A128" s="813">
        <f>+A127+0.1</f>
        <v>47.2</v>
      </c>
      <c r="B128" s="75"/>
      <c r="C128" s="539" t="s">
        <v>777</v>
      </c>
      <c r="D128" s="260">
        <f>+'WP AJ1 MISO'!K66</f>
        <v>-2090.4499999999998</v>
      </c>
      <c r="E128" s="236"/>
      <c r="F128" s="494"/>
      <c r="G128" s="249"/>
      <c r="H128" s="249"/>
      <c r="I128" s="202" t="str">
        <f>+"WP AJ1 MISO Ln "&amp;'WP AJ1 MISO'!A66&amp;" Column "&amp;'WP AJ1 MISO'!K8</f>
        <v>WP AJ1 MISO Ln 13 Column J</v>
      </c>
    </row>
    <row r="129" spans="1:19">
      <c r="A129" s="813">
        <f>+A128+0.1</f>
        <v>47.300000000000004</v>
      </c>
      <c r="B129" s="75"/>
      <c r="C129" s="539" t="s">
        <v>1156</v>
      </c>
      <c r="D129" s="260">
        <f>-'WP AJ2 ITC'!F52</f>
        <v>0</v>
      </c>
      <c r="E129" s="236"/>
      <c r="F129" s="494"/>
      <c r="G129" s="249"/>
      <c r="H129" s="249"/>
      <c r="I129" s="202" t="str">
        <f>"WP AJ2 ITC Ln "&amp;'WP AJ2 ITC'!A52&amp;" Column "&amp;'WP AJ2 ITC'!F6</f>
        <v>WP AJ2 ITC Ln 13 Column D</v>
      </c>
    </row>
    <row r="130" spans="1:19" s="1461" customFormat="1">
      <c r="A130" s="813">
        <f>+A129+0.1</f>
        <v>47.400000000000006</v>
      </c>
      <c r="B130" s="74"/>
      <c r="C130" s="539" t="s">
        <v>1408</v>
      </c>
      <c r="D130" s="1553">
        <f>+'WP AJ3 GPRD'!E25</f>
        <v>1360218.1333333333</v>
      </c>
      <c r="E130" s="248"/>
      <c r="F130" s="248"/>
      <c r="G130" s="248"/>
      <c r="H130" s="248"/>
      <c r="I130" s="1554" t="str">
        <f>+"WP AJ3 GPRD Ln "&amp;'WP AJ3 GPRD'!A25&amp;" Column "&amp;LEFT('WP AJ3 GPRD'!E5,1)</f>
        <v>WP AJ3 GPRD Ln 2 Column D</v>
      </c>
      <c r="J130" s="74" t="s">
        <v>1461</v>
      </c>
      <c r="K130" s="74"/>
      <c r="L130" s="248"/>
      <c r="M130" s="1454"/>
      <c r="N130" s="1454"/>
    </row>
    <row r="131" spans="1:19" s="879" customFormat="1">
      <c r="A131" s="1198">
        <f>+A130+0.1</f>
        <v>47.500000000000007</v>
      </c>
      <c r="B131" s="1199"/>
      <c r="C131" s="1197" t="s">
        <v>913</v>
      </c>
      <c r="D131" s="179"/>
      <c r="E131" s="248"/>
      <c r="F131" s="248"/>
      <c r="G131" s="248"/>
      <c r="H131" s="248"/>
      <c r="I131" s="1196"/>
      <c r="J131" s="74"/>
      <c r="K131" s="1461"/>
      <c r="L131" s="1454"/>
      <c r="M131" s="1454"/>
      <c r="N131" s="1454"/>
      <c r="O131" s="1461"/>
      <c r="P131" s="1461"/>
      <c r="Q131" s="1461"/>
      <c r="R131" s="1461"/>
      <c r="S131" s="1461"/>
    </row>
    <row r="132" spans="1:19" s="879" customFormat="1">
      <c r="A132" s="1198" t="s">
        <v>903</v>
      </c>
      <c r="B132" s="1199"/>
      <c r="C132" s="1197" t="s">
        <v>913</v>
      </c>
      <c r="D132" s="179"/>
      <c r="E132" s="248"/>
      <c r="F132" s="248"/>
      <c r="G132" s="248"/>
      <c r="H132" s="248"/>
      <c r="I132" s="1196"/>
      <c r="J132" s="74"/>
      <c r="K132" s="1461"/>
      <c r="L132" s="1454"/>
      <c r="M132" s="1454"/>
      <c r="N132" s="1454"/>
      <c r="O132" s="1461"/>
      <c r="P132" s="1461"/>
      <c r="Q132" s="1461"/>
      <c r="R132" s="1461"/>
      <c r="S132" s="1461"/>
    </row>
    <row r="133" spans="1:19" s="879" customFormat="1">
      <c r="A133" s="1198" t="str">
        <f>+A126&amp;".x"</f>
        <v>47.x</v>
      </c>
      <c r="B133" s="1199"/>
      <c r="C133" s="1197" t="s">
        <v>913</v>
      </c>
      <c r="D133" s="244"/>
      <c r="E133" s="248"/>
      <c r="F133" s="248"/>
      <c r="G133" s="248"/>
      <c r="H133" s="248"/>
      <c r="I133" s="1196"/>
      <c r="J133" s="74"/>
      <c r="K133" s="1461"/>
      <c r="L133" s="1454"/>
      <c r="M133" s="1454"/>
      <c r="N133" s="1454"/>
      <c r="O133" s="1461"/>
      <c r="P133" s="1461"/>
      <c r="Q133" s="1461"/>
      <c r="R133" s="1461"/>
      <c r="S133" s="1461"/>
    </row>
    <row r="134" spans="1:19">
      <c r="A134" s="811">
        <f>+A126+1</f>
        <v>48</v>
      </c>
      <c r="B134" s="75"/>
      <c r="C134" s="872" t="s">
        <v>490</v>
      </c>
      <c r="D134" s="249">
        <f>SUM(D127:D133)</f>
        <v>1358127.6833333333</v>
      </c>
      <c r="E134" s="494"/>
      <c r="F134" s="494"/>
      <c r="G134" s="249"/>
      <c r="H134" s="249"/>
      <c r="I134" s="908" t="str">
        <f>+"Sum Ln "&amp;A126&amp;" Subparts"</f>
        <v>Sum Ln 47 Subparts</v>
      </c>
    </row>
    <row r="135" spans="1:19">
      <c r="A135" s="811">
        <f>+A134+1</f>
        <v>49</v>
      </c>
      <c r="B135" s="75"/>
      <c r="C135" s="253"/>
      <c r="D135" s="260"/>
      <c r="E135" s="236"/>
      <c r="F135" s="494"/>
      <c r="G135" s="249"/>
      <c r="H135" s="249"/>
      <c r="I135" s="253"/>
    </row>
    <row r="136" spans="1:19">
      <c r="A136" s="811">
        <f>+A135+1</f>
        <v>50</v>
      </c>
      <c r="B136" s="588" t="s">
        <v>39</v>
      </c>
      <c r="C136" s="585"/>
      <c r="D136" s="586"/>
      <c r="E136" s="586"/>
      <c r="F136" s="587"/>
      <c r="G136" s="589"/>
      <c r="H136" s="590"/>
      <c r="I136" s="649"/>
      <c r="K136" s="248"/>
    </row>
    <row r="137" spans="1:19">
      <c r="A137" s="811">
        <f>+A136+1</f>
        <v>51</v>
      </c>
      <c r="B137" s="41"/>
      <c r="C137" s="608"/>
      <c r="D137" s="174"/>
      <c r="E137" s="174"/>
      <c r="F137" s="609"/>
      <c r="G137" s="40"/>
      <c r="H137" s="529"/>
      <c r="I137" s="656"/>
      <c r="K137" s="248"/>
      <c r="O137" s="248"/>
      <c r="P137" s="248"/>
    </row>
    <row r="138" spans="1:19">
      <c r="A138" s="811">
        <f>+A137+1</f>
        <v>52</v>
      </c>
      <c r="B138" s="41"/>
      <c r="C138" s="205" t="s">
        <v>784</v>
      </c>
      <c r="D138" s="248"/>
      <c r="E138" s="174"/>
      <c r="F138" s="609"/>
      <c r="G138" s="40"/>
      <c r="H138" s="529"/>
      <c r="I138" s="74"/>
      <c r="K138" s="248"/>
      <c r="O138" s="248"/>
      <c r="P138" s="248"/>
    </row>
    <row r="139" spans="1:19">
      <c r="A139" s="813">
        <f>+A138+0.1</f>
        <v>52.1</v>
      </c>
      <c r="B139" s="41"/>
      <c r="C139" s="539" t="s">
        <v>776</v>
      </c>
      <c r="D139" s="1397">
        <f>+'WP10 Storm'!E51</f>
        <v>0</v>
      </c>
      <c r="E139" s="174"/>
      <c r="F139" s="609"/>
      <c r="G139" s="40"/>
      <c r="H139" s="529"/>
      <c r="I139" s="202" t="str">
        <f>+"WP10 Storm Ln "&amp;'WP10 Storm'!A51&amp;" Column "&amp;'WP10 Storm'!E6</f>
        <v xml:space="preserve">WP10 Storm Ln 14 Column D </v>
      </c>
      <c r="K139" s="248"/>
      <c r="O139" s="248"/>
      <c r="P139" s="248"/>
    </row>
    <row r="140" spans="1:19">
      <c r="A140" s="813">
        <f>+A139+0.1</f>
        <v>52.2</v>
      </c>
      <c r="B140" s="41"/>
      <c r="C140" s="539" t="s">
        <v>777</v>
      </c>
      <c r="D140" s="141">
        <f>+'WP AJ1 MISO'!K67</f>
        <v>-1172.5</v>
      </c>
      <c r="E140" s="174"/>
      <c r="F140" s="609"/>
      <c r="G140" s="40"/>
      <c r="H140" s="529"/>
      <c r="I140" s="202" t="str">
        <f>+"WP AJ1 MISO Ln "&amp;'WP AJ1 MISO'!A67&amp;" Column "&amp;'WP AJ1 MISO'!K8</f>
        <v>WP AJ1 MISO Ln 14 Column J</v>
      </c>
      <c r="K140" s="248"/>
      <c r="O140" s="248"/>
      <c r="P140" s="248"/>
    </row>
    <row r="141" spans="1:19">
      <c r="A141" s="813">
        <f>+A140+0.1</f>
        <v>52.300000000000004</v>
      </c>
      <c r="B141" s="41"/>
      <c r="C141" s="539" t="s">
        <v>1156</v>
      </c>
      <c r="D141" s="141">
        <f>-'WP AJ2 ITC'!F53</f>
        <v>0</v>
      </c>
      <c r="E141" s="174"/>
      <c r="F141" s="609"/>
      <c r="G141" s="40"/>
      <c r="H141" s="529"/>
      <c r="I141" s="202" t="str">
        <f>"WP AJ2 ITC Ln "&amp;'WP AJ2 ITC'!A53&amp;" Column "&amp;'WP AJ2 ITC'!F6</f>
        <v>WP AJ2 ITC Ln 14 Column D</v>
      </c>
      <c r="K141" s="248"/>
      <c r="O141" s="248"/>
      <c r="P141" s="248"/>
    </row>
    <row r="142" spans="1:19" s="879" customFormat="1">
      <c r="A142" s="1198">
        <f>+A141+0.1</f>
        <v>52.400000000000006</v>
      </c>
      <c r="B142" s="1199"/>
      <c r="C142" s="1197" t="s">
        <v>913</v>
      </c>
      <c r="D142" s="179"/>
      <c r="E142" s="248"/>
      <c r="F142" s="248"/>
      <c r="G142" s="248"/>
      <c r="H142" s="248"/>
      <c r="I142" s="1196"/>
      <c r="J142" s="74"/>
      <c r="K142" s="1461"/>
      <c r="L142" s="1454"/>
      <c r="M142" s="1454"/>
      <c r="N142" s="1454"/>
      <c r="O142" s="1461"/>
      <c r="P142" s="1461"/>
      <c r="Q142" s="1461"/>
      <c r="R142" s="1461"/>
      <c r="S142" s="1461"/>
    </row>
    <row r="143" spans="1:19" s="879" customFormat="1">
      <c r="A143" s="1198" t="s">
        <v>903</v>
      </c>
      <c r="B143" s="1199"/>
      <c r="C143" s="1197" t="s">
        <v>913</v>
      </c>
      <c r="D143" s="179"/>
      <c r="E143" s="248"/>
      <c r="F143" s="248"/>
      <c r="G143" s="248"/>
      <c r="H143" s="248"/>
      <c r="I143" s="1196"/>
      <c r="J143" s="74"/>
      <c r="K143" s="1461"/>
      <c r="L143" s="1454"/>
      <c r="M143" s="1454"/>
      <c r="N143" s="1454"/>
      <c r="O143" s="1461"/>
      <c r="P143" s="1461"/>
      <c r="Q143" s="1461"/>
      <c r="R143" s="1461"/>
      <c r="S143" s="1461"/>
    </row>
    <row r="144" spans="1:19" s="879" customFormat="1">
      <c r="A144" s="1198" t="str">
        <f>+A138&amp;".x"</f>
        <v>52.x</v>
      </c>
      <c r="B144" s="1199"/>
      <c r="C144" s="1197" t="s">
        <v>913</v>
      </c>
      <c r="D144" s="244"/>
      <c r="E144" s="248"/>
      <c r="F144" s="248"/>
      <c r="G144" s="248"/>
      <c r="H144" s="248"/>
      <c r="I144" s="1196"/>
      <c r="J144" s="74"/>
      <c r="K144" s="1461"/>
      <c r="L144" s="1454"/>
      <c r="M144" s="1454"/>
      <c r="N144" s="1454"/>
      <c r="O144" s="1461"/>
      <c r="P144" s="1461"/>
      <c r="Q144" s="1461"/>
      <c r="R144" s="1461"/>
      <c r="S144" s="1461"/>
    </row>
    <row r="145" spans="1:16">
      <c r="A145" s="811">
        <f>+A138+1</f>
        <v>53</v>
      </c>
      <c r="B145" s="41"/>
      <c r="C145" s="872" t="s">
        <v>548</v>
      </c>
      <c r="D145" s="249">
        <f>SUM(D139:D144)</f>
        <v>-1172.5</v>
      </c>
      <c r="E145" s="174"/>
      <c r="F145" s="609"/>
      <c r="G145" s="40"/>
      <c r="H145" s="529"/>
      <c r="I145" s="908" t="str">
        <f>+"Sum Ln "&amp;A138&amp;" Subparts"</f>
        <v>Sum Ln 52 Subparts</v>
      </c>
      <c r="K145" s="248"/>
      <c r="O145" s="248"/>
      <c r="P145" s="248"/>
    </row>
    <row r="146" spans="1:16">
      <c r="A146" s="811">
        <f>+A145+1</f>
        <v>54</v>
      </c>
      <c r="B146" s="41"/>
      <c r="C146" s="608"/>
      <c r="D146" s="174"/>
      <c r="E146" s="174"/>
      <c r="F146" s="609"/>
      <c r="G146" s="40"/>
      <c r="H146" s="529"/>
      <c r="I146" s="656"/>
      <c r="K146" s="248"/>
      <c r="O146" s="248"/>
      <c r="P146" s="248"/>
    </row>
    <row r="147" spans="1:16">
      <c r="A147" s="811">
        <f>+A146+1</f>
        <v>55</v>
      </c>
      <c r="B147" s="588" t="s">
        <v>487</v>
      </c>
      <c r="C147" s="585"/>
      <c r="D147" s="586"/>
      <c r="E147" s="586"/>
      <c r="F147" s="587"/>
      <c r="G147" s="589"/>
      <c r="H147" s="590"/>
      <c r="I147" s="649"/>
      <c r="K147" s="560"/>
      <c r="L147" s="261"/>
      <c r="M147" s="513"/>
    </row>
    <row r="148" spans="1:16">
      <c r="A148" s="811">
        <f>+A147+1</f>
        <v>56</v>
      </c>
      <c r="D148" s="663" t="s">
        <v>1101</v>
      </c>
      <c r="E148" s="251"/>
      <c r="F148" s="663" t="s">
        <v>315</v>
      </c>
      <c r="K148" s="560"/>
      <c r="L148" s="261"/>
      <c r="M148" s="513"/>
    </row>
    <row r="149" spans="1:16" ht="15">
      <c r="A149" s="811">
        <f>+A148+1</f>
        <v>57</v>
      </c>
      <c r="C149" s="582" t="s">
        <v>77</v>
      </c>
      <c r="D149" s="509" t="s">
        <v>520</v>
      </c>
      <c r="E149" s="251"/>
      <c r="F149" s="509" t="s">
        <v>166</v>
      </c>
      <c r="G149" s="256"/>
      <c r="H149" s="248"/>
      <c r="I149" s="248"/>
      <c r="K149" s="560"/>
      <c r="L149" s="261"/>
      <c r="M149" s="513"/>
    </row>
    <row r="150" spans="1:16">
      <c r="A150" s="813">
        <f>+A149+0.1</f>
        <v>57.1</v>
      </c>
      <c r="B150" s="254"/>
      <c r="C150" s="580" t="s">
        <v>450</v>
      </c>
      <c r="D150" s="249">
        <f>+'WP04 PIS'!H23</f>
        <v>16805633.511538461</v>
      </c>
      <c r="E150" s="534"/>
      <c r="F150" s="249">
        <f>+'WP04 PIS'!H21</f>
        <v>16742275.5</v>
      </c>
      <c r="G150" s="508"/>
      <c r="H150" s="249"/>
      <c r="I150" s="151" t="str">
        <f>+"WP04 PIS Ln "&amp;'WP04 PIS'!A23&amp;" &amp; Ln "&amp;'WP04 PIS'!A21&amp;" Col "&amp;'WP04 PIS'!H5</f>
        <v>WP04 PIS Ln 18 &amp; Ln 16 Col G</v>
      </c>
      <c r="K150" s="560"/>
      <c r="L150" s="261"/>
      <c r="M150" s="513"/>
    </row>
    <row r="151" spans="1:16">
      <c r="A151" s="813">
        <f>+A150+0.1</f>
        <v>57.2</v>
      </c>
      <c r="B151" s="254"/>
      <c r="C151" s="580" t="s">
        <v>261</v>
      </c>
      <c r="D151" s="249">
        <f>+'WP04 PIS'!I23</f>
        <v>51420688.420769222</v>
      </c>
      <c r="E151" s="534"/>
      <c r="F151" s="249">
        <f>+'WP04 PIS'!I21</f>
        <v>77671041.900000006</v>
      </c>
      <c r="G151" s="508"/>
      <c r="H151" s="249"/>
      <c r="I151" s="151" t="str">
        <f>+"WP04 PIS Ln "&amp;'WP04 PIS'!A23&amp;" &amp; Ln "&amp;'WP04 PIS'!A21&amp;" Col "&amp;'WP04 PIS'!I5</f>
        <v>WP04 PIS Ln 18 &amp; Ln 16 Col H</v>
      </c>
      <c r="J151" s="560"/>
    </row>
    <row r="152" spans="1:16" s="74" customFormat="1">
      <c r="A152" s="813">
        <f>+A151+0.1</f>
        <v>57.300000000000004</v>
      </c>
      <c r="B152" s="254"/>
      <c r="C152" s="580" t="s">
        <v>1110</v>
      </c>
      <c r="D152" s="249">
        <f>+'WP15 Radials'!G8</f>
        <v>21988063.760000002</v>
      </c>
      <c r="E152" s="885"/>
      <c r="F152" s="249">
        <f>+'WP15 Radials'!F8</f>
        <v>22163129.130000003</v>
      </c>
      <c r="G152" s="508"/>
      <c r="H152" s="249"/>
      <c r="I152" s="151" t="str">
        <f>+"WP15 Radials Ln"&amp;'WP15 Radials'!A8&amp;" Col "&amp;'WP15 Radials'!G5&amp;" &amp; "&amp;'WP15 Radials'!F5</f>
        <v>WP15 Radials Ln3 Col F &amp; E</v>
      </c>
      <c r="K152" s="40"/>
      <c r="L152" s="40"/>
      <c r="M152" s="40"/>
      <c r="N152" s="248"/>
      <c r="O152" s="248"/>
      <c r="P152" s="248"/>
    </row>
    <row r="153" spans="1:16">
      <c r="A153" s="813">
        <f>+A152+0.1</f>
        <v>57.400000000000006</v>
      </c>
      <c r="B153" s="254"/>
      <c r="C153" s="580" t="s">
        <v>265</v>
      </c>
      <c r="D153" s="532">
        <f>+'WP16 Interconn'!P19</f>
        <v>0</v>
      </c>
      <c r="E153" s="534"/>
      <c r="F153" s="532">
        <f>+'WP16 Interconn'!O19</f>
        <v>0</v>
      </c>
      <c r="G153" s="508"/>
      <c r="H153" s="249"/>
      <c r="I153" s="151" t="str">
        <f>+"WP16 Interconn Ln "&amp;'WP16 Interconn'!A19&amp;" Col "&amp;'WP16 Interconn'!P5&amp;" &amp; "&amp;'WP16 Interconn'!O5</f>
        <v>WP16 Interconn Ln 7 Col O &amp; N</v>
      </c>
      <c r="J153" s="249"/>
      <c r="K153" s="40"/>
      <c r="L153" s="40"/>
      <c r="M153" s="40"/>
      <c r="O153" s="248"/>
      <c r="P153" s="248"/>
    </row>
    <row r="154" spans="1:16">
      <c r="A154" s="811">
        <f>+A149+1</f>
        <v>58</v>
      </c>
      <c r="B154" s="254"/>
      <c r="C154" s="872" t="str">
        <f>+"Total "&amp;C149</f>
        <v>Total Excluded Transmission Facilities</v>
      </c>
      <c r="D154" s="249">
        <f>SUM(D150:D153)</f>
        <v>90214385.692307696</v>
      </c>
      <c r="E154" s="494"/>
      <c r="F154" s="494">
        <f>SUM(F150:F153)</f>
        <v>116576446.53</v>
      </c>
      <c r="G154" s="494"/>
      <c r="H154" s="494"/>
      <c r="I154" s="803" t="str">
        <f>+"Sum Ln "&amp;A149&amp;" Subparts"</f>
        <v>Sum Ln 57 Subparts</v>
      </c>
      <c r="K154" s="40"/>
      <c r="L154" s="40"/>
      <c r="M154" s="40"/>
      <c r="O154" s="248"/>
      <c r="P154" s="248"/>
    </row>
    <row r="155" spans="1:16">
      <c r="B155" s="248"/>
      <c r="C155" s="248"/>
      <c r="D155" s="248"/>
      <c r="E155" s="248"/>
      <c r="F155" s="248"/>
      <c r="G155" s="248"/>
      <c r="H155" s="248"/>
      <c r="I155" s="202"/>
      <c r="J155" s="249"/>
      <c r="K155" s="40"/>
      <c r="L155" s="40"/>
      <c r="M155" s="40"/>
      <c r="O155" s="248"/>
      <c r="P155" s="248"/>
    </row>
    <row r="156" spans="1:16">
      <c r="A156" s="537" t="s">
        <v>124</v>
      </c>
      <c r="B156" s="75"/>
      <c r="C156" s="579"/>
      <c r="D156" s="571"/>
      <c r="E156" s="570"/>
      <c r="F156" s="570"/>
      <c r="G156" s="570"/>
      <c r="H156" s="570"/>
      <c r="I156" s="653"/>
      <c r="J156" s="249"/>
      <c r="K156" s="40"/>
      <c r="L156" s="40"/>
      <c r="M156" s="40"/>
      <c r="O156" s="248"/>
      <c r="P156" s="248"/>
    </row>
    <row r="157" spans="1:16" ht="40.200000000000003" customHeight="1">
      <c r="A157" s="958" t="s">
        <v>170</v>
      </c>
      <c r="B157" s="1709" t="s">
        <v>1132</v>
      </c>
      <c r="C157" s="1709"/>
      <c r="D157" s="1709"/>
      <c r="E157" s="1709"/>
      <c r="F157" s="1709"/>
      <c r="G157" s="1709"/>
      <c r="H157" s="1709"/>
      <c r="I157" s="1709"/>
      <c r="J157" s="903"/>
      <c r="O157" s="248"/>
      <c r="P157" s="248"/>
    </row>
    <row r="158" spans="1:16" ht="27" customHeight="1">
      <c r="A158" s="1085" t="s">
        <v>316</v>
      </c>
      <c r="B158" s="1700" t="s">
        <v>918</v>
      </c>
      <c r="C158" s="1700"/>
      <c r="D158" s="1700"/>
      <c r="E158" s="1700"/>
      <c r="F158" s="1700"/>
      <c r="G158" s="1700"/>
      <c r="H158" s="1700"/>
      <c r="I158" s="1700"/>
      <c r="J158" s="903"/>
      <c r="O158" s="248"/>
      <c r="P158" s="248"/>
    </row>
    <row r="159" spans="1:16">
      <c r="A159" s="1085" t="s">
        <v>317</v>
      </c>
      <c r="B159" s="1708" t="str">
        <f>+"See Appendix A Note "&amp;'Appendix A'!A329</f>
        <v>See Appendix A Note X</v>
      </c>
      <c r="C159" s="1708"/>
      <c r="D159" s="875"/>
      <c r="E159" s="513"/>
      <c r="F159" s="513"/>
      <c r="G159" s="513"/>
      <c r="H159" s="513"/>
      <c r="I159" s="1086"/>
    </row>
    <row r="160" spans="1:16" ht="28.2" customHeight="1">
      <c r="A160" s="1085" t="s">
        <v>318</v>
      </c>
      <c r="B160" s="1707" t="s">
        <v>1111</v>
      </c>
      <c r="C160" s="1707"/>
      <c r="D160" s="1707"/>
      <c r="E160" s="1707"/>
      <c r="F160" s="1707"/>
      <c r="G160" s="1707"/>
      <c r="H160" s="1707"/>
      <c r="I160" s="1707"/>
    </row>
    <row r="161" spans="1:17" ht="67.2" customHeight="1">
      <c r="A161" s="1085" t="s">
        <v>319</v>
      </c>
      <c r="B161" s="1706" t="s">
        <v>849</v>
      </c>
      <c r="C161" s="1706"/>
      <c r="D161" s="1706"/>
      <c r="E161" s="1706"/>
      <c r="F161" s="1706"/>
      <c r="G161" s="1706"/>
      <c r="H161" s="1706"/>
      <c r="I161" s="1706"/>
      <c r="J161" s="1075"/>
      <c r="K161" s="1075"/>
      <c r="L161" s="1075"/>
      <c r="M161" s="1075"/>
      <c r="N161" s="1075"/>
      <c r="O161" s="1075"/>
      <c r="P161" s="1075"/>
      <c r="Q161" s="1075"/>
    </row>
    <row r="162" spans="1:17">
      <c r="B162" s="1706"/>
      <c r="C162" s="1706"/>
      <c r="D162" s="1706"/>
      <c r="E162" s="1706"/>
      <c r="F162" s="1706"/>
      <c r="G162" s="1706"/>
      <c r="H162" s="1706"/>
      <c r="I162" s="1706"/>
      <c r="J162" s="1706"/>
      <c r="K162" s="1706"/>
      <c r="L162" s="1706"/>
      <c r="M162" s="1706"/>
      <c r="N162" s="1706"/>
      <c r="O162" s="1706"/>
      <c r="P162" s="1706"/>
      <c r="Q162" s="1706"/>
    </row>
    <row r="163" spans="1:17">
      <c r="B163" s="1710"/>
      <c r="C163" s="1710"/>
      <c r="D163" s="1710"/>
      <c r="E163" s="1710"/>
      <c r="F163" s="1710"/>
      <c r="G163" s="1710"/>
      <c r="H163" s="1710"/>
      <c r="I163" s="1710"/>
      <c r="J163" s="1710"/>
      <c r="K163" s="1710"/>
      <c r="L163" s="1710"/>
      <c r="M163" s="1710"/>
      <c r="N163" s="1710"/>
      <c r="O163" s="1710"/>
      <c r="P163" s="1710"/>
      <c r="Q163" s="1710"/>
    </row>
    <row r="164" spans="1:17" ht="14.4">
      <c r="B164" s="1705"/>
      <c r="C164" s="1705"/>
      <c r="D164" s="1705"/>
      <c r="E164" s="1705"/>
      <c r="F164" s="1705"/>
      <c r="G164" s="1705"/>
      <c r="H164" s="1705"/>
      <c r="I164" s="1705"/>
      <c r="J164" s="1705"/>
      <c r="K164" s="1705"/>
      <c r="L164" s="1705"/>
      <c r="M164" s="1705"/>
      <c r="N164" s="1705"/>
      <c r="O164" s="1705"/>
      <c r="P164" s="1705"/>
      <c r="Q164" s="1705"/>
    </row>
  </sheetData>
  <mergeCells count="13">
    <mergeCell ref="A1:I1"/>
    <mergeCell ref="B158:I158"/>
    <mergeCell ref="J94:J96"/>
    <mergeCell ref="B164:Q164"/>
    <mergeCell ref="B161:I161"/>
    <mergeCell ref="B160:I160"/>
    <mergeCell ref="A3:I3"/>
    <mergeCell ref="A2:I2"/>
    <mergeCell ref="K109:L116"/>
    <mergeCell ref="B159:C159"/>
    <mergeCell ref="B157:I157"/>
    <mergeCell ref="B162:Q162"/>
    <mergeCell ref="B163:Q163"/>
  </mergeCells>
  <printOptions horizontalCentered="1"/>
  <pageMargins left="0.7" right="0.7" top="0.7" bottom="0.7" header="0.3" footer="0.5"/>
  <pageSetup scale="67" fitToHeight="19" orientation="landscape" r:id="rId1"/>
  <headerFooter>
    <oddFooter>&amp;CPage &amp;P of &amp;N&amp;R&amp;A</oddFooter>
  </headerFooter>
  <rowBreaks count="3" manualBreakCount="3">
    <brk id="57" max="8" man="1"/>
    <brk id="104" max="8" man="1"/>
    <brk id="146" max="8" man="1"/>
  </rowBreaks>
  <ignoredErrors>
    <ignoredError sqref="A157:A16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7"/>
  <sheetViews>
    <sheetView workbookViewId="0">
      <selection activeCell="A9" sqref="A9"/>
    </sheetView>
  </sheetViews>
  <sheetFormatPr defaultColWidth="8.88671875" defaultRowHeight="13.2"/>
  <cols>
    <col min="1" max="1" width="6.44140625" style="39" bestFit="1" customWidth="1"/>
    <col min="2" max="2" width="33.44140625" style="39" customWidth="1"/>
    <col min="3" max="3" width="14.88671875" style="236" customWidth="1"/>
    <col min="4" max="4" width="26.33203125" style="717" customWidth="1"/>
    <col min="5" max="5" width="10.88671875" style="39" customWidth="1"/>
    <col min="6" max="6" width="18.109375" style="38" customWidth="1"/>
    <col min="7" max="7" width="20.33203125" style="38" customWidth="1"/>
    <col min="8" max="8" width="8.88671875" style="39"/>
    <col min="9" max="9" width="21.109375" style="39" customWidth="1"/>
    <col min="10" max="10" width="19.109375" style="39" customWidth="1"/>
    <col min="11" max="16384" width="8.88671875" style="39"/>
  </cols>
  <sheetData>
    <row r="1" spans="1:10">
      <c r="A1" s="1711" t="str">
        <f>+'MISO Cover'!C6</f>
        <v>Entergy Texas, Inc.</v>
      </c>
      <c r="B1" s="1711"/>
      <c r="C1" s="1711"/>
      <c r="D1" s="1711"/>
      <c r="E1" s="166"/>
      <c r="F1" s="531"/>
      <c r="G1" s="531"/>
      <c r="H1" s="166"/>
      <c r="I1" s="166"/>
      <c r="J1" s="166"/>
    </row>
    <row r="2" spans="1:10" s="489" customFormat="1">
      <c r="A2" s="1713" t="s">
        <v>665</v>
      </c>
      <c r="B2" s="1713"/>
      <c r="C2" s="1713"/>
      <c r="D2" s="1713"/>
      <c r="E2" s="481"/>
      <c r="F2" s="816"/>
      <c r="G2" s="816"/>
      <c r="H2" s="735"/>
    </row>
    <row r="3" spans="1:10">
      <c r="A3" s="1712" t="str">
        <f>+'MISO Cover'!K4</f>
        <v>For  the 12 Months Ended 12/31/2016</v>
      </c>
      <c r="B3" s="1712"/>
      <c r="C3" s="1712"/>
      <c r="D3" s="1712"/>
      <c r="E3" s="482"/>
      <c r="F3" s="817"/>
      <c r="G3" s="817"/>
      <c r="H3" s="736"/>
      <c r="I3" s="736"/>
      <c r="J3" s="736"/>
    </row>
    <row r="4" spans="1:10">
      <c r="A4" s="716"/>
      <c r="B4" s="716"/>
      <c r="C4" s="716"/>
      <c r="D4" s="716"/>
      <c r="E4" s="716"/>
      <c r="F4" s="817"/>
      <c r="G4" s="817"/>
      <c r="H4" s="736"/>
      <c r="I4" s="736"/>
      <c r="J4" s="736"/>
    </row>
    <row r="5" spans="1:10">
      <c r="B5" s="472" t="s">
        <v>67</v>
      </c>
      <c r="C5" s="473" t="s">
        <v>114</v>
      </c>
      <c r="D5" s="472" t="s">
        <v>55</v>
      </c>
      <c r="E5" s="472"/>
      <c r="F5" s="804"/>
      <c r="G5" s="804"/>
      <c r="H5" s="472"/>
      <c r="I5" s="472"/>
      <c r="J5" s="472"/>
    </row>
    <row r="6" spans="1:10" s="474" customFormat="1">
      <c r="A6" s="474" t="s">
        <v>277</v>
      </c>
      <c r="B6" s="1416" t="s">
        <v>112</v>
      </c>
      <c r="C6" s="1417" t="s">
        <v>126</v>
      </c>
      <c r="D6" s="1417" t="s">
        <v>140</v>
      </c>
      <c r="E6" s="475"/>
      <c r="F6" s="818"/>
      <c r="G6" s="819"/>
      <c r="H6" s="737"/>
      <c r="I6" s="737"/>
      <c r="J6" s="737"/>
    </row>
    <row r="7" spans="1:10">
      <c r="A7" s="190">
        <v>1</v>
      </c>
      <c r="B7" s="479" t="s">
        <v>63</v>
      </c>
      <c r="C7" s="473"/>
      <c r="D7" s="477"/>
      <c r="E7" s="477"/>
      <c r="F7" s="820"/>
      <c r="G7" s="820"/>
      <c r="H7" s="472"/>
      <c r="I7" s="472"/>
      <c r="J7" s="472"/>
    </row>
    <row r="8" spans="1:10">
      <c r="A8" s="190">
        <f>+A7+0.1</f>
        <v>1.1000000000000001</v>
      </c>
      <c r="B8" s="476" t="s">
        <v>206</v>
      </c>
      <c r="C8" s="478">
        <v>2193709.8600000031</v>
      </c>
      <c r="D8" s="657" t="s">
        <v>609</v>
      </c>
      <c r="E8" s="1591" t="s">
        <v>1534</v>
      </c>
      <c r="F8" s="820"/>
      <c r="G8" s="820"/>
      <c r="H8" s="472"/>
      <c r="I8" s="472"/>
      <c r="J8" s="472"/>
    </row>
    <row r="9" spans="1:10">
      <c r="A9" s="190">
        <f>+A8+0.1</f>
        <v>1.2000000000000002</v>
      </c>
      <c r="B9" s="610" t="s">
        <v>207</v>
      </c>
      <c r="C9" s="611">
        <v>4177601.6700000041</v>
      </c>
      <c r="D9" s="657" t="s">
        <v>738</v>
      </c>
      <c r="E9" s="655" t="s">
        <v>1533</v>
      </c>
      <c r="F9" s="820"/>
      <c r="G9" s="820"/>
      <c r="H9" s="472"/>
      <c r="I9" s="472"/>
      <c r="J9" s="472"/>
    </row>
    <row r="10" spans="1:10">
      <c r="A10" s="190">
        <f>+A7+1</f>
        <v>2</v>
      </c>
      <c r="B10" s="899" t="s">
        <v>113</v>
      </c>
      <c r="C10" s="900">
        <f>+C8+C9</f>
        <v>6371311.5300000068</v>
      </c>
      <c r="D10" s="901" t="str">
        <f>+"Sum Ln "&amp;A7&amp;" Subparts"</f>
        <v>Sum Ln 1 Subparts</v>
      </c>
      <c r="E10" s="655"/>
    </row>
    <row r="11" spans="1:10">
      <c r="A11" s="190">
        <f>+A10+1</f>
        <v>3</v>
      </c>
      <c r="D11" s="539"/>
      <c r="E11" s="655"/>
    </row>
    <row r="12" spans="1:10">
      <c r="A12" s="190">
        <f>+A11+1</f>
        <v>4</v>
      </c>
      <c r="B12" s="479" t="s">
        <v>64</v>
      </c>
      <c r="D12" s="539"/>
      <c r="E12" s="655"/>
    </row>
    <row r="13" spans="1:10">
      <c r="A13" s="190">
        <f>+A12+0.01</f>
        <v>4.01</v>
      </c>
      <c r="B13" s="476" t="s">
        <v>206</v>
      </c>
      <c r="C13" s="192">
        <v>34383884.440000005</v>
      </c>
      <c r="D13" s="657" t="s">
        <v>610</v>
      </c>
      <c r="E13" s="655" t="s">
        <v>1535</v>
      </c>
    </row>
    <row r="14" spans="1:10">
      <c r="A14" s="190">
        <f t="shared" ref="A14:A24" si="0">+A13+0.01</f>
        <v>4.0199999999999996</v>
      </c>
      <c r="B14" s="39" t="s">
        <v>208</v>
      </c>
      <c r="C14" s="192">
        <v>4631119.04</v>
      </c>
      <c r="D14" s="657" t="s">
        <v>738</v>
      </c>
      <c r="E14" s="655" t="s">
        <v>1531</v>
      </c>
    </row>
    <row r="15" spans="1:10">
      <c r="A15" s="190">
        <f t="shared" si="0"/>
        <v>4.0299999999999994</v>
      </c>
      <c r="B15" s="39" t="s">
        <v>209</v>
      </c>
      <c r="C15" s="73">
        <f>+C9</f>
        <v>4177601.6700000041</v>
      </c>
      <c r="D15" s="657" t="str">
        <f>+"Line "&amp;A9</f>
        <v>Line 1.2</v>
      </c>
      <c r="E15" s="655"/>
    </row>
    <row r="16" spans="1:10">
      <c r="A16" s="190">
        <f t="shared" si="0"/>
        <v>4.0399999999999991</v>
      </c>
      <c r="B16" s="39" t="s">
        <v>210</v>
      </c>
      <c r="C16" s="192">
        <v>0</v>
      </c>
      <c r="D16" s="657" t="s">
        <v>738</v>
      </c>
      <c r="E16" s="655" t="s">
        <v>1536</v>
      </c>
    </row>
    <row r="17" spans="1:10">
      <c r="A17" s="190">
        <f t="shared" si="0"/>
        <v>4.0499999999999989</v>
      </c>
      <c r="B17" s="39" t="s">
        <v>211</v>
      </c>
      <c r="C17" s="192">
        <v>1333726.1399999999</v>
      </c>
      <c r="D17" s="657" t="s">
        <v>738</v>
      </c>
      <c r="E17" s="655" t="s">
        <v>1530</v>
      </c>
    </row>
    <row r="18" spans="1:10">
      <c r="A18" s="190">
        <f t="shared" si="0"/>
        <v>4.0599999999999987</v>
      </c>
      <c r="B18" s="39" t="s">
        <v>212</v>
      </c>
      <c r="C18" s="192">
        <v>2457803.0899999994</v>
      </c>
      <c r="D18" s="657" t="s">
        <v>738</v>
      </c>
      <c r="E18" s="655" t="s">
        <v>1528</v>
      </c>
    </row>
    <row r="19" spans="1:10">
      <c r="A19" s="190">
        <f t="shared" si="0"/>
        <v>4.0699999999999985</v>
      </c>
      <c r="B19" s="39" t="s">
        <v>213</v>
      </c>
      <c r="C19" s="192">
        <v>293827.58</v>
      </c>
      <c r="D19" s="657" t="s">
        <v>738</v>
      </c>
      <c r="E19" s="655" t="s">
        <v>1529</v>
      </c>
    </row>
    <row r="20" spans="1:10">
      <c r="A20" s="190">
        <f t="shared" si="0"/>
        <v>4.0799999999999983</v>
      </c>
      <c r="B20" s="39" t="s">
        <v>214</v>
      </c>
      <c r="C20" s="192">
        <v>100222.13000000002</v>
      </c>
      <c r="D20" s="657" t="s">
        <v>738</v>
      </c>
      <c r="E20" s="655" t="s">
        <v>1532</v>
      </c>
    </row>
    <row r="21" spans="1:10">
      <c r="A21" s="190">
        <f t="shared" si="0"/>
        <v>4.0899999999999981</v>
      </c>
      <c r="B21" s="39" t="s">
        <v>274</v>
      </c>
      <c r="C21" s="192">
        <v>16176014.319999995</v>
      </c>
      <c r="D21" s="657" t="s">
        <v>738</v>
      </c>
      <c r="E21" s="655" t="s">
        <v>1527</v>
      </c>
    </row>
    <row r="22" spans="1:10">
      <c r="A22" s="834">
        <f t="shared" si="0"/>
        <v>4.0999999999999979</v>
      </c>
      <c r="B22" s="39" t="s">
        <v>215</v>
      </c>
      <c r="C22" s="192">
        <v>0</v>
      </c>
      <c r="D22" s="657" t="s">
        <v>738</v>
      </c>
      <c r="E22" s="655" t="s">
        <v>1537</v>
      </c>
      <c r="F22" s="820"/>
      <c r="G22" s="820"/>
      <c r="H22" s="472"/>
      <c r="I22" s="472"/>
      <c r="J22" s="472"/>
    </row>
    <row r="23" spans="1:10">
      <c r="A23" s="834">
        <f t="shared" si="0"/>
        <v>4.1099999999999977</v>
      </c>
      <c r="B23" s="39" t="s">
        <v>216</v>
      </c>
      <c r="C23" s="192">
        <v>0</v>
      </c>
      <c r="D23" s="657" t="s">
        <v>738</v>
      </c>
      <c r="E23" s="655" t="s">
        <v>1538</v>
      </c>
      <c r="F23" s="820"/>
      <c r="G23" s="820"/>
      <c r="H23" s="472"/>
      <c r="I23" s="472"/>
      <c r="J23" s="472"/>
    </row>
    <row r="24" spans="1:10">
      <c r="A24" s="1182">
        <f t="shared" si="0"/>
        <v>4.1199999999999974</v>
      </c>
      <c r="B24" s="738" t="s">
        <v>913</v>
      </c>
      <c r="C24" s="192"/>
      <c r="D24" s="657"/>
      <c r="E24" s="655"/>
      <c r="F24" s="820"/>
      <c r="G24" s="820"/>
      <c r="H24" s="472"/>
      <c r="I24" s="472"/>
      <c r="J24" s="472"/>
    </row>
    <row r="25" spans="1:10">
      <c r="A25" s="1182" t="s">
        <v>904</v>
      </c>
      <c r="B25" s="738" t="s">
        <v>913</v>
      </c>
      <c r="C25" s="192"/>
      <c r="D25" s="657"/>
      <c r="E25" s="1592"/>
      <c r="F25" s="820"/>
      <c r="G25" s="820"/>
      <c r="H25" s="472"/>
      <c r="I25" s="472"/>
      <c r="J25" s="472"/>
    </row>
    <row r="26" spans="1:10">
      <c r="A26" s="1182" t="s">
        <v>905</v>
      </c>
      <c r="B26" s="1171" t="s">
        <v>913</v>
      </c>
      <c r="C26" s="244"/>
      <c r="D26" s="657"/>
      <c r="E26" s="1592"/>
      <c r="F26" s="820"/>
      <c r="G26" s="820"/>
      <c r="H26" s="472"/>
      <c r="I26" s="472"/>
      <c r="J26" s="472"/>
    </row>
    <row r="27" spans="1:10">
      <c r="A27" s="190">
        <f>+A12+1</f>
        <v>5</v>
      </c>
      <c r="B27" s="899" t="s">
        <v>8</v>
      </c>
      <c r="C27" s="73">
        <f>SUM(C13:C26)</f>
        <v>63554198.409999996</v>
      </c>
      <c r="D27" s="901" t="str">
        <f>+"Sum Ln "&amp;A12&amp;" Subparts"</f>
        <v>Sum Ln 4 Subparts</v>
      </c>
      <c r="E27" s="655"/>
    </row>
    <row r="28" spans="1:10">
      <c r="A28" s="190">
        <f>+A27+1</f>
        <v>6</v>
      </c>
      <c r="D28" s="264"/>
      <c r="E28" s="655"/>
    </row>
    <row r="29" spans="1:10">
      <c r="A29" s="190">
        <f>+A28+1</f>
        <v>7</v>
      </c>
      <c r="B29" s="480" t="s">
        <v>502</v>
      </c>
      <c r="D29" s="264"/>
      <c r="E29" s="655"/>
    </row>
    <row r="30" spans="1:10">
      <c r="A30" s="190">
        <f>+A29+0.1</f>
        <v>7.1</v>
      </c>
      <c r="B30" s="476" t="s">
        <v>206</v>
      </c>
      <c r="C30" s="192">
        <v>4284131.79</v>
      </c>
      <c r="D30" s="657" t="s">
        <v>611</v>
      </c>
      <c r="E30" s="655" t="s">
        <v>1539</v>
      </c>
    </row>
    <row r="31" spans="1:10">
      <c r="A31" s="190">
        <f>+A30+0.1</f>
        <v>7.1999999999999993</v>
      </c>
      <c r="B31" s="39" t="s">
        <v>274</v>
      </c>
      <c r="C31" s="73">
        <f>+C21</f>
        <v>16176014.319999995</v>
      </c>
      <c r="D31" s="657" t="str">
        <f>+"Line "&amp;A21</f>
        <v>Line 4.09</v>
      </c>
    </row>
    <row r="32" spans="1:10">
      <c r="A32" s="190">
        <f>+A31+0.1</f>
        <v>7.2999999999999989</v>
      </c>
      <c r="B32" s="522" t="s">
        <v>216</v>
      </c>
      <c r="C32" s="532">
        <f>+C23</f>
        <v>0</v>
      </c>
      <c r="D32" s="657" t="str">
        <f>+"Line "&amp;A23</f>
        <v>Line 4.11</v>
      </c>
    </row>
    <row r="33" spans="1:4">
      <c r="A33" s="190">
        <f>+A29+1</f>
        <v>8</v>
      </c>
      <c r="B33" s="899" t="str">
        <f>+"Total "&amp;B29</f>
        <v>Total A&amp;G Wages Expense</v>
      </c>
      <c r="C33" s="900">
        <f>SUM(C30:C32)</f>
        <v>20460146.109999996</v>
      </c>
      <c r="D33" s="901" t="str">
        <f>+"Sum Ln "&amp;A29&amp;" Subparts"</f>
        <v>Sum Ln 7 Subparts</v>
      </c>
    </row>
    <row r="34" spans="1:4">
      <c r="A34" s="717"/>
    </row>
    <row r="35" spans="1:4">
      <c r="A35" s="38" t="s">
        <v>295</v>
      </c>
      <c r="B35" s="38"/>
    </row>
    <row r="36" spans="1:4">
      <c r="A36" s="208" t="s">
        <v>170</v>
      </c>
      <c r="B36" s="38" t="s">
        <v>519</v>
      </c>
    </row>
    <row r="37" spans="1:4">
      <c r="A37" s="717"/>
    </row>
  </sheetData>
  <mergeCells count="3">
    <mergeCell ref="A1:D1"/>
    <mergeCell ref="A3:D3"/>
    <mergeCell ref="A2:D2"/>
  </mergeCells>
  <printOptions horizontalCentered="1"/>
  <pageMargins left="0.5" right="0.5" top="0.5" bottom="0.75" header="0.3" footer="0.5"/>
  <pageSetup orientation="portrait" r:id="rId1"/>
  <headerFooter>
    <oddFooter>&amp;CPage &amp;P of &amp;N&amp;R&amp;A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52"/>
  <sheetViews>
    <sheetView zoomScaleNormal="100" zoomScaleSheetLayoutView="75" workbookViewId="0">
      <selection activeCell="A9" sqref="A9"/>
    </sheetView>
  </sheetViews>
  <sheetFormatPr defaultColWidth="8.88671875" defaultRowHeight="13.2"/>
  <cols>
    <col min="1" max="1" width="6.44140625" style="489" customWidth="1"/>
    <col min="2" max="2" width="9.44140625" style="489" customWidth="1"/>
    <col min="3" max="3" width="12.44140625" style="489" bestFit="1" customWidth="1"/>
    <col min="4" max="4" width="16.44140625" style="489" bestFit="1" customWidth="1"/>
    <col min="5" max="5" width="12.44140625" style="489" bestFit="1" customWidth="1"/>
    <col min="6" max="6" width="16.5546875" style="236" customWidth="1"/>
    <col min="7" max="7" width="14.109375" style="236" bestFit="1" customWidth="1"/>
    <col min="8" max="8" width="11.44140625" style="489" bestFit="1" customWidth="1"/>
    <col min="9" max="9" width="12.33203125" style="489" bestFit="1" customWidth="1"/>
    <col min="10" max="10" width="14.33203125" style="489" customWidth="1"/>
    <col min="11" max="11" width="12.44140625" style="489" bestFit="1" customWidth="1"/>
    <col min="12" max="12" width="15.88671875" style="489" bestFit="1" customWidth="1"/>
    <col min="13" max="13" width="14.33203125" style="489" customWidth="1"/>
    <col min="14" max="26" width="8.88671875" style="489"/>
    <col min="27" max="27" width="11.5546875" style="489" customWidth="1"/>
    <col min="28" max="16384" width="8.88671875" style="489"/>
  </cols>
  <sheetData>
    <row r="1" spans="1:17">
      <c r="A1" s="1703" t="str">
        <f>+'MISO Cover'!C6</f>
        <v>Entergy Texas, Inc.</v>
      </c>
      <c r="B1" s="1703"/>
      <c r="C1" s="1703"/>
      <c r="D1" s="1703"/>
      <c r="E1" s="1703"/>
      <c r="F1" s="1703"/>
      <c r="G1" s="1703"/>
      <c r="H1" s="1703"/>
      <c r="I1" s="1703"/>
      <c r="J1" s="1703"/>
      <c r="K1" s="1703"/>
      <c r="L1" s="1703"/>
      <c r="M1" s="163"/>
      <c r="N1" s="163"/>
      <c r="O1" s="163"/>
      <c r="P1" s="163"/>
      <c r="Q1" s="163"/>
    </row>
    <row r="2" spans="1:17">
      <c r="A2" s="1715" t="s">
        <v>1460</v>
      </c>
      <c r="B2" s="1715"/>
      <c r="C2" s="1715"/>
      <c r="D2" s="1715"/>
      <c r="E2" s="1715"/>
      <c r="F2" s="1715"/>
      <c r="G2" s="1715"/>
      <c r="H2" s="1715"/>
      <c r="I2" s="1715"/>
      <c r="J2" s="1715"/>
      <c r="K2" s="1715"/>
      <c r="L2" s="1715"/>
      <c r="M2" s="249" t="s">
        <v>1462</v>
      </c>
      <c r="N2" s="163"/>
      <c r="O2" s="163"/>
      <c r="P2" s="163"/>
      <c r="Q2" s="163"/>
    </row>
    <row r="3" spans="1:17">
      <c r="A3" s="1716" t="str">
        <f>+'MISO Cover'!K4</f>
        <v>For  the 12 Months Ended 12/31/2016</v>
      </c>
      <c r="B3" s="1716"/>
      <c r="C3" s="1716"/>
      <c r="D3" s="1716"/>
      <c r="E3" s="1716"/>
      <c r="F3" s="1716"/>
      <c r="G3" s="1716"/>
      <c r="H3" s="1716"/>
      <c r="I3" s="1716"/>
      <c r="J3" s="1716"/>
      <c r="K3" s="1716"/>
      <c r="L3" s="1716"/>
      <c r="M3" s="163"/>
      <c r="N3" s="163"/>
      <c r="O3" s="163"/>
      <c r="P3" s="163"/>
      <c r="Q3" s="163"/>
    </row>
    <row r="4" spans="1:17">
      <c r="A4" s="499"/>
      <c r="B4" s="499"/>
      <c r="C4" s="499"/>
      <c r="D4" s="499"/>
      <c r="E4" s="499"/>
      <c r="M4" s="163"/>
      <c r="N4" s="163"/>
      <c r="O4" s="163"/>
      <c r="P4" s="163"/>
      <c r="Q4" s="163"/>
    </row>
    <row r="5" spans="1:17" s="504" customFormat="1">
      <c r="A5" s="600" t="s">
        <v>277</v>
      </c>
      <c r="B5" s="583" t="s">
        <v>67</v>
      </c>
      <c r="C5" s="583" t="s">
        <v>114</v>
      </c>
      <c r="D5" s="600" t="s">
        <v>55</v>
      </c>
      <c r="E5" s="600" t="s">
        <v>68</v>
      </c>
      <c r="F5" s="600" t="s">
        <v>66</v>
      </c>
      <c r="G5" s="600" t="s">
        <v>156</v>
      </c>
      <c r="H5" s="600" t="s">
        <v>69</v>
      </c>
      <c r="I5" s="600" t="s">
        <v>169</v>
      </c>
      <c r="J5" s="600" t="s">
        <v>59</v>
      </c>
      <c r="K5" s="601" t="s">
        <v>60</v>
      </c>
      <c r="L5" s="601" t="s">
        <v>71</v>
      </c>
      <c r="M5" s="1826"/>
      <c r="N5" s="1826"/>
      <c r="O5" s="1826"/>
      <c r="P5" s="1826"/>
      <c r="Q5" s="1826"/>
    </row>
    <row r="6" spans="1:17" s="504" customFormat="1" ht="15.6" customHeight="1">
      <c r="A6" s="675">
        <v>1</v>
      </c>
      <c r="B6" s="602" t="s">
        <v>739</v>
      </c>
      <c r="C6" s="583"/>
      <c r="D6" s="600"/>
      <c r="E6" s="600"/>
      <c r="F6" s="583" t="s">
        <v>536</v>
      </c>
      <c r="G6" s="600"/>
      <c r="H6" s="600"/>
      <c r="I6" s="600"/>
      <c r="J6" s="600"/>
      <c r="K6" s="601"/>
      <c r="L6" s="661" t="s">
        <v>555</v>
      </c>
      <c r="M6" s="1826"/>
      <c r="N6" s="1826"/>
      <c r="O6" s="1826"/>
      <c r="P6" s="1826"/>
      <c r="Q6" s="1826"/>
    </row>
    <row r="7" spans="1:17" s="505" customFormat="1" ht="30" customHeight="1">
      <c r="A7" s="675">
        <f>+A6+1</f>
        <v>2</v>
      </c>
      <c r="B7" s="489"/>
      <c r="C7" s="541" t="s">
        <v>410</v>
      </c>
      <c r="D7" s="541" t="s">
        <v>535</v>
      </c>
      <c r="E7" s="1416" t="s">
        <v>449</v>
      </c>
      <c r="F7" s="1416" t="s">
        <v>409</v>
      </c>
      <c r="G7" s="1416" t="s">
        <v>136</v>
      </c>
      <c r="H7" s="1416" t="s">
        <v>450</v>
      </c>
      <c r="I7" s="1416" t="s">
        <v>261</v>
      </c>
      <c r="J7" s="1416" t="s">
        <v>20</v>
      </c>
      <c r="K7" s="1416" t="s">
        <v>191</v>
      </c>
      <c r="L7" s="1416" t="s">
        <v>113</v>
      </c>
      <c r="M7" s="1827"/>
      <c r="N7" s="1827"/>
      <c r="O7" s="1827"/>
      <c r="P7" s="1827"/>
      <c r="Q7" s="1827"/>
    </row>
    <row r="8" spans="1:17" s="501" customFormat="1">
      <c r="A8" s="675">
        <f>+A7+1</f>
        <v>3</v>
      </c>
      <c r="B8" s="496" t="s">
        <v>140</v>
      </c>
      <c r="C8" s="153" t="s">
        <v>527</v>
      </c>
      <c r="D8" s="153"/>
      <c r="E8" s="153"/>
      <c r="F8" s="153" t="s">
        <v>526</v>
      </c>
      <c r="G8" s="153" t="s">
        <v>528</v>
      </c>
      <c r="H8" s="153"/>
      <c r="I8" s="153"/>
      <c r="J8" s="153" t="s">
        <v>529</v>
      </c>
      <c r="K8" s="153" t="s">
        <v>530</v>
      </c>
      <c r="L8" s="497"/>
      <c r="M8" s="1828"/>
      <c r="N8" s="1828"/>
      <c r="O8" s="1828"/>
      <c r="P8" s="1828"/>
      <c r="Q8" s="1828"/>
    </row>
    <row r="9" spans="1:17" s="497" customFormat="1">
      <c r="A9" s="675">
        <f t="shared" ref="A9:A20" si="0">+A8+1</f>
        <v>4</v>
      </c>
      <c r="B9" s="1273" t="s">
        <v>37</v>
      </c>
      <c r="C9" s="670">
        <v>123913435.09999999</v>
      </c>
      <c r="D9" s="670">
        <v>1072727489.67</v>
      </c>
      <c r="E9" s="670">
        <v>1198475.3899999999</v>
      </c>
      <c r="F9" s="494">
        <f t="shared" ref="F9:F21" si="1">+D9+E9</f>
        <v>1073925965.0599999</v>
      </c>
      <c r="G9" s="670">
        <v>1018949265.47</v>
      </c>
      <c r="H9" s="670">
        <v>15998643.300000001</v>
      </c>
      <c r="I9" s="670">
        <v>12786670.640000001</v>
      </c>
      <c r="J9" s="670">
        <v>1588746004.28</v>
      </c>
      <c r="K9" s="670">
        <v>105665325.23</v>
      </c>
      <c r="L9" s="498">
        <f>+C9+D9+G9+J9+K9</f>
        <v>3910001519.7499995</v>
      </c>
      <c r="M9" s="1829"/>
      <c r="N9" s="1829"/>
      <c r="O9" s="1829"/>
      <c r="P9" s="1829"/>
      <c r="Q9" s="1829"/>
    </row>
    <row r="10" spans="1:17">
      <c r="A10" s="675">
        <f t="shared" si="0"/>
        <v>5</v>
      </c>
      <c r="B10" s="1273" t="s">
        <v>27</v>
      </c>
      <c r="C10" s="670">
        <v>123979641.66</v>
      </c>
      <c r="D10" s="670">
        <v>1070912952.4400001</v>
      </c>
      <c r="E10" s="670">
        <v>1198475.3899999999</v>
      </c>
      <c r="F10" s="494">
        <f t="shared" si="1"/>
        <v>1072111427.83</v>
      </c>
      <c r="G10" s="670">
        <v>1023692863.52</v>
      </c>
      <c r="H10" s="670">
        <v>15998643.300000001</v>
      </c>
      <c r="I10" s="670">
        <v>12786670.640000001</v>
      </c>
      <c r="J10" s="670">
        <v>1589364139.8499999</v>
      </c>
      <c r="K10" s="670">
        <v>106552922.66</v>
      </c>
      <c r="L10" s="498">
        <f t="shared" ref="L10:L20" si="2">+C10+D10+G10+J10+K10</f>
        <v>3914502520.1299996</v>
      </c>
      <c r="M10" s="163"/>
      <c r="N10" s="163"/>
      <c r="O10" s="163"/>
      <c r="P10" s="163"/>
      <c r="Q10" s="163"/>
    </row>
    <row r="11" spans="1:17">
      <c r="A11" s="675">
        <f t="shared" si="0"/>
        <v>6</v>
      </c>
      <c r="B11" s="1273" t="s">
        <v>28</v>
      </c>
      <c r="C11" s="670">
        <v>124714843.97</v>
      </c>
      <c r="D11" s="670">
        <v>1078200763.6099999</v>
      </c>
      <c r="E11" s="670">
        <v>1198475.3899999999</v>
      </c>
      <c r="F11" s="494">
        <f t="shared" si="1"/>
        <v>1079399239</v>
      </c>
      <c r="G11" s="670">
        <v>1025496684.59</v>
      </c>
      <c r="H11" s="670">
        <v>15998643.300000001</v>
      </c>
      <c r="I11" s="670">
        <v>12786670.640000001</v>
      </c>
      <c r="J11" s="670">
        <v>1588787877.6300001</v>
      </c>
      <c r="K11" s="670">
        <v>106544840.91</v>
      </c>
      <c r="L11" s="498">
        <f t="shared" si="2"/>
        <v>3923745010.71</v>
      </c>
      <c r="M11" s="163"/>
      <c r="N11" s="163"/>
      <c r="O11" s="163"/>
      <c r="P11" s="163"/>
      <c r="Q11" s="163"/>
    </row>
    <row r="12" spans="1:17">
      <c r="A12" s="675">
        <f t="shared" si="0"/>
        <v>7</v>
      </c>
      <c r="B12" s="1273" t="s">
        <v>29</v>
      </c>
      <c r="C12" s="670">
        <v>125815959.03</v>
      </c>
      <c r="D12" s="670">
        <v>1080078088.54</v>
      </c>
      <c r="E12" s="670">
        <v>1198475.3899999999</v>
      </c>
      <c r="F12" s="494">
        <f t="shared" si="1"/>
        <v>1081276563.9300001</v>
      </c>
      <c r="G12" s="670">
        <v>1028861896.73</v>
      </c>
      <c r="H12" s="670">
        <v>17308500.629999999</v>
      </c>
      <c r="I12" s="670">
        <v>12786670.640000001</v>
      </c>
      <c r="J12" s="670">
        <v>1591987783.8099999</v>
      </c>
      <c r="K12" s="670">
        <v>108037749.01000001</v>
      </c>
      <c r="L12" s="498">
        <f t="shared" si="2"/>
        <v>3934781477.1200004</v>
      </c>
      <c r="M12" s="163"/>
      <c r="N12" s="163"/>
      <c r="O12" s="163"/>
      <c r="P12" s="163"/>
      <c r="Q12" s="163"/>
    </row>
    <row r="13" spans="1:17">
      <c r="A13" s="675">
        <f t="shared" si="0"/>
        <v>8</v>
      </c>
      <c r="B13" s="1273" t="s">
        <v>30</v>
      </c>
      <c r="C13" s="670">
        <v>129171628.81999999</v>
      </c>
      <c r="D13" s="670">
        <v>1084116962.1300001</v>
      </c>
      <c r="E13" s="670">
        <v>1198475.3899999999</v>
      </c>
      <c r="F13" s="494">
        <f t="shared" si="1"/>
        <v>1085315437.5200002</v>
      </c>
      <c r="G13" s="670">
        <v>1036318119.74</v>
      </c>
      <c r="H13" s="670">
        <v>17213691.870000001</v>
      </c>
      <c r="I13" s="670">
        <v>12786670.640000001</v>
      </c>
      <c r="J13" s="670">
        <v>1596918387.8499999</v>
      </c>
      <c r="K13" s="670">
        <v>108729507.61</v>
      </c>
      <c r="L13" s="498">
        <f t="shared" si="2"/>
        <v>3955254606.1500001</v>
      </c>
      <c r="M13" s="163"/>
      <c r="N13" s="163"/>
      <c r="O13" s="163"/>
      <c r="P13" s="163"/>
      <c r="Q13" s="163"/>
    </row>
    <row r="14" spans="1:17">
      <c r="A14" s="675">
        <f t="shared" si="0"/>
        <v>9</v>
      </c>
      <c r="B14" s="1273" t="s">
        <v>26</v>
      </c>
      <c r="C14" s="670">
        <v>129899073</v>
      </c>
      <c r="D14" s="670">
        <v>1083962485.1600001</v>
      </c>
      <c r="E14" s="670">
        <v>1198475.3899999999</v>
      </c>
      <c r="F14" s="494">
        <f t="shared" si="1"/>
        <v>1085160960.5500002</v>
      </c>
      <c r="G14" s="670">
        <v>1133417999.23</v>
      </c>
      <c r="H14" s="670">
        <v>17145657.350000001</v>
      </c>
      <c r="I14" s="670">
        <v>73279814.269999996</v>
      </c>
      <c r="J14" s="670">
        <v>1600231524</v>
      </c>
      <c r="K14" s="670">
        <v>108727446.45999999</v>
      </c>
      <c r="L14" s="498">
        <f t="shared" si="2"/>
        <v>4056238527.8500004</v>
      </c>
      <c r="M14" s="163"/>
      <c r="N14" s="163"/>
      <c r="O14" s="163"/>
      <c r="P14" s="163"/>
      <c r="Q14" s="163"/>
    </row>
    <row r="15" spans="1:17">
      <c r="A15" s="675">
        <f t="shared" si="0"/>
        <v>10</v>
      </c>
      <c r="B15" s="1273" t="s">
        <v>31</v>
      </c>
      <c r="C15" s="670">
        <v>130791092.56999999</v>
      </c>
      <c r="D15" s="670">
        <v>1085618673</v>
      </c>
      <c r="E15" s="670">
        <v>1198475.3899999999</v>
      </c>
      <c r="F15" s="494">
        <f t="shared" si="1"/>
        <v>1086817148.3900001</v>
      </c>
      <c r="G15" s="670">
        <v>1147197535.53</v>
      </c>
      <c r="H15" s="670">
        <v>17145657.350000001</v>
      </c>
      <c r="I15" s="670">
        <v>73557355.829999998</v>
      </c>
      <c r="J15" s="670">
        <v>1616762706.52</v>
      </c>
      <c r="K15" s="670">
        <v>110011645.22</v>
      </c>
      <c r="L15" s="498">
        <f t="shared" si="2"/>
        <v>4090381652.8399997</v>
      </c>
      <c r="M15" s="163"/>
      <c r="N15" s="163"/>
      <c r="O15" s="163"/>
      <c r="P15" s="163"/>
      <c r="Q15" s="163"/>
    </row>
    <row r="16" spans="1:17">
      <c r="A16" s="675">
        <f t="shared" si="0"/>
        <v>11</v>
      </c>
      <c r="B16" s="1273" t="s">
        <v>32</v>
      </c>
      <c r="C16" s="670">
        <v>130836785.29000001</v>
      </c>
      <c r="D16" s="670">
        <v>1086095545.3399999</v>
      </c>
      <c r="E16" s="670">
        <v>1198475.3899999999</v>
      </c>
      <c r="F16" s="494">
        <f t="shared" si="1"/>
        <v>1087294020.73</v>
      </c>
      <c r="G16" s="670">
        <v>1191704048.1300001</v>
      </c>
      <c r="H16" s="670">
        <v>17145657.350000001</v>
      </c>
      <c r="I16" s="670">
        <v>73899582.519999996</v>
      </c>
      <c r="J16" s="670">
        <v>1628308384.1700001</v>
      </c>
      <c r="K16" s="670">
        <v>110067957.76000001</v>
      </c>
      <c r="L16" s="498">
        <f t="shared" si="2"/>
        <v>4147012720.6900005</v>
      </c>
      <c r="M16" s="163"/>
      <c r="N16" s="163"/>
      <c r="O16" s="163"/>
      <c r="P16" s="163"/>
      <c r="Q16" s="163"/>
    </row>
    <row r="17" spans="1:17">
      <c r="A17" s="675">
        <f t="shared" si="0"/>
        <v>12</v>
      </c>
      <c r="B17" s="1273" t="s">
        <v>33</v>
      </c>
      <c r="C17" s="670">
        <v>131583140.52</v>
      </c>
      <c r="D17" s="670">
        <v>1086412223.25</v>
      </c>
      <c r="E17" s="670">
        <v>1198475.3899999999</v>
      </c>
      <c r="F17" s="494">
        <f t="shared" si="1"/>
        <v>1087610698.6400001</v>
      </c>
      <c r="G17" s="670">
        <v>1195407797.5</v>
      </c>
      <c r="H17" s="670">
        <v>17145657.350000001</v>
      </c>
      <c r="I17" s="670">
        <v>75087919.260000005</v>
      </c>
      <c r="J17" s="670">
        <v>1671942745.24</v>
      </c>
      <c r="K17" s="670">
        <v>110463712.23</v>
      </c>
      <c r="L17" s="498">
        <f t="shared" si="2"/>
        <v>4195809618.7400002</v>
      </c>
      <c r="M17" s="163"/>
      <c r="N17" s="163"/>
      <c r="O17" s="163"/>
      <c r="P17" s="163"/>
      <c r="Q17" s="163"/>
    </row>
    <row r="18" spans="1:17">
      <c r="A18" s="675">
        <f t="shared" si="0"/>
        <v>13</v>
      </c>
      <c r="B18" s="1273" t="s">
        <v>34</v>
      </c>
      <c r="C18" s="670">
        <v>131954009.39</v>
      </c>
      <c r="D18" s="670">
        <v>1087607050.8099999</v>
      </c>
      <c r="E18" s="670">
        <v>1198475.3899999999</v>
      </c>
      <c r="F18" s="494">
        <f t="shared" si="1"/>
        <v>1088805526.2</v>
      </c>
      <c r="G18" s="670">
        <v>1199031147.97</v>
      </c>
      <c r="H18" s="670">
        <v>17145657.350000001</v>
      </c>
      <c r="I18" s="670">
        <v>76451865.659999996</v>
      </c>
      <c r="J18" s="670">
        <v>1676688335.79</v>
      </c>
      <c r="K18" s="670">
        <v>110578553.97</v>
      </c>
      <c r="L18" s="498">
        <f t="shared" si="2"/>
        <v>4205859097.9299998</v>
      </c>
      <c r="M18" s="163"/>
      <c r="N18" s="163"/>
      <c r="O18" s="163"/>
      <c r="P18" s="163"/>
      <c r="Q18" s="163"/>
    </row>
    <row r="19" spans="1:17">
      <c r="A19" s="675">
        <f t="shared" si="0"/>
        <v>14</v>
      </c>
      <c r="B19" s="1273" t="s">
        <v>35</v>
      </c>
      <c r="C19" s="670">
        <v>132986873.66</v>
      </c>
      <c r="D19" s="670">
        <v>1052168154.4400001</v>
      </c>
      <c r="E19" s="670">
        <v>1198475.3899999999</v>
      </c>
      <c r="F19" s="494">
        <f t="shared" si="1"/>
        <v>1053366629.83</v>
      </c>
      <c r="G19" s="670">
        <v>1203404337.4300001</v>
      </c>
      <c r="H19" s="670">
        <v>16742275.5</v>
      </c>
      <c r="I19" s="670">
        <v>76944409.579999998</v>
      </c>
      <c r="J19" s="670">
        <v>1683024728.75</v>
      </c>
      <c r="K19" s="670">
        <v>110691530.06999999</v>
      </c>
      <c r="L19" s="498">
        <f t="shared" si="2"/>
        <v>4182275624.3500004</v>
      </c>
      <c r="M19" s="163"/>
      <c r="N19" s="163"/>
      <c r="O19" s="163"/>
      <c r="P19" s="163"/>
      <c r="Q19" s="163"/>
    </row>
    <row r="20" spans="1:17">
      <c r="A20" s="675">
        <f t="shared" si="0"/>
        <v>15</v>
      </c>
      <c r="B20" s="1273" t="s">
        <v>36</v>
      </c>
      <c r="C20" s="670">
        <v>133065083.09999999</v>
      </c>
      <c r="D20" s="670">
        <v>1054189339.84</v>
      </c>
      <c r="E20" s="670">
        <v>1198475.3899999999</v>
      </c>
      <c r="F20" s="494">
        <f t="shared" si="1"/>
        <v>1055387815.23</v>
      </c>
      <c r="G20" s="670">
        <v>1208490465.03</v>
      </c>
      <c r="H20" s="670">
        <v>16742275.5</v>
      </c>
      <c r="I20" s="670">
        <v>77643607.25</v>
      </c>
      <c r="J20" s="670">
        <v>1687586519.52</v>
      </c>
      <c r="K20" s="670">
        <v>110780416.34999999</v>
      </c>
      <c r="L20" s="498">
        <f t="shared" si="2"/>
        <v>4194111823.8400002</v>
      </c>
      <c r="M20" s="163"/>
      <c r="N20" s="163"/>
      <c r="O20" s="163"/>
      <c r="P20" s="163"/>
      <c r="Q20" s="163"/>
    </row>
    <row r="21" spans="1:17">
      <c r="A21" s="675">
        <f t="shared" ref="A21:A28" si="3">+A20+1</f>
        <v>16</v>
      </c>
      <c r="B21" s="1273" t="s">
        <v>37</v>
      </c>
      <c r="C21" s="670">
        <v>135536470.96000001</v>
      </c>
      <c r="D21" s="670">
        <v>1063597416.84</v>
      </c>
      <c r="E21" s="670">
        <v>1198475.3899999999</v>
      </c>
      <c r="F21" s="494">
        <f t="shared" si="1"/>
        <v>1064795892.23</v>
      </c>
      <c r="G21" s="670">
        <v>1254670218.1099999</v>
      </c>
      <c r="H21" s="670">
        <v>16742275.5</v>
      </c>
      <c r="I21" s="670">
        <v>77671041.900000006</v>
      </c>
      <c r="J21" s="670">
        <v>1694874931.74</v>
      </c>
      <c r="K21" s="670">
        <v>112617251.25</v>
      </c>
      <c r="L21" s="498">
        <f>+C21+D21+G21+J21+K21</f>
        <v>4261296288.8999996</v>
      </c>
      <c r="M21" s="163"/>
      <c r="N21" s="163"/>
      <c r="O21" s="163"/>
      <c r="P21" s="163"/>
      <c r="Q21" s="163"/>
    </row>
    <row r="22" spans="1:17">
      <c r="A22" s="675">
        <f t="shared" si="3"/>
        <v>17</v>
      </c>
      <c r="B22" s="502" t="s">
        <v>140</v>
      </c>
      <c r="C22" s="153" t="s">
        <v>494</v>
      </c>
      <c r="D22" s="153"/>
      <c r="E22" s="153"/>
      <c r="F22" s="153" t="s">
        <v>537</v>
      </c>
      <c r="G22" s="1407" t="s">
        <v>955</v>
      </c>
      <c r="H22" s="1407"/>
      <c r="I22" s="153"/>
      <c r="J22" s="153" t="s">
        <v>532</v>
      </c>
      <c r="K22" s="153" t="s">
        <v>531</v>
      </c>
      <c r="L22" s="497"/>
      <c r="M22" s="163"/>
      <c r="N22" s="163"/>
      <c r="O22" s="163"/>
      <c r="P22" s="163"/>
      <c r="Q22" s="163"/>
    </row>
    <row r="23" spans="1:17" s="497" customFormat="1">
      <c r="A23" s="675">
        <f t="shared" si="3"/>
        <v>18</v>
      </c>
      <c r="B23" s="502" t="s">
        <v>411</v>
      </c>
      <c r="C23" s="1274">
        <f>SUM(C9:C21)/13</f>
        <v>129557541.31307691</v>
      </c>
      <c r="D23" s="1274">
        <f t="shared" ref="D23:L23" si="4">SUM(D9:D21)/13</f>
        <v>1075822088.0823076</v>
      </c>
      <c r="E23" s="1274">
        <f t="shared" si="4"/>
        <v>1198475.3900000001</v>
      </c>
      <c r="F23" s="1274">
        <f t="shared" si="4"/>
        <v>1077020563.4723077</v>
      </c>
      <c r="G23" s="1274">
        <f t="shared" si="4"/>
        <v>1128203259.9215386</v>
      </c>
      <c r="H23" s="1274">
        <f t="shared" si="4"/>
        <v>16805633.511538461</v>
      </c>
      <c r="I23" s="1274">
        <f t="shared" si="4"/>
        <v>51420688.420769222</v>
      </c>
      <c r="J23" s="1274">
        <f t="shared" si="4"/>
        <v>1631940313.0115385</v>
      </c>
      <c r="K23" s="1274">
        <f t="shared" si="4"/>
        <v>109189912.20999998</v>
      </c>
      <c r="L23" s="1274">
        <f t="shared" si="4"/>
        <v>4074713114.5384607</v>
      </c>
      <c r="M23" s="1829"/>
      <c r="N23" s="163"/>
      <c r="O23" s="1829"/>
      <c r="P23" s="1829"/>
      <c r="Q23" s="1829"/>
    </row>
    <row r="24" spans="1:17">
      <c r="A24" s="675">
        <f t="shared" si="3"/>
        <v>19</v>
      </c>
      <c r="B24" s="503"/>
      <c r="F24" s="489"/>
      <c r="G24" s="489"/>
      <c r="M24" s="163"/>
      <c r="N24" s="163"/>
      <c r="O24" s="163"/>
      <c r="P24" s="163"/>
      <c r="Q24" s="163"/>
    </row>
    <row r="25" spans="1:17">
      <c r="A25" s="675">
        <f t="shared" si="3"/>
        <v>20</v>
      </c>
      <c r="B25" s="503"/>
      <c r="F25" s="489"/>
      <c r="G25" s="489"/>
      <c r="M25" s="163"/>
      <c r="N25" s="163"/>
      <c r="O25" s="163"/>
      <c r="P25" s="163"/>
      <c r="Q25" s="163"/>
    </row>
    <row r="26" spans="1:17">
      <c r="A26" s="675">
        <f t="shared" si="3"/>
        <v>21</v>
      </c>
      <c r="B26" s="602" t="s">
        <v>1407</v>
      </c>
      <c r="C26" s="603"/>
      <c r="D26" s="604"/>
      <c r="E26" s="604"/>
      <c r="F26" s="604"/>
      <c r="G26" s="604"/>
      <c r="H26" s="604"/>
      <c r="I26" s="604"/>
      <c r="J26" s="604"/>
      <c r="K26" s="505"/>
      <c r="L26" s="505"/>
      <c r="M26" s="249" t="s">
        <v>1462</v>
      </c>
      <c r="N26" s="163"/>
      <c r="O26" s="163"/>
      <c r="P26" s="163"/>
      <c r="Q26" s="163"/>
    </row>
    <row r="27" spans="1:17" s="505" customFormat="1" ht="30" customHeight="1">
      <c r="A27" s="675">
        <f t="shared" si="3"/>
        <v>22</v>
      </c>
      <c r="B27" s="489"/>
      <c r="C27" s="541" t="s">
        <v>410</v>
      </c>
      <c r="D27" s="541" t="s">
        <v>535</v>
      </c>
      <c r="E27" s="1416" t="s">
        <v>449</v>
      </c>
      <c r="F27" s="1416" t="s">
        <v>409</v>
      </c>
      <c r="G27" s="1416" t="s">
        <v>136</v>
      </c>
      <c r="H27" s="1416" t="s">
        <v>450</v>
      </c>
      <c r="I27" s="1416" t="s">
        <v>261</v>
      </c>
      <c r="J27" s="1416" t="s">
        <v>20</v>
      </c>
      <c r="K27" s="1416" t="s">
        <v>191</v>
      </c>
      <c r="L27" s="1416" t="s">
        <v>113</v>
      </c>
      <c r="M27" s="1827"/>
      <c r="N27" s="163"/>
      <c r="O27" s="1827"/>
      <c r="P27" s="1827"/>
      <c r="Q27" s="1827"/>
    </row>
    <row r="28" spans="1:17">
      <c r="A28" s="675">
        <f t="shared" si="3"/>
        <v>23</v>
      </c>
      <c r="B28" s="500" t="str">
        <f>+B9</f>
        <v>Dec</v>
      </c>
      <c r="C28" s="670">
        <v>98146179</v>
      </c>
      <c r="D28" s="670">
        <v>598815837</v>
      </c>
      <c r="E28" s="670">
        <v>-3486475</v>
      </c>
      <c r="F28" s="494">
        <f t="shared" ref="F28:F40" si="5">+D28+E28</f>
        <v>595329362</v>
      </c>
      <c r="G28" s="670">
        <v>309959548</v>
      </c>
      <c r="H28" s="670">
        <v>4598719</v>
      </c>
      <c r="I28" s="670">
        <v>1181072</v>
      </c>
      <c r="J28" s="670">
        <v>418770839</v>
      </c>
      <c r="K28" s="670">
        <v>28208745</v>
      </c>
      <c r="L28" s="498">
        <f>+C28+D28+G28+J28+K28</f>
        <v>1453901148</v>
      </c>
      <c r="M28" s="73"/>
      <c r="N28" s="163"/>
      <c r="O28" s="163"/>
      <c r="P28" s="163"/>
      <c r="Q28" s="163"/>
    </row>
    <row r="29" spans="1:17">
      <c r="A29" s="675">
        <f t="shared" ref="A29:A42" si="6">+A28+1</f>
        <v>24</v>
      </c>
      <c r="B29" s="500" t="str">
        <f t="shared" ref="B29:B40" si="7">+B10</f>
        <v>Jan</v>
      </c>
      <c r="C29" s="670">
        <v>98614019</v>
      </c>
      <c r="D29" s="670">
        <v>593132638</v>
      </c>
      <c r="E29" s="670">
        <v>-3730171</v>
      </c>
      <c r="F29" s="494">
        <f t="shared" si="5"/>
        <v>589402467</v>
      </c>
      <c r="G29" s="670">
        <v>311762717</v>
      </c>
      <c r="H29" s="670">
        <v>4662888</v>
      </c>
      <c r="I29" s="670">
        <v>1191231.71</v>
      </c>
      <c r="J29" s="670">
        <v>417956400</v>
      </c>
      <c r="K29" s="670">
        <v>49057090</v>
      </c>
      <c r="L29" s="498">
        <f t="shared" ref="L29:L39" si="8">+C29+D29+G29+J29+K29</f>
        <v>1470522864</v>
      </c>
      <c r="M29" s="163"/>
      <c r="N29" s="163"/>
      <c r="O29" s="163"/>
      <c r="P29" s="163"/>
      <c r="Q29" s="163"/>
    </row>
    <row r="30" spans="1:17">
      <c r="A30" s="675">
        <f t="shared" si="6"/>
        <v>25</v>
      </c>
      <c r="B30" s="500" t="str">
        <f t="shared" si="7"/>
        <v>Feb</v>
      </c>
      <c r="C30" s="670">
        <v>99081918</v>
      </c>
      <c r="D30" s="670">
        <v>592858450</v>
      </c>
      <c r="E30" s="670">
        <v>-3539760</v>
      </c>
      <c r="F30" s="494">
        <f t="shared" si="5"/>
        <v>589318690</v>
      </c>
      <c r="G30" s="670">
        <v>312565327</v>
      </c>
      <c r="H30" s="670">
        <v>4662888</v>
      </c>
      <c r="I30" s="670">
        <v>1210972.8</v>
      </c>
      <c r="J30" s="670">
        <v>415782842</v>
      </c>
      <c r="K30" s="670">
        <v>46724354</v>
      </c>
      <c r="L30" s="498">
        <f t="shared" si="8"/>
        <v>1467012891</v>
      </c>
      <c r="M30" s="163"/>
      <c r="N30" s="163"/>
      <c r="O30" s="163"/>
      <c r="P30" s="163"/>
      <c r="Q30" s="163"/>
    </row>
    <row r="31" spans="1:17">
      <c r="A31" s="675">
        <f t="shared" si="6"/>
        <v>26</v>
      </c>
      <c r="B31" s="500" t="str">
        <f t="shared" si="7"/>
        <v>Mar</v>
      </c>
      <c r="C31" s="670">
        <v>99562031</v>
      </c>
      <c r="D31" s="670">
        <v>593998226</v>
      </c>
      <c r="E31" s="670">
        <v>-3566402</v>
      </c>
      <c r="F31" s="494">
        <f t="shared" si="5"/>
        <v>590431824</v>
      </c>
      <c r="G31" s="670">
        <v>313430461</v>
      </c>
      <c r="H31" s="670">
        <v>4662888</v>
      </c>
      <c r="I31" s="670">
        <v>1231840.17</v>
      </c>
      <c r="J31" s="670">
        <v>416141332</v>
      </c>
      <c r="K31" s="670">
        <v>47051131</v>
      </c>
      <c r="L31" s="498">
        <f t="shared" si="8"/>
        <v>1470183181</v>
      </c>
      <c r="M31" s="163"/>
      <c r="N31" s="163"/>
      <c r="O31" s="163"/>
      <c r="P31" s="163"/>
      <c r="Q31" s="163"/>
    </row>
    <row r="32" spans="1:17">
      <c r="A32" s="675">
        <f t="shared" si="6"/>
        <v>27</v>
      </c>
      <c r="B32" s="500" t="str">
        <f t="shared" si="7"/>
        <v>Apr</v>
      </c>
      <c r="C32" s="670">
        <v>100032169</v>
      </c>
      <c r="D32" s="670">
        <v>594907530</v>
      </c>
      <c r="E32" s="670">
        <v>-3593044</v>
      </c>
      <c r="F32" s="494">
        <f t="shared" si="5"/>
        <v>591314486</v>
      </c>
      <c r="G32" s="670">
        <v>314409050</v>
      </c>
      <c r="H32" s="670">
        <v>4685758</v>
      </c>
      <c r="I32" s="670">
        <v>1252685.8999999999</v>
      </c>
      <c r="J32" s="670">
        <v>417789266</v>
      </c>
      <c r="K32" s="670">
        <v>47439787</v>
      </c>
      <c r="L32" s="498">
        <f t="shared" si="8"/>
        <v>1474577802</v>
      </c>
      <c r="M32" s="163"/>
      <c r="N32" s="163"/>
      <c r="O32" s="163"/>
      <c r="P32" s="163"/>
      <c r="Q32" s="163"/>
    </row>
    <row r="33" spans="1:17">
      <c r="A33" s="675">
        <f t="shared" si="6"/>
        <v>28</v>
      </c>
      <c r="B33" s="500" t="str">
        <f t="shared" si="7"/>
        <v>May</v>
      </c>
      <c r="C33" s="670">
        <v>100542444</v>
      </c>
      <c r="D33" s="670">
        <v>595645491</v>
      </c>
      <c r="E33" s="670">
        <v>-3619687</v>
      </c>
      <c r="F33" s="494">
        <f t="shared" si="5"/>
        <v>592025804</v>
      </c>
      <c r="G33" s="670">
        <v>314977244</v>
      </c>
      <c r="H33" s="670">
        <v>4654702</v>
      </c>
      <c r="I33" s="670">
        <v>1591318.06</v>
      </c>
      <c r="J33" s="670">
        <v>418671322</v>
      </c>
      <c r="K33" s="670">
        <v>47831126</v>
      </c>
      <c r="L33" s="498">
        <f t="shared" si="8"/>
        <v>1477667627</v>
      </c>
      <c r="M33" s="163"/>
      <c r="N33" s="163"/>
      <c r="O33" s="163"/>
      <c r="P33" s="163"/>
      <c r="Q33" s="163"/>
    </row>
    <row r="34" spans="1:17">
      <c r="A34" s="675">
        <f t="shared" si="6"/>
        <v>29</v>
      </c>
      <c r="B34" s="500" t="str">
        <f t="shared" si="7"/>
        <v>Jun</v>
      </c>
      <c r="C34" s="670">
        <v>101064653</v>
      </c>
      <c r="D34" s="670">
        <v>595946084</v>
      </c>
      <c r="E34" s="670">
        <v>-3646329</v>
      </c>
      <c r="F34" s="494">
        <f t="shared" si="5"/>
        <v>592299755</v>
      </c>
      <c r="G34" s="670">
        <v>315798275</v>
      </c>
      <c r="H34" s="670">
        <v>4677346</v>
      </c>
      <c r="I34" s="670">
        <v>1674089.38</v>
      </c>
      <c r="J34" s="670">
        <v>418272464</v>
      </c>
      <c r="K34" s="670">
        <v>48228796</v>
      </c>
      <c r="L34" s="498">
        <f t="shared" si="8"/>
        <v>1479310272</v>
      </c>
      <c r="M34" s="163"/>
      <c r="N34" s="163"/>
      <c r="O34" s="163"/>
      <c r="P34" s="163"/>
      <c r="Q34" s="163"/>
    </row>
    <row r="35" spans="1:17">
      <c r="A35" s="675">
        <f t="shared" si="6"/>
        <v>30</v>
      </c>
      <c r="B35" s="500" t="str">
        <f t="shared" si="7"/>
        <v>Jul</v>
      </c>
      <c r="C35" s="670">
        <v>101601669</v>
      </c>
      <c r="D35" s="670">
        <v>597183321</v>
      </c>
      <c r="E35" s="670">
        <v>-3672972</v>
      </c>
      <c r="F35" s="494">
        <f t="shared" si="5"/>
        <v>593510349</v>
      </c>
      <c r="G35" s="670">
        <v>316958085</v>
      </c>
      <c r="H35" s="670">
        <v>4699989</v>
      </c>
      <c r="I35" s="670">
        <v>1754549.69</v>
      </c>
      <c r="J35" s="670">
        <v>418359051</v>
      </c>
      <c r="K35" s="670">
        <v>48577127</v>
      </c>
      <c r="L35" s="498">
        <f t="shared" si="8"/>
        <v>1482679253</v>
      </c>
      <c r="M35" s="163"/>
      <c r="N35" s="163"/>
      <c r="O35" s="163"/>
      <c r="P35" s="163"/>
      <c r="Q35" s="163"/>
    </row>
    <row r="36" spans="1:17">
      <c r="A36" s="675">
        <f t="shared" si="6"/>
        <v>31</v>
      </c>
      <c r="B36" s="500" t="str">
        <f t="shared" si="7"/>
        <v>Aug</v>
      </c>
      <c r="C36" s="670">
        <v>102139340</v>
      </c>
      <c r="D36" s="670">
        <v>598726706</v>
      </c>
      <c r="E36" s="670">
        <v>-3699614</v>
      </c>
      <c r="F36" s="494">
        <f t="shared" si="5"/>
        <v>595027092</v>
      </c>
      <c r="G36" s="670">
        <v>321803923</v>
      </c>
      <c r="H36" s="670">
        <v>4509238</v>
      </c>
      <c r="I36" s="670">
        <v>1841647.54</v>
      </c>
      <c r="J36" s="670">
        <v>449531937</v>
      </c>
      <c r="K36" s="670">
        <v>49004470</v>
      </c>
      <c r="L36" s="498">
        <f t="shared" si="8"/>
        <v>1521206376</v>
      </c>
      <c r="M36" s="163"/>
      <c r="N36" s="163"/>
      <c r="O36" s="163"/>
      <c r="P36" s="163"/>
      <c r="Q36" s="163"/>
    </row>
    <row r="37" spans="1:17">
      <c r="A37" s="675">
        <f t="shared" si="6"/>
        <v>32</v>
      </c>
      <c r="B37" s="500" t="str">
        <f t="shared" si="7"/>
        <v>Sep</v>
      </c>
      <c r="C37" s="670">
        <v>102709333</v>
      </c>
      <c r="D37" s="670">
        <v>600003498</v>
      </c>
      <c r="E37" s="670">
        <v>-3726256</v>
      </c>
      <c r="F37" s="494">
        <f t="shared" si="5"/>
        <v>596277242</v>
      </c>
      <c r="G37" s="670">
        <v>322960648</v>
      </c>
      <c r="H37" s="670">
        <v>4531881</v>
      </c>
      <c r="I37" s="670">
        <v>1937103.7</v>
      </c>
      <c r="J37" s="670">
        <v>449094286</v>
      </c>
      <c r="K37" s="670">
        <v>49369278</v>
      </c>
      <c r="L37" s="498">
        <f t="shared" si="8"/>
        <v>1524137043</v>
      </c>
      <c r="M37" s="163"/>
      <c r="N37" s="163"/>
      <c r="O37" s="163"/>
      <c r="P37" s="163"/>
      <c r="Q37" s="163"/>
    </row>
    <row r="38" spans="1:17">
      <c r="A38" s="675">
        <f t="shared" si="6"/>
        <v>33</v>
      </c>
      <c r="B38" s="500" t="str">
        <f t="shared" si="7"/>
        <v>Oct</v>
      </c>
      <c r="C38" s="670">
        <v>103255883</v>
      </c>
      <c r="D38" s="670">
        <v>565010443</v>
      </c>
      <c r="E38" s="670">
        <v>-3752899</v>
      </c>
      <c r="F38" s="494">
        <f t="shared" si="5"/>
        <v>561257544</v>
      </c>
      <c r="G38" s="670">
        <v>324304940</v>
      </c>
      <c r="H38" s="670">
        <v>4151142</v>
      </c>
      <c r="I38" s="670">
        <v>2026934.64</v>
      </c>
      <c r="J38" s="670">
        <v>452018935</v>
      </c>
      <c r="K38" s="670">
        <v>49728795</v>
      </c>
      <c r="L38" s="498">
        <f t="shared" si="8"/>
        <v>1494318996</v>
      </c>
      <c r="M38" s="163"/>
      <c r="N38" s="163"/>
      <c r="O38" s="163"/>
      <c r="P38" s="163"/>
      <c r="Q38" s="163"/>
    </row>
    <row r="39" spans="1:17">
      <c r="A39" s="675">
        <f t="shared" si="6"/>
        <v>34</v>
      </c>
      <c r="B39" s="500" t="str">
        <f t="shared" si="7"/>
        <v>Nov</v>
      </c>
      <c r="C39" s="670">
        <v>103820840</v>
      </c>
      <c r="D39" s="670">
        <v>562698975</v>
      </c>
      <c r="E39" s="670">
        <v>-3779541</v>
      </c>
      <c r="F39" s="494">
        <f t="shared" si="5"/>
        <v>558919434</v>
      </c>
      <c r="G39" s="670">
        <v>325706360</v>
      </c>
      <c r="H39" s="670">
        <v>4143619</v>
      </c>
      <c r="I39" s="670">
        <v>2173067.0299999998</v>
      </c>
      <c r="J39" s="670">
        <v>454983167</v>
      </c>
      <c r="K39" s="670">
        <v>50289895</v>
      </c>
      <c r="L39" s="498">
        <f t="shared" si="8"/>
        <v>1497499237</v>
      </c>
      <c r="M39" s="821"/>
      <c r="N39" s="163"/>
      <c r="O39" s="163"/>
      <c r="P39" s="163"/>
      <c r="Q39" s="163"/>
    </row>
    <row r="40" spans="1:17">
      <c r="A40" s="675">
        <f t="shared" si="6"/>
        <v>35</v>
      </c>
      <c r="B40" s="500" t="str">
        <f t="shared" si="7"/>
        <v>Dec</v>
      </c>
      <c r="C40" s="670">
        <v>104399198</v>
      </c>
      <c r="D40" s="670">
        <v>560406508</v>
      </c>
      <c r="E40" s="670">
        <v>-3806184</v>
      </c>
      <c r="F40" s="494">
        <f t="shared" si="5"/>
        <v>556600324</v>
      </c>
      <c r="G40" s="670">
        <v>326837777</v>
      </c>
      <c r="H40" s="670">
        <v>4165699</v>
      </c>
      <c r="I40" s="670">
        <v>2248920.79</v>
      </c>
      <c r="J40" s="670">
        <v>457160331</v>
      </c>
      <c r="K40" s="670">
        <v>52303551</v>
      </c>
      <c r="L40" s="495">
        <f>+C40+D40+G40+J40+K40</f>
        <v>1501107365</v>
      </c>
      <c r="M40" s="1830"/>
      <c r="N40" s="163"/>
      <c r="O40" s="1831"/>
      <c r="P40" s="163"/>
      <c r="Q40" s="163"/>
    </row>
    <row r="41" spans="1:17" s="497" customFormat="1">
      <c r="A41" s="675">
        <f t="shared" si="6"/>
        <v>36</v>
      </c>
      <c r="B41" s="502" t="s">
        <v>140</v>
      </c>
      <c r="C41" s="1407"/>
      <c r="D41" s="1407"/>
      <c r="E41" s="1407"/>
      <c r="F41" s="1407"/>
      <c r="G41" s="1407"/>
      <c r="H41" s="1407"/>
      <c r="I41" s="1407"/>
      <c r="J41" s="1407"/>
      <c r="K41" s="1407"/>
      <c r="M41" s="249" t="s">
        <v>1463</v>
      </c>
      <c r="N41" s="163"/>
      <c r="O41" s="1832"/>
      <c r="P41" s="1829"/>
      <c r="Q41" s="1829"/>
    </row>
    <row r="42" spans="1:17">
      <c r="A42" s="675">
        <f t="shared" si="6"/>
        <v>37</v>
      </c>
      <c r="B42" s="502" t="s">
        <v>411</v>
      </c>
      <c r="C42" s="1274">
        <f>SUM(C28:C40)/13</f>
        <v>101151513.53846154</v>
      </c>
      <c r="D42" s="1274">
        <f t="shared" ref="D42:K42" si="9">SUM(D28:D40)/13</f>
        <v>588410285.15384614</v>
      </c>
      <c r="E42" s="1274">
        <f t="shared" si="9"/>
        <v>-3663025.6923076925</v>
      </c>
      <c r="F42" s="1274">
        <f t="shared" si="9"/>
        <v>584747259.46153843</v>
      </c>
      <c r="G42" s="1274">
        <f t="shared" si="9"/>
        <v>317805719.61538464</v>
      </c>
      <c r="H42" s="1274">
        <f t="shared" si="9"/>
        <v>4523596.692307692</v>
      </c>
      <c r="I42" s="1274">
        <f t="shared" si="9"/>
        <v>1639648.7238461538</v>
      </c>
      <c r="J42" s="1274">
        <f t="shared" si="9"/>
        <v>431117859.38461536</v>
      </c>
      <c r="K42" s="1274">
        <f t="shared" si="9"/>
        <v>47216472.692307696</v>
      </c>
      <c r="L42" s="1274">
        <f>SUM(L28:L40)/13</f>
        <v>1485701850.3846154</v>
      </c>
      <c r="M42" s="249" t="s">
        <v>1464</v>
      </c>
      <c r="N42" s="163"/>
      <c r="O42" s="1829"/>
      <c r="P42" s="163"/>
      <c r="Q42" s="163"/>
    </row>
    <row r="43" spans="1:17">
      <c r="A43" s="676"/>
      <c r="D43" s="493"/>
      <c r="E43" s="493"/>
      <c r="M43" s="1833"/>
      <c r="N43" s="163"/>
      <c r="O43" s="1831"/>
      <c r="P43" s="163"/>
      <c r="Q43" s="163"/>
    </row>
    <row r="44" spans="1:17">
      <c r="A44" s="489" t="s">
        <v>295</v>
      </c>
      <c r="D44" s="494"/>
      <c r="E44" s="494"/>
      <c r="M44" s="1834"/>
      <c r="N44" s="163"/>
      <c r="O44" s="163"/>
      <c r="P44" s="163"/>
      <c r="Q44" s="163"/>
    </row>
    <row r="45" spans="1:17" ht="26.4" customHeight="1">
      <c r="A45" s="907" t="s">
        <v>170</v>
      </c>
      <c r="B45" s="1714" t="s">
        <v>533</v>
      </c>
      <c r="C45" s="1714"/>
      <c r="D45" s="1714"/>
      <c r="E45" s="1714"/>
      <c r="F45" s="1714"/>
      <c r="G45" s="1714"/>
      <c r="H45" s="1714"/>
      <c r="I45" s="1714"/>
      <c r="J45" s="1714"/>
      <c r="K45" s="1714"/>
      <c r="L45" s="1714"/>
      <c r="M45" s="163"/>
      <c r="N45" s="163"/>
      <c r="O45" s="163"/>
      <c r="P45" s="163"/>
      <c r="Q45" s="163"/>
    </row>
    <row r="46" spans="1:17" ht="25.95" customHeight="1">
      <c r="A46" s="907" t="s">
        <v>316</v>
      </c>
      <c r="B46" s="1717" t="s">
        <v>1406</v>
      </c>
      <c r="C46" s="1717"/>
      <c r="D46" s="1717"/>
      <c r="E46" s="1717"/>
      <c r="F46" s="1717"/>
      <c r="G46" s="1717"/>
      <c r="H46" s="1717"/>
      <c r="I46" s="1717"/>
      <c r="J46" s="1717"/>
      <c r="K46" s="1717"/>
      <c r="L46" s="1717"/>
      <c r="M46" s="249" t="s">
        <v>1461</v>
      </c>
      <c r="N46" s="163"/>
      <c r="O46" s="163"/>
      <c r="P46" s="163"/>
      <c r="Q46" s="163"/>
    </row>
    <row r="47" spans="1:17">
      <c r="E47" s="494"/>
      <c r="M47" s="163"/>
      <c r="N47" s="163"/>
      <c r="O47" s="163"/>
      <c r="P47" s="163"/>
      <c r="Q47" s="163"/>
    </row>
    <row r="48" spans="1:17">
      <c r="E48" s="494"/>
    </row>
    <row r="49" spans="4:5">
      <c r="E49" s="493"/>
    </row>
    <row r="50" spans="4:5">
      <c r="E50" s="493"/>
    </row>
    <row r="51" spans="4:5">
      <c r="D51" s="493"/>
      <c r="E51" s="493"/>
    </row>
    <row r="52" spans="4:5">
      <c r="D52" s="493"/>
      <c r="E52" s="493"/>
    </row>
  </sheetData>
  <mergeCells count="5">
    <mergeCell ref="B45:L45"/>
    <mergeCell ref="A2:L2"/>
    <mergeCell ref="A1:L1"/>
    <mergeCell ref="A3:L3"/>
    <mergeCell ref="B46:L46"/>
  </mergeCells>
  <printOptions horizontalCentered="1"/>
  <pageMargins left="0.7" right="0.7" top="0.7" bottom="0.7" header="0.3" footer="0.5"/>
  <pageSetup scale="80" orientation="landscape" r:id="rId1"/>
  <headerFooter>
    <oddFooter>&amp;CPage &amp;P of &amp;N&amp;R&amp;A</oddFooter>
  </headerFooter>
  <ignoredErrors>
    <ignoredError sqref="A45:A4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48</vt:i4>
      </vt:variant>
    </vt:vector>
  </HeadingPairs>
  <TitlesOfParts>
    <vt:vector size="82" baseType="lpstr">
      <vt:lpstr>Explanatory Stmnts</vt:lpstr>
      <vt:lpstr>MISO Cover</vt:lpstr>
      <vt:lpstr>Appendix A</vt:lpstr>
      <vt:lpstr>App A Support</vt:lpstr>
      <vt:lpstr>WP01 True-Up</vt:lpstr>
      <vt:lpstr>WP01 TU Support</vt:lpstr>
      <vt:lpstr>WP02 Support</vt:lpstr>
      <vt:lpstr>WP03 W&amp;S</vt:lpstr>
      <vt:lpstr>WP04 PIS</vt:lpstr>
      <vt:lpstr>WP04 Support</vt:lpstr>
      <vt:lpstr>WP05 CapAds</vt:lpstr>
      <vt:lpstr>WP06 ADIT</vt:lpstr>
      <vt:lpstr>WP06 ADIT Support</vt:lpstr>
      <vt:lpstr>WP07 M&amp;S</vt:lpstr>
      <vt:lpstr>WP08 Prepay</vt:lpstr>
      <vt:lpstr>WP09 PHFU</vt:lpstr>
      <vt:lpstr>WP10 Storm</vt:lpstr>
      <vt:lpstr>WP11 Credits</vt:lpstr>
      <vt:lpstr>WP12 PBOP</vt:lpstr>
      <vt:lpstr>WP13 TOTI</vt:lpstr>
      <vt:lpstr>WP14 COC</vt:lpstr>
      <vt:lpstr>WP15 Radials</vt:lpstr>
      <vt:lpstr>WP16 Interconn</vt:lpstr>
      <vt:lpstr>WP17 Rev</vt:lpstr>
      <vt:lpstr>WP17 Rev Support</vt:lpstr>
      <vt:lpstr>WP18 Deprec</vt:lpstr>
      <vt:lpstr>WP18 Depr Support</vt:lpstr>
      <vt:lpstr>WP19 Load</vt:lpstr>
      <vt:lpstr>WP20 Reserves</vt:lpstr>
      <vt:lpstr>WP21 Pension</vt:lpstr>
      <vt:lpstr>WP22 IT Adj</vt:lpstr>
      <vt:lpstr>WP AJ1 MISO</vt:lpstr>
      <vt:lpstr>WP AJ2 ITC</vt:lpstr>
      <vt:lpstr>WP AJ3 GPRD</vt:lpstr>
      <vt:lpstr>'MISO Cover'!CE</vt:lpstr>
      <vt:lpstr>GP</vt:lpstr>
      <vt:lpstr>NP</vt:lpstr>
      <vt:lpstr>'Appendix A'!Print_Area</vt:lpstr>
      <vt:lpstr>'Explanatory Stmnts'!Print_Area</vt:lpstr>
      <vt:lpstr>'MISO Cover'!Print_Area</vt:lpstr>
      <vt:lpstr>'WP AJ1 MISO'!Print_Area</vt:lpstr>
      <vt:lpstr>'WP AJ2 ITC'!Print_Area</vt:lpstr>
      <vt:lpstr>'WP AJ3 GPRD'!Print_Area</vt:lpstr>
      <vt:lpstr>'WP01 True-Up'!Print_Area</vt:lpstr>
      <vt:lpstr>'WP01 TU Support'!Print_Area</vt:lpstr>
      <vt:lpstr>'WP02 Support'!Print_Area</vt:lpstr>
      <vt:lpstr>'WP03 W&amp;S'!Print_Area</vt:lpstr>
      <vt:lpstr>'WP04 PIS'!Print_Area</vt:lpstr>
      <vt:lpstr>'WP04 Support'!Print_Area</vt:lpstr>
      <vt:lpstr>'WP05 CapAds'!Print_Area</vt:lpstr>
      <vt:lpstr>'WP06 ADIT'!Print_Area</vt:lpstr>
      <vt:lpstr>'WP06 ADIT Support'!Print_Area</vt:lpstr>
      <vt:lpstr>'WP07 M&amp;S'!Print_Area</vt:lpstr>
      <vt:lpstr>'WP08 Prepay'!Print_Area</vt:lpstr>
      <vt:lpstr>'WP09 PHFU'!Print_Area</vt:lpstr>
      <vt:lpstr>'WP10 Storm'!Print_Area</vt:lpstr>
      <vt:lpstr>'WP11 Credits'!Print_Area</vt:lpstr>
      <vt:lpstr>'WP12 PBOP'!Print_Area</vt:lpstr>
      <vt:lpstr>'WP13 TOTI'!Print_Area</vt:lpstr>
      <vt:lpstr>'WP14 COC'!Print_Area</vt:lpstr>
      <vt:lpstr>'WP15 Radials'!Print_Area</vt:lpstr>
      <vt:lpstr>'WP16 Interconn'!Print_Area</vt:lpstr>
      <vt:lpstr>'WP17 Rev'!Print_Area</vt:lpstr>
      <vt:lpstr>'WP17 Rev Support'!Print_Area</vt:lpstr>
      <vt:lpstr>'WP18 Depr Support'!Print_Area</vt:lpstr>
      <vt:lpstr>'WP18 Deprec'!Print_Area</vt:lpstr>
      <vt:lpstr>'WP19 Load'!Print_Area</vt:lpstr>
      <vt:lpstr>'WP20 Reserves'!Print_Area</vt:lpstr>
      <vt:lpstr>'WP21 Pension'!Print_Area</vt:lpstr>
      <vt:lpstr>'Appendix A'!Print_Titles</vt:lpstr>
      <vt:lpstr>'WP AJ1 MISO'!Print_Titles</vt:lpstr>
      <vt:lpstr>'WP AJ2 ITC'!Print_Titles</vt:lpstr>
      <vt:lpstr>'WP01 True-Up'!Print_Titles</vt:lpstr>
      <vt:lpstr>'WP01 TU Support'!Print_Titles</vt:lpstr>
      <vt:lpstr>'WP02 Support'!Print_Titles</vt:lpstr>
      <vt:lpstr>'WP04 PIS'!Print_Titles</vt:lpstr>
      <vt:lpstr>'WP06 ADIT'!Print_Titles</vt:lpstr>
      <vt:lpstr>'WP14 COC'!Print_Titles</vt:lpstr>
      <vt:lpstr>'WP15 Radials'!Print_Titles</vt:lpstr>
      <vt:lpstr>'WP20 Reserves'!Print_Titles</vt:lpstr>
      <vt:lpstr>TP</vt:lpstr>
      <vt:lpstr>WS</vt:lpstr>
    </vt:vector>
  </TitlesOfParts>
  <Company>PSEG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MISO Attachment O</dc:title>
  <dc:creator>lsande2 - Roger Sanders</dc:creator>
  <cp:lastModifiedBy>REBECCA L BOWDEN</cp:lastModifiedBy>
  <cp:lastPrinted>2017-06-08T19:23:43Z</cp:lastPrinted>
  <dcterms:created xsi:type="dcterms:W3CDTF">2004-01-21T20:42:01Z</dcterms:created>
  <dcterms:modified xsi:type="dcterms:W3CDTF">2017-06-08T19:24:03Z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ntativeReviewCycleID">
    <vt:i4>-177233148</vt:i4>
  </property>
  <property fmtid="{D5CDD505-2E9C-101B-9397-08002B2CF9AE}" pid="3" name="_ReviewCycleID">
    <vt:i4>-177233148</vt:i4>
  </property>
  <property fmtid="{D5CDD505-2E9C-101B-9397-08002B2CF9AE}" pid="4" name="_NewReviewCycle">
    <vt:lpwstr/>
  </property>
  <property fmtid="{D5CDD505-2E9C-101B-9397-08002B2CF9AE}" pid="5" name="_EmailEntryID">
    <vt:lpwstr>0000000044D383ABCAF1CA4B9F253D55D0D1836144AD4200</vt:lpwstr>
  </property>
  <property fmtid="{D5CDD505-2E9C-101B-9397-08002B2CF9AE}" pid="6" name="_EmailStoreID0">
    <vt:lpwstr>0000000038A1BB1005E5101AA1BB08002B2A56C200006D737073742E646C6C00000000004E495441F9BFB80100AA0037D96E0000000045003A005C00440061007400610020002800440029005C005300650074002000550070005C004F00750074006C006F006F006B005C004F00750074006C006F006F006B002E007000730</vt:lpwstr>
  </property>
  <property fmtid="{D5CDD505-2E9C-101B-9397-08002B2CF9AE}" pid="7" name="_EmailStoreID1">
    <vt:lpwstr>074000000</vt:lpwstr>
  </property>
  <property fmtid="{D5CDD505-2E9C-101B-9397-08002B2CF9AE}" pid="8" name="_ReviewingToolsShownOnce">
    <vt:lpwstr/>
  </property>
</Properties>
</file>