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0" yWindow="0" windowWidth="13860" windowHeight="13545" tabRatio="701"/>
  </bookViews>
  <sheets>
    <sheet name="1 ATRR" sheetId="1" r:id="rId1"/>
    <sheet name="2 WACC" sheetId="2" r:id="rId2"/>
    <sheet name="Rate Base" sheetId="3" r:id="rId3"/>
    <sheet name="4 Expense" sheetId="4" r:id="rId4"/>
    <sheet name="Allocation" sheetId="5" r:id="rId5"/>
    <sheet name="St.Macros" sheetId="6" state="veryHidden" r:id="rId6"/>
    <sheet name="Temp" sheetId="7" state="hidden" r:id="rId7"/>
    <sheet name="Dep Rates" sheetId="8" r:id="rId8"/>
    <sheet name="13 mo avg plant" sheetId="9" r:id="rId9"/>
    <sheet name="13 mo avg accu dep" sheetId="10" r:id="rId10"/>
    <sheet name="ADIT" sheetId="11" r:id="rId11"/>
    <sheet name="165 Prepayment" sheetId="12" r:id="rId12"/>
    <sheet name="Rates" sheetId="13" r:id="rId13"/>
  </sheets>
  <externalReferences>
    <externalReference r:id="rId14"/>
  </externalReferences>
  <definedNames>
    <definedName name="_clp1">'4 Expense'!$A$7:$H$54</definedName>
    <definedName name="_clp2">'Rate Base'!$A$6:$G$39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Allocation!$A$1:$G$42</definedName>
    <definedName name="alloc1">#REF!</definedName>
    <definedName name="alloc2">#REF!</definedName>
    <definedName name="clpcoc">#REF!</definedName>
    <definedName name="clpcoc2">'2 WACC'!$A$1:$T$49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ATRR'!$A$3:$L$70</definedName>
    <definedName name="_xlnm.Print_Area" localSheetId="9">'13 mo avg accu dep'!$A$4:$G$47</definedName>
    <definedName name="_xlnm.Print_Area" localSheetId="8">'13 mo avg plant'!$A$4:$F$64</definedName>
    <definedName name="_xlnm.Print_Area" localSheetId="1">'2 WACC'!$A$5:$U$92</definedName>
    <definedName name="_xlnm.Print_Area" localSheetId="3">'4 Expense'!$A$1:$M$68</definedName>
    <definedName name="_xlnm.Print_Area" localSheetId="10">ADIT!$A$4:$H$122</definedName>
    <definedName name="_xlnm.Print_Area" localSheetId="4">Allocation!$A$1:$N$47</definedName>
    <definedName name="_xlnm.Print_Area" localSheetId="7">'Dep Rates'!$A$1:$G$43</definedName>
    <definedName name="_xlnm.Print_Area" localSheetId="2">'Rate Base'!$A$5:$G$47</definedName>
    <definedName name="_xlnm.Print_Area" localSheetId="12">Rates!$A$5:$H$82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ATRR'!$A$1:$W$45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  <definedName name="Z_64F6106B_9E0C_489A_BDF0_E26F35DDE29F_.wvu.PrintArea" localSheetId="0" hidden="1">'1 ATRR'!$A$3:$L$70</definedName>
    <definedName name="Z_64F6106B_9E0C_489A_BDF0_E26F35DDE29F_.wvu.PrintArea" localSheetId="1" hidden="1">'2 WACC'!$A$2:$T$49</definedName>
    <definedName name="Z_64F6106B_9E0C_489A_BDF0_E26F35DDE29F_.wvu.PrintArea" localSheetId="3" hidden="1">'4 Expense'!$A$5:$K$87</definedName>
    <definedName name="Z_64F6106B_9E0C_489A_BDF0_E26F35DDE29F_.wvu.PrintArea" localSheetId="4" hidden="1">Allocation!$A$4:$K$47</definedName>
    <definedName name="Z_64F6106B_9E0C_489A_BDF0_E26F35DDE29F_.wvu.PrintArea" localSheetId="2" hidden="1">'Rate Base'!$A$5:$G$47</definedName>
  </definedNames>
  <calcPr calcId="145621"/>
  <customWorkbookViews>
    <customWorkbookView name="Carl Scott - Personal View" guid="{64F6106B-9E0C-489A-BDF0-E26F35DDE29F}" mergeInterval="0" personalView="1" maximized="1" xWindow="1" yWindow="1" windowWidth="1366" windowHeight="496" tabRatio="701" activeSheetId="1" showComments="commIndAndComment"/>
  </customWorkbookViews>
</workbook>
</file>

<file path=xl/calcChain.xml><?xml version="1.0" encoding="utf-8"?>
<calcChain xmlns="http://schemas.openxmlformats.org/spreadsheetml/2006/main">
  <c r="C30" i="4" l="1"/>
  <c r="E13" i="2" l="1"/>
  <c r="E48" i="13" l="1"/>
  <c r="K85" i="2" l="1"/>
  <c r="K84" i="2"/>
  <c r="C33" i="3"/>
  <c r="C63" i="9" l="1"/>
  <c r="D15" i="12" l="1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E40" i="1" l="1"/>
  <c r="D6" i="1" l="1"/>
  <c r="K85" i="1" l="1"/>
  <c r="K84" i="1"/>
  <c r="D29" i="13" l="1"/>
  <c r="E43" i="13" s="1"/>
  <c r="E88" i="11" l="1"/>
  <c r="C29" i="9" l="1"/>
  <c r="C46" i="9"/>
  <c r="A7" i="8" l="1"/>
  <c r="A6" i="8"/>
  <c r="C28" i="3" l="1"/>
  <c r="C27" i="3"/>
  <c r="C26" i="3"/>
  <c r="E28" i="12"/>
  <c r="C38" i="4"/>
  <c r="C40" i="4" s="1"/>
  <c r="E57" i="1"/>
  <c r="C65" i="4"/>
  <c r="C24" i="4" s="1"/>
  <c r="K71" i="2"/>
  <c r="K58" i="2"/>
  <c r="K64" i="2" s="1"/>
  <c r="P15" i="2"/>
  <c r="F56" i="13"/>
  <c r="B71" i="13"/>
  <c r="K79" i="2"/>
  <c r="P14" i="2"/>
  <c r="E46" i="13"/>
  <c r="E41" i="13"/>
  <c r="A36" i="13"/>
  <c r="A37" i="13"/>
  <c r="A38" i="13" s="1"/>
  <c r="A39" i="13"/>
  <c r="A41" i="13" s="1"/>
  <c r="A43" i="13" s="1"/>
  <c r="A44" i="13" s="1"/>
  <c r="A46" i="13" s="1"/>
  <c r="A48" i="13" s="1"/>
  <c r="A56" i="13"/>
  <c r="A58" i="13" s="1"/>
  <c r="A60" i="13" s="1"/>
  <c r="A62" i="13" s="1"/>
  <c r="A64" i="13" s="1"/>
  <c r="A66" i="13" s="1"/>
  <c r="A67" i="13" s="1"/>
  <c r="A70" i="13" s="1"/>
  <c r="A71" i="13" s="1"/>
  <c r="A73" i="13" s="1"/>
  <c r="A75" i="13" s="1"/>
  <c r="A77" i="13" s="1"/>
  <c r="A78" i="13" s="1"/>
  <c r="A80" i="13" s="1"/>
  <c r="A81" i="13" s="1"/>
  <c r="A18" i="13"/>
  <c r="A19" i="13"/>
  <c r="A20" i="13" s="1"/>
  <c r="A21" i="13" s="1"/>
  <c r="A22" i="13" s="1"/>
  <c r="A23" i="13" s="1"/>
  <c r="A24" i="13" s="1"/>
  <c r="A25" i="13" s="1"/>
  <c r="A26" i="13" s="1"/>
  <c r="A27" i="13" s="1"/>
  <c r="A28" i="13" s="1"/>
  <c r="A30" i="13" s="1"/>
  <c r="A31" i="13" s="1"/>
  <c r="C8" i="13"/>
  <c r="C7" i="13"/>
  <c r="E32" i="12"/>
  <c r="E31" i="12"/>
  <c r="E30" i="12"/>
  <c r="E29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C34" i="12"/>
  <c r="D34" i="12"/>
  <c r="C29" i="10"/>
  <c r="C20" i="3" s="1"/>
  <c r="D38" i="5"/>
  <c r="D28" i="5"/>
  <c r="D45" i="5" s="1"/>
  <c r="C15" i="3"/>
  <c r="C16" i="3"/>
  <c r="A15" i="12"/>
  <c r="A16" i="12"/>
  <c r="A17" i="12" s="1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C7" i="12"/>
  <c r="C6" i="12"/>
  <c r="A15" i="11"/>
  <c r="A16" i="11" s="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2" i="11" s="1"/>
  <c r="A84" i="11" s="1"/>
  <c r="A85" i="11" s="1"/>
  <c r="A86" i="11" s="1"/>
  <c r="A88" i="11" s="1"/>
  <c r="C7" i="11"/>
  <c r="C6" i="11"/>
  <c r="A15" i="10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9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6" i="10" s="1"/>
  <c r="C7" i="10"/>
  <c r="C6" i="10"/>
  <c r="C7" i="9"/>
  <c r="C6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9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6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3" i="9" s="1"/>
  <c r="C56" i="4"/>
  <c r="C42" i="4" s="1"/>
  <c r="A11" i="2"/>
  <c r="A14" i="2"/>
  <c r="A15" i="2" s="1"/>
  <c r="A24" i="2"/>
  <c r="A25" i="2" s="1"/>
  <c r="A28" i="2"/>
  <c r="A33" i="2"/>
  <c r="A34" i="2" s="1"/>
  <c r="A37" i="2"/>
  <c r="A54" i="2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19" i="5"/>
  <c r="A20" i="5" s="1"/>
  <c r="E51" i="1"/>
  <c r="A23" i="5"/>
  <c r="A24" i="5" s="1"/>
  <c r="A29" i="5"/>
  <c r="A30" i="5" s="1"/>
  <c r="A31" i="5" s="1"/>
  <c r="A32" i="5" s="1"/>
  <c r="A35" i="5"/>
  <c r="A36" i="5" s="1"/>
  <c r="A45" i="5"/>
  <c r="D20" i="5"/>
  <c r="D22" i="5" s="1"/>
  <c r="B7" i="4"/>
  <c r="B8" i="4"/>
  <c r="A18" i="4"/>
  <c r="A19" i="4" s="1"/>
  <c r="A24" i="4"/>
  <c r="A27" i="4"/>
  <c r="A28" i="4" s="1"/>
  <c r="A29" i="4" s="1"/>
  <c r="A30" i="4" s="1"/>
  <c r="A31" i="4" s="1"/>
  <c r="A34" i="4"/>
  <c r="A35" i="4" s="1"/>
  <c r="A36" i="4" s="1"/>
  <c r="A37" i="4" s="1"/>
  <c r="A38" i="4" s="1"/>
  <c r="A39" i="4" s="1"/>
  <c r="A47" i="4"/>
  <c r="A48" i="4" s="1"/>
  <c r="A49" i="4"/>
  <c r="A51" i="4" s="1"/>
  <c r="A52" i="4" s="1"/>
  <c r="A53" i="4" s="1"/>
  <c r="A54" i="4" s="1"/>
  <c r="A55" i="4" s="1"/>
  <c r="A56" i="4" s="1"/>
  <c r="B47" i="4"/>
  <c r="B48" i="4"/>
  <c r="B49" i="4"/>
  <c r="B7" i="3"/>
  <c r="B8" i="3"/>
  <c r="A16" i="3"/>
  <c r="A17" i="3" s="1"/>
  <c r="A20" i="3"/>
  <c r="A21" i="3" s="1"/>
  <c r="A22" i="3" s="1"/>
  <c r="A25" i="3"/>
  <c r="A26" i="3" s="1"/>
  <c r="A27" i="3" s="1"/>
  <c r="A28" i="3" s="1"/>
  <c r="A29" i="3" s="1"/>
  <c r="A36" i="3"/>
  <c r="A37" i="3" s="1"/>
  <c r="A38" i="3"/>
  <c r="A39" i="3" s="1"/>
  <c r="A40" i="3" s="1"/>
  <c r="A45" i="3"/>
  <c r="A46" i="3" s="1"/>
  <c r="A47" i="3" s="1"/>
  <c r="F39" i="3"/>
  <c r="B45" i="3"/>
  <c r="B46" i="3"/>
  <c r="B47" i="3"/>
  <c r="E6" i="2"/>
  <c r="E7" i="2"/>
  <c r="N28" i="2"/>
  <c r="N37" i="2"/>
  <c r="D5" i="1"/>
  <c r="A59" i="4"/>
  <c r="A60" i="4" s="1"/>
  <c r="A61" i="4" s="1"/>
  <c r="A62" i="4" s="1"/>
  <c r="A63" i="4" s="1"/>
  <c r="A64" i="4" s="1"/>
  <c r="A65" i="4" s="1"/>
  <c r="A66" i="4" s="1"/>
  <c r="A67" i="4" s="1"/>
  <c r="A68" i="4" s="1"/>
  <c r="C46" i="10"/>
  <c r="C21" i="3" s="1"/>
  <c r="E14" i="2"/>
  <c r="A34" i="12"/>
  <c r="K86" i="2"/>
  <c r="E15" i="2" s="1"/>
  <c r="P13" i="2" l="1"/>
  <c r="C29" i="4"/>
  <c r="C31" i="4" s="1"/>
  <c r="E34" i="12"/>
  <c r="C31" i="3" s="1"/>
  <c r="E17" i="2"/>
  <c r="D34" i="5"/>
  <c r="D44" i="5" s="1"/>
  <c r="D47" i="5" s="1"/>
  <c r="C29" i="3"/>
  <c r="N13" i="2" l="1"/>
  <c r="R13" i="2" s="1"/>
  <c r="N14" i="2"/>
  <c r="R14" i="2" s="1"/>
  <c r="T14" i="2" s="1"/>
  <c r="N15" i="2"/>
  <c r="R15" i="2" s="1"/>
  <c r="T15" i="2" s="1"/>
  <c r="D31" i="4"/>
  <c r="F31" i="4" s="1"/>
  <c r="D15" i="3"/>
  <c r="F15" i="3" s="1"/>
  <c r="D20" i="3"/>
  <c r="F20" i="3" s="1"/>
  <c r="D17" i="4"/>
  <c r="F17" i="4" s="1"/>
  <c r="D23" i="5"/>
  <c r="D24" i="5" s="1"/>
  <c r="D33" i="3"/>
  <c r="F33" i="3" s="1"/>
  <c r="E23" i="1" s="1"/>
  <c r="T17" i="2" l="1"/>
  <c r="E36" i="2" s="1"/>
  <c r="R17" i="2"/>
  <c r="E21" i="2" s="1"/>
  <c r="N17" i="2"/>
  <c r="F36" i="3"/>
  <c r="E38" i="1"/>
  <c r="E14" i="1"/>
  <c r="D42" i="4"/>
  <c r="F42" i="4" s="1"/>
  <c r="E37" i="1" s="1"/>
  <c r="D18" i="4"/>
  <c r="F18" i="4" s="1"/>
  <c r="F19" i="4" s="1"/>
  <c r="E34" i="1" s="1"/>
  <c r="D31" i="3"/>
  <c r="F31" i="3" s="1"/>
  <c r="E22" i="1" s="1"/>
  <c r="D16" i="3"/>
  <c r="F16" i="3" s="1"/>
  <c r="D21" i="3"/>
  <c r="F21" i="3" s="1"/>
  <c r="F22" i="3" s="1"/>
  <c r="E18" i="1" s="1"/>
  <c r="D38" i="4"/>
  <c r="F38" i="4" s="1"/>
  <c r="D40" i="4"/>
  <c r="F40" i="4" s="1"/>
  <c r="E27" i="2" l="1"/>
  <c r="E52" i="1"/>
  <c r="E54" i="1" s="1"/>
  <c r="E60" i="1" s="1"/>
  <c r="D35" i="5"/>
  <c r="D36" i="5" s="1"/>
  <c r="D40" i="5" s="1"/>
  <c r="E15" i="1"/>
  <c r="E16" i="1" s="1"/>
  <c r="F37" i="3"/>
  <c r="F38" i="3" s="1"/>
  <c r="F40" i="3" s="1"/>
  <c r="E24" i="1" s="1"/>
  <c r="E39" i="1"/>
  <c r="F17" i="3"/>
  <c r="D25" i="3" l="1"/>
  <c r="F25" i="3" s="1"/>
  <c r="D27" i="3"/>
  <c r="F27" i="3" s="1"/>
  <c r="D21" i="4"/>
  <c r="F21" i="4" s="1"/>
  <c r="D26" i="3"/>
  <c r="F26" i="3" s="1"/>
  <c r="D28" i="3"/>
  <c r="D24" i="4"/>
  <c r="F24" i="4" s="1"/>
  <c r="E36" i="1" s="1"/>
  <c r="F28" i="3" l="1"/>
  <c r="F29" i="3"/>
  <c r="E19" i="1" s="1"/>
  <c r="E20" i="1" s="1"/>
  <c r="E26" i="1" s="1"/>
  <c r="G27" i="2"/>
  <c r="E35" i="1"/>
  <c r="K27" i="2" l="1"/>
  <c r="K36" i="2" s="1"/>
  <c r="E45" i="2"/>
  <c r="G36" i="2"/>
  <c r="E30" i="2" l="1"/>
  <c r="N36" i="2" l="1"/>
  <c r="E39" i="2" s="1"/>
  <c r="E42" i="2" s="1"/>
  <c r="E47" i="2" s="1"/>
  <c r="E49" i="2" s="1"/>
  <c r="E33" i="1" s="1"/>
  <c r="E43" i="1" s="1"/>
  <c r="F54" i="13" l="1"/>
  <c r="C17" i="13"/>
  <c r="E56" i="1"/>
  <c r="E59" i="1" s="1"/>
  <c r="E62" i="1" s="1"/>
  <c r="E64" i="1" s="1"/>
  <c r="F78" i="13" l="1"/>
  <c r="F60" i="13"/>
  <c r="F62" i="13" s="1"/>
  <c r="F67" i="13"/>
  <c r="F80" i="13"/>
  <c r="F81" i="13"/>
  <c r="F77" i="13"/>
  <c r="F73" i="13"/>
  <c r="F64" i="13"/>
  <c r="F66" i="13"/>
  <c r="F75" i="13"/>
  <c r="C20" i="13"/>
  <c r="E20" i="13" s="1"/>
  <c r="C23" i="13"/>
  <c r="E23" i="13" s="1"/>
  <c r="C25" i="13"/>
  <c r="E25" i="13" s="1"/>
  <c r="C19" i="13"/>
  <c r="E19" i="13" s="1"/>
  <c r="C24" i="13"/>
  <c r="E24" i="13" s="1"/>
  <c r="C28" i="13"/>
  <c r="E28" i="13" s="1"/>
  <c r="C21" i="13"/>
  <c r="E21" i="13" s="1"/>
  <c r="C22" i="13"/>
  <c r="E22" i="13" s="1"/>
  <c r="C26" i="13"/>
  <c r="E26" i="13" s="1"/>
  <c r="E17" i="13"/>
  <c r="C18" i="13"/>
  <c r="E18" i="13" s="1"/>
  <c r="C27" i="13"/>
  <c r="E27" i="13" s="1"/>
</calcChain>
</file>

<file path=xl/sharedStrings.xml><?xml version="1.0" encoding="utf-8"?>
<sst xmlns="http://schemas.openxmlformats.org/spreadsheetml/2006/main" count="1021" uniqueCount="603">
  <si>
    <t>=</t>
  </si>
  <si>
    <t>(a)</t>
  </si>
  <si>
    <t>(b)</t>
  </si>
  <si>
    <t>(c)</t>
  </si>
  <si>
    <t>Reference</t>
  </si>
  <si>
    <t>Total</t>
  </si>
  <si>
    <t>I.</t>
  </si>
  <si>
    <t>INVESTMENT BASE</t>
  </si>
  <si>
    <t>Section:</t>
  </si>
  <si>
    <t>Transmission Plant</t>
  </si>
  <si>
    <t>(A)(1)(a)</t>
  </si>
  <si>
    <t>General Plant</t>
  </si>
  <si>
    <t>(A)(1)(b)</t>
  </si>
  <si>
    <t>Accumulated Depreciation</t>
  </si>
  <si>
    <t>Accumulated Deferred Income Taxes</t>
  </si>
  <si>
    <t>(A)(1)(e)</t>
  </si>
  <si>
    <t>(A)(1)(f)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</si>
  <si>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</si>
  <si>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</si>
  <si>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</si>
  <si>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</si>
  <si>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</si>
  <si>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</si>
  <si>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</si>
  <si>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</si>
  <si>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</si>
  <si>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</si>
  <si>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</si>
  <si>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</si>
  <si>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</si>
  <si>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</si>
  <si>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</si>
  <si>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</si>
  <si>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</si>
  <si>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</si>
  <si>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</si>
  <si>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</si>
  <si>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</si>
  <si>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</si>
  <si>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</si>
  <si>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</si>
  <si>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</si>
  <si>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</si>
  <si>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</si>
  <si>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</si>
  <si>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</si>
  <si>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</si>
  <si>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</si>
  <si>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</si>
  <si>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</si>
  <si>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</si>
  <si>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</si>
  <si>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</si>
  <si>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</si>
  <si>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</si>
  <si>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</si>
  <si>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</si>
  <si>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</si>
  <si>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</si>
  <si>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</si>
  <si>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</si>
  <si>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</si>
  <si>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</si>
  <si>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</si>
  <si>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</si>
  <si>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</si>
  <si>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</si>
  <si>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</si>
  <si>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Transmission 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</si>
  <si>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</si>
  <si>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</si>
  <si>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</si>
  <si>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</si>
  <si>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</si>
  <si>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</si>
  <si>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</si>
  <si>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>Transmission Accumulated Depreciation</t>
  </si>
  <si>
    <t>Transmission Accum. Depreciation</t>
  </si>
  <si>
    <t>General Plant Accum.Depreciation</t>
  </si>
  <si>
    <t>Transmission Accumulated Deferred Taxes</t>
  </si>
  <si>
    <t xml:space="preserve"> Accumulated Deferred Taxes (190)</t>
  </si>
  <si>
    <t>Transmission Prepayments</t>
  </si>
  <si>
    <t>Transmission Materials and Supplies</t>
  </si>
  <si>
    <t>General Depreciation</t>
  </si>
  <si>
    <t>Amortization of Investment Tax Credits</t>
  </si>
  <si>
    <t>Transmission Property Taxes</t>
  </si>
  <si>
    <t xml:space="preserve"> Transmission Operation and Maintenance</t>
  </si>
  <si>
    <t>Operation and Maintenance</t>
  </si>
  <si>
    <t>Transmission Administrative and General</t>
  </si>
  <si>
    <t>Administrative and General</t>
  </si>
  <si>
    <t xml:space="preserve">   less Regulatory Commission Expenses (#928)</t>
  </si>
  <si>
    <t xml:space="preserve">   less General Advertising Expense (#930.1)</t>
  </si>
  <si>
    <t>Footnote (d)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</si>
  <si>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</si>
  <si>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</si>
  <si>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</si>
  <si>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</si>
  <si>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</si>
  <si>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>Direct Transmission Wages and Salaries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</si>
  <si>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</si>
  <si>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</si>
  <si>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</si>
  <si>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</si>
  <si>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</si>
  <si>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(F)</t>
  </si>
  <si>
    <t>Page 354.21b</t>
  </si>
  <si>
    <t>Page 354.28b</t>
  </si>
  <si>
    <t>Page 354.27b</t>
  </si>
  <si>
    <t>Worksheet 3, line 2 column 3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</si>
  <si>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</si>
  <si>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</si>
  <si>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</si>
  <si>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</si>
  <si>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 xml:space="preserve">Total Transmission Plant </t>
  </si>
  <si>
    <t xml:space="preserve">Less Highgate Transmission </t>
  </si>
  <si>
    <t>Less Pool Transmission Facilities</t>
  </si>
  <si>
    <t xml:space="preserve">Network Transmission Plant </t>
  </si>
  <si>
    <t>(a) Transmission Wages and Salaries Allocation Factor</t>
  </si>
  <si>
    <t>(c) Network Transmission Plant Allocation Factor</t>
  </si>
  <si>
    <t>From Worksheet 5:</t>
  </si>
  <si>
    <t>Network Transmission Plant</t>
  </si>
  <si>
    <t>Annual Transmission Revenue Requirements</t>
  </si>
  <si>
    <t xml:space="preserve">     VT Sales Tax - Company Use</t>
  </si>
  <si>
    <t>1.  Transmission Wages and Salaries Allocation Factor</t>
  </si>
  <si>
    <t>2.  Total Transmission Plant Allocation Factor</t>
  </si>
  <si>
    <t>less Transmission of Electricity by Others- account 565</t>
  </si>
  <si>
    <t>3.  Network Transmission Plant Allocation Factor</t>
  </si>
  <si>
    <t>(b) Total Transmission Plant Allocation Factor</t>
  </si>
  <si>
    <t>Plant Investment</t>
  </si>
  <si>
    <t>Expenses</t>
  </si>
  <si>
    <t>Allocation Factors</t>
  </si>
  <si>
    <t xml:space="preserve">Total Wages and Salaries excluding A&amp;G </t>
  </si>
  <si>
    <t>Total Transmission Wages and Salaries Allocation Factor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</si>
  <si>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</si>
  <si>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</si>
  <si>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</si>
  <si>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</si>
  <si>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</si>
  <si>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</si>
  <si>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</si>
  <si>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</si>
  <si>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</si>
  <si>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Worksheet 3, line 1 column 3</t>
  </si>
  <si>
    <t>Worksheet 3, line 15 column 3</t>
  </si>
  <si>
    <t>Worksheet 4, line 3 column 3</t>
  </si>
  <si>
    <t xml:space="preserve">   less Annual PBOP Expense</t>
  </si>
  <si>
    <t xml:space="preserve">----------- </t>
  </si>
  <si>
    <t>Woodsville Annual Revenue Requirement</t>
  </si>
  <si>
    <t>Monthly Charge</t>
  </si>
  <si>
    <t xml:space="preserve">   Only the plant for the line used by Woodsville is included herein.</t>
  </si>
  <si>
    <t>DIRECT ASSIGMMENT AND INCREMENTALLY CHARGED FACILITIES</t>
  </si>
  <si>
    <t>III.</t>
  </si>
  <si>
    <t>*  Woodsville is the sole user of this non-integrated Green Mountain transmission facility.</t>
  </si>
  <si>
    <t xml:space="preserve">  Working Capital 1/8 formula</t>
  </si>
  <si>
    <t xml:space="preserve"> Accumulated Deferred Taxes (282)</t>
  </si>
  <si>
    <t xml:space="preserve"> Accumulated Deferred Taxes (283)</t>
  </si>
  <si>
    <t xml:space="preserve"> Accumulated Deferred Taxes (281)</t>
  </si>
  <si>
    <t>plus Facility Support Payments</t>
  </si>
  <si>
    <t>Fixed in tariff</t>
  </si>
  <si>
    <t xml:space="preserve">   Total Municipal Tax Expense detail:</t>
  </si>
  <si>
    <t xml:space="preserve">        Net Investment (Line 3-5-6)</t>
  </si>
  <si>
    <t xml:space="preserve">        Total Investment Base  (Line 7+8+9+10)</t>
  </si>
  <si>
    <t>line 23 / line 24</t>
  </si>
  <si>
    <t>Worksheet 1, line 22</t>
  </si>
  <si>
    <t>line 25</t>
  </si>
  <si>
    <t>line 26 -  line 27</t>
  </si>
  <si>
    <t>line 28 * line 29</t>
  </si>
  <si>
    <t>Line 30 / 12</t>
  </si>
  <si>
    <t xml:space="preserve"> plus Transmission-Related General Plant</t>
  </si>
  <si>
    <t>Worksheet 1, Line 17</t>
  </si>
  <si>
    <t>Worksheet 1, Line 18</t>
  </si>
  <si>
    <t>(A)(1)(c)</t>
  </si>
  <si>
    <t>(A)(1)(d)</t>
  </si>
  <si>
    <t>(A)(1)(g)</t>
  </si>
  <si>
    <t>(C)</t>
  </si>
  <si>
    <t>Less Direct Metallic Neutral Return Phase II</t>
  </si>
  <si>
    <t>Page 422.2l</t>
  </si>
  <si>
    <t xml:space="preserve">     Massachusetts property tax</t>
  </si>
  <si>
    <t>Attachment D-1</t>
  </si>
  <si>
    <t>Attachment E-1</t>
  </si>
  <si>
    <t>Woodsville Transmission Plant *</t>
  </si>
  <si>
    <t>From Worksheet 5</t>
  </si>
  <si>
    <t>Footnotes:</t>
  </si>
  <si>
    <t>Line 3 - Line 4</t>
  </si>
  <si>
    <t>Line 2 / Line 5</t>
  </si>
  <si>
    <t>from Line 24</t>
  </si>
  <si>
    <t>Line 7 X Line 8</t>
  </si>
  <si>
    <t>Line 11 - Lines 12,13,14 and 15</t>
  </si>
  <si>
    <t>Line 16 + Line 17</t>
  </si>
  <si>
    <t>Line 18 / Line 19</t>
  </si>
  <si>
    <t>Line 16</t>
  </si>
  <si>
    <t>Line 11</t>
  </si>
  <si>
    <t>Line 22 / Line 23</t>
  </si>
  <si>
    <t xml:space="preserve">  O&amp;M line 9 less lines 10, 11, plus line 12</t>
  </si>
  <si>
    <t xml:space="preserve">   Subtotal  [line 15 minus (16 thru 18)]</t>
  </si>
  <si>
    <t xml:space="preserve"> To Line 6</t>
  </si>
  <si>
    <t xml:space="preserve">  Total (line 5+6)</t>
  </si>
  <si>
    <t xml:space="preserve">  Total (lines 9,10,11,12)</t>
  </si>
  <si>
    <t xml:space="preserve">  Subtotal (line 17+18)</t>
  </si>
  <si>
    <t xml:space="preserve">  Total (line 19 * line 20)</t>
  </si>
  <si>
    <t xml:space="preserve">        Total Plant (Lines 2+3)</t>
  </si>
  <si>
    <t>Investment</t>
  </si>
  <si>
    <t>Tax Credit</t>
  </si>
  <si>
    <t>Investment Base)</t>
  </si>
  <si>
    <t>) /</t>
  </si>
  <si>
    <t>Total A&amp;G  [line 19 +line 20]</t>
  </si>
  <si>
    <t xml:space="preserve"> To Line 22</t>
  </si>
  <si>
    <t>Worksheet 4, line 21 column 3</t>
  </si>
  <si>
    <t>Worksheet 5, line 13</t>
  </si>
  <si>
    <t>Worksheet 1, line 2</t>
  </si>
  <si>
    <t>Worksheet 4, line 12</t>
  </si>
  <si>
    <t>Network Revenue Requirements (Line 12 thru 21)</t>
  </si>
  <si>
    <t>Woodsville Allocation of Network Plant</t>
  </si>
  <si>
    <t>Total Transmission Plant plus allocated General Plant</t>
  </si>
  <si>
    <t>Network Transmission Annual Revenue Requirement</t>
  </si>
  <si>
    <t>Revenue Requirement excl. Facility Support Payments</t>
  </si>
  <si>
    <t>Less Facilities Support Payments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</si>
  <si>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</si>
  <si>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</si>
  <si>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</si>
  <si>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</si>
  <si>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</si>
  <si>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</si>
  <si>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</si>
  <si>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</si>
  <si>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</si>
  <si>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</si>
  <si>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</si>
  <si>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</si>
  <si>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</si>
  <si>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</si>
  <si>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</si>
  <si>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</si>
  <si>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</si>
  <si>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</si>
  <si>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</si>
  <si>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</si>
  <si>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</si>
  <si>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</si>
  <si>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</si>
  <si>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</si>
  <si>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</si>
  <si>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</si>
  <si>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</si>
  <si>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</si>
  <si>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</si>
  <si>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</si>
  <si>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</si>
  <si>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</si>
  <si>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</si>
  <si>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</si>
  <si>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</si>
  <si>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</si>
  <si>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</si>
  <si>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</si>
  <si>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</si>
  <si>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</si>
  <si>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</si>
  <si>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</si>
  <si>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</si>
  <si>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</si>
  <si>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</si>
  <si>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</si>
  <si>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</si>
  <si>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</si>
  <si>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</si>
  <si>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</si>
  <si>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</si>
  <si>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</si>
  <si>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</si>
  <si>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Transmission Depreciation *</t>
  </si>
  <si>
    <t>Worksheet 3, line 7 column 3</t>
  </si>
  <si>
    <t>* See Worksheet 6 for detailed depreciation rates</t>
  </si>
  <si>
    <t>Depreciation Rates</t>
  </si>
  <si>
    <t>Description</t>
  </si>
  <si>
    <t>Acc 221 Bonds</t>
  </si>
  <si>
    <t>Less Acc 222 Reacq'd Bonds</t>
  </si>
  <si>
    <t>Acc 223 LT Advances from Assoc Cos.</t>
  </si>
  <si>
    <t>Acc 224 Other LT Debt</t>
  </si>
  <si>
    <t>Gross Proceeds Outstanding LT Debt</t>
  </si>
  <si>
    <t>Less Acc 226 Unamort Discount</t>
  </si>
  <si>
    <t>Less Acc 181 Unamort Debt Expense</t>
  </si>
  <si>
    <t>Less Acc 189 Unamort Loss on Reacqd Debt</t>
  </si>
  <si>
    <t>Plus Acc 225 Unamort Premium</t>
  </si>
  <si>
    <t>Plus Acc 257 Unamort Gain on Reacqd Debt</t>
  </si>
  <si>
    <t>Net Proceeds Long Term Debt</t>
  </si>
  <si>
    <t>Acc 427 and Acc 430 Interest Expense</t>
  </si>
  <si>
    <t>Acc 428 Amort Debt Discount and Expense</t>
  </si>
  <si>
    <t>Acc 428.1 Amort Loss on Reacqd Debt</t>
  </si>
  <si>
    <t>Less Acc 429 Amort Premium</t>
  </si>
  <si>
    <t>Less Acc 429.1 Amort Gain on Reacqd Debt</t>
  </si>
  <si>
    <t>Total Long Term Debt Cost</t>
  </si>
  <si>
    <t>Acc 204 Preferred Stock Issued</t>
  </si>
  <si>
    <t>Less Acc 217 Reacq Capital Stock (Pfd)</t>
  </si>
  <si>
    <t>Acc 207 Premium on Pfd Stock</t>
  </si>
  <si>
    <t>Acc 207-208 Other Paid In Capital (Pfd)</t>
  </si>
  <si>
    <t>Less Acc 213 discount on Capital Stock (Pfd)</t>
  </si>
  <si>
    <t>Less Acc 214 Capital Stock Expense (Pfd)</t>
  </si>
  <si>
    <t xml:space="preserve">Total Preferred Stock </t>
  </si>
  <si>
    <t>Preferred Dividend</t>
  </si>
  <si>
    <t>Proprietary Capital</t>
  </si>
  <si>
    <t>Less: Preferred Stock</t>
  </si>
  <si>
    <t>Less Acc 216.1 Unap Undis Subsidiary Earnings</t>
  </si>
  <si>
    <t>Less:  Account 219 (enter negative)</t>
  </si>
  <si>
    <t>Return on Equity =</t>
  </si>
  <si>
    <t xml:space="preserve">Common Equity </t>
  </si>
  <si>
    <t xml:space="preserve">General Other Tangible Property </t>
  </si>
  <si>
    <t>From Worksheet 1, line 11</t>
  </si>
  <si>
    <t>To Worksheet 1, line 12</t>
  </si>
  <si>
    <t>Worksheet 2, line 24</t>
  </si>
  <si>
    <t>Sum Ln 27 through 30</t>
  </si>
  <si>
    <t>Sum Ln 31 through 36</t>
  </si>
  <si>
    <t>Sum Ln 39 through 43</t>
  </si>
  <si>
    <t>Sum Ln 46 through 51</t>
  </si>
  <si>
    <t>Ln 55 less Ln 56 through 58</t>
  </si>
  <si>
    <t>Ln 53/Ln 52</t>
  </si>
  <si>
    <t>Worksheet 3, line 13 column 3</t>
  </si>
  <si>
    <t>Worksheet 3, line 14 column 3</t>
  </si>
  <si>
    <t>Worksheet 3, line 21 column 3</t>
  </si>
  <si>
    <t>Worksheet 4, line 4 column 3</t>
  </si>
  <si>
    <t>Worksheet 4, line 6 column 3</t>
  </si>
  <si>
    <t>Worksheet 4, line 22 column 3</t>
  </si>
  <si>
    <t>Worksheet 4, line 13 column 3</t>
  </si>
  <si>
    <t xml:space="preserve"> 45 / 360</t>
  </si>
  <si>
    <t>Worksheet 3, line 3 column 3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</si>
  <si>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</si>
  <si>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</si>
  <si>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less Load Dispatching - account 561.1-561.4</t>
  </si>
  <si>
    <t>**  Capital Structure is based on the average beginning-of-year and end-of-year balances for all components.</t>
  </si>
  <si>
    <t xml:space="preserve">December 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</si>
  <si>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</si>
  <si>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</si>
  <si>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</si>
  <si>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</si>
  <si>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</si>
  <si>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</si>
  <si>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</si>
  <si>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</si>
  <si>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</si>
  <si>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</si>
  <si>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January</t>
  </si>
  <si>
    <t>December</t>
  </si>
  <si>
    <t xml:space="preserve">13 Month Average Plant </t>
  </si>
  <si>
    <t xml:space="preserve">13 Month Average Transmission </t>
  </si>
  <si>
    <t xml:space="preserve">Plant </t>
  </si>
  <si>
    <t>Balance</t>
  </si>
  <si>
    <t>General</t>
  </si>
  <si>
    <t>13 Month Average General</t>
  </si>
  <si>
    <t>Company Workpapers</t>
  </si>
  <si>
    <t xml:space="preserve">Total Plant in Service </t>
  </si>
  <si>
    <t>13 Month Average Accumulated Depreciation</t>
  </si>
  <si>
    <t>13 Month Average Total Plant</t>
  </si>
  <si>
    <t>Account 283</t>
  </si>
  <si>
    <t>Total Account 283</t>
  </si>
  <si>
    <t>Account 190</t>
  </si>
  <si>
    <t xml:space="preserve">Beginning </t>
  </si>
  <si>
    <t xml:space="preserve">Ending </t>
  </si>
  <si>
    <t xml:space="preserve">Average </t>
  </si>
  <si>
    <t>ADIT</t>
  </si>
  <si>
    <t>Prepayment (165)</t>
  </si>
  <si>
    <t>Account 165 Prepayment</t>
  </si>
  <si>
    <t>16533 Prepayments-Income Taxes</t>
  </si>
  <si>
    <t xml:space="preserve">16534 Prepayments-Pension </t>
  </si>
  <si>
    <t>16538 Prepayments-McNeil</t>
  </si>
  <si>
    <t>16540 AP Property Tax Liability</t>
  </si>
  <si>
    <t>16541 Prepayments-Colchester Re Tax</t>
  </si>
  <si>
    <t>16542 Prepayments-Property Taxes</t>
  </si>
  <si>
    <t>Total Account 165</t>
  </si>
  <si>
    <t>Worksheet 7, line 15</t>
  </si>
  <si>
    <t>Worksheet 7, line 45</t>
  </si>
  <si>
    <t>Worksheet 8, line 15</t>
  </si>
  <si>
    <t>Worksheet 7, line 30</t>
  </si>
  <si>
    <t>Worksheet 8, line 30</t>
  </si>
  <si>
    <t>Worksheet 9</t>
  </si>
  <si>
    <t>Worksheet 10, line 19</t>
  </si>
  <si>
    <t xml:space="preserve">     plus PBOP Expense - Fixed **</t>
  </si>
  <si>
    <t>** The PBOP amount may not be changed absent a Section 205 or 206 filing with FERC.</t>
  </si>
  <si>
    <t>Firm Point-to-Point Transmission Service Rates:</t>
  </si>
  <si>
    <t>1. Yearly delivery</t>
  </si>
  <si>
    <t>per Kw-month</t>
  </si>
  <si>
    <t>2. Monthly delivery</t>
  </si>
  <si>
    <t>3. Weekly delivery</t>
  </si>
  <si>
    <t>per Kw-week</t>
  </si>
  <si>
    <t>4. Daily delivery - Monday through Friday</t>
  </si>
  <si>
    <t>per Kw-day</t>
  </si>
  <si>
    <t xml:space="preserve">                  - Saturday and Sunday</t>
  </si>
  <si>
    <t>1. Monthly delivery</t>
  </si>
  <si>
    <t>2. Weekly delivery</t>
  </si>
  <si>
    <t>3. Daily delivery - Monday through Friday</t>
  </si>
  <si>
    <t>4. Hourly delivery - On-Peak</t>
  </si>
  <si>
    <t>per Kw-hour</t>
  </si>
  <si>
    <t xml:space="preserve">                   - Off-Peak</t>
  </si>
  <si>
    <t xml:space="preserve">Annual    </t>
  </si>
  <si>
    <t xml:space="preserve">Firm Monthly </t>
  </si>
  <si>
    <t xml:space="preserve">Illustrative </t>
  </si>
  <si>
    <t xml:space="preserve">Revenue   </t>
  </si>
  <si>
    <t xml:space="preserve">Peak    </t>
  </si>
  <si>
    <t xml:space="preserve">Rate     </t>
  </si>
  <si>
    <t xml:space="preserve">Requirement </t>
  </si>
  <si>
    <t xml:space="preserve">(Kw)     </t>
  </si>
  <si>
    <t xml:space="preserve">$/Kw-month  </t>
  </si>
  <si>
    <t>February</t>
  </si>
  <si>
    <t>May</t>
  </si>
  <si>
    <t>(A)/(B)/12</t>
  </si>
  <si>
    <t xml:space="preserve">         Column B, Company Workpaper</t>
  </si>
  <si>
    <t>Firm Point-to-Point Transmission Service under Schedule 3</t>
  </si>
  <si>
    <t>Non-Firm Point-to-Point Transmission Service under Schedule 4</t>
  </si>
  <si>
    <t xml:space="preserve">Network Customers’ Local Network Loads </t>
  </si>
  <si>
    <t>Firm Local Point-to-Point Service reservations</t>
  </si>
  <si>
    <t>Load Dispatch-Reliability (561.1)</t>
  </si>
  <si>
    <t>Load Dispatch-Monitor &amp; Operate Trans System (561.2)</t>
  </si>
  <si>
    <t>Load Dispatch-Trans Service &amp; Scheduling (561.3)</t>
  </si>
  <si>
    <t>Scheduling, System Control and Dispatch Service under Schedule 1</t>
  </si>
  <si>
    <t>Scheduling, System Control and Dispatch Service rate</t>
  </si>
  <si>
    <t>Page 321.86</t>
  </si>
  <si>
    <t>Page 321.87</t>
  </si>
  <si>
    <t>Total Load Dispatching sum of lines 16-19</t>
  </si>
  <si>
    <t>Company Workpaper</t>
  </si>
  <si>
    <t>Total Schedule 1 Load sum of lines 21 and 22</t>
  </si>
  <si>
    <t>Line 20 / line 23 / 12</t>
  </si>
  <si>
    <t>line 27/line 28/12</t>
  </si>
  <si>
    <t>line 27/line 28/52</t>
  </si>
  <si>
    <t>line 27/line 28/260</t>
  </si>
  <si>
    <t>line 27/line 28/365</t>
  </si>
  <si>
    <t>line 27/line 28/4160</t>
  </si>
  <si>
    <t>line 27/line 28/8760</t>
  </si>
  <si>
    <t>General Office Transportation Equipment - large vehicles</t>
  </si>
  <si>
    <t>General Office Transportation Equipment - small vehicles</t>
  </si>
  <si>
    <t>* The depreciation rates may not be changed absent a Section 205 or 206 filing with FERC.</t>
  </si>
  <si>
    <t>Worksheet 1 of 11</t>
  </si>
  <si>
    <t>Worksheet 2 of 11</t>
  </si>
  <si>
    <t>Worksheet 3 of 11</t>
  </si>
  <si>
    <t>Worksheet 4 of 11</t>
  </si>
  <si>
    <t>Worksheet 5 of 11</t>
  </si>
  <si>
    <t>Worksheet  6  of  11</t>
  </si>
  <si>
    <t>Worksheet 7 of 11</t>
  </si>
  <si>
    <t>Worksheet  8  of  11</t>
  </si>
  <si>
    <t>Worksheet  9  of  11</t>
  </si>
  <si>
    <t>Worksheet 11 of 11</t>
  </si>
  <si>
    <t>Worksheet 10 of 11</t>
  </si>
  <si>
    <t>Worksheet 11, line 20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</si>
  <si>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</si>
  <si>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</si>
  <si>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</si>
  <si>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 xml:space="preserve">Scheduling,System Control&amp;Dispatch Services (561.4) </t>
  </si>
  <si>
    <t>Transmission Rate Summary</t>
  </si>
  <si>
    <t>Less Direct Assignment and Incrementally Charged Facilities</t>
  </si>
  <si>
    <t>ASSET RETIREMENT LIABILITY</t>
  </si>
  <si>
    <t>UNEARNED REVENUE</t>
  </si>
  <si>
    <t>MISC CUR WORKERS COMP MAJOR</t>
  </si>
  <si>
    <t>FINANCE CHARGE (LINEX)</t>
  </si>
  <si>
    <t>HEALTH INSURANCE RESERVE</t>
  </si>
  <si>
    <t>COST OF REMOVAL REGULATORY LIAB</t>
  </si>
  <si>
    <t>INT RATE SWAP/BOND DISCOUNT</t>
  </si>
  <si>
    <t>REGULATORY ASSET-ASSET RETIREME</t>
  </si>
  <si>
    <t>DEF ASSET-LOW INCOME DISC PAYME</t>
  </si>
  <si>
    <t>DEF ASSET-EFFICIENCY FUND PAYME</t>
  </si>
  <si>
    <t>CEED FUND Def chg</t>
  </si>
  <si>
    <t>Woodsville -G.Gilligan CPR report by district.</t>
  </si>
  <si>
    <t>16537 Prepayments-Other Expense</t>
  </si>
  <si>
    <t>Page 227.8 b,c</t>
  </si>
  <si>
    <t>Source:  Column A, Workpaper 1, line 22e</t>
  </si>
  <si>
    <t>Maximum of Lines 1B:12B</t>
  </si>
  <si>
    <t>Effective 10/1/14</t>
  </si>
  <si>
    <t>Less Revenue from Schedule 3 Firm PT to PT</t>
  </si>
  <si>
    <t>Less Revenue from Schedule 4 Non-Firm PT to PT</t>
  </si>
  <si>
    <t>See Supplemental Information</t>
  </si>
  <si>
    <t>TRANS</t>
  </si>
  <si>
    <t>Investment in Associated Companies</t>
  </si>
  <si>
    <t>Deferred Charges</t>
  </si>
  <si>
    <t>GORGE REPOWERMENT</t>
  </si>
  <si>
    <t>REG ASSET - VMPD VALUE SHARING</t>
  </si>
  <si>
    <t>REG ASSET - DEPRECIATION STUDY</t>
  </si>
  <si>
    <t>NUCLEAR DEF OUTAGE COSTS</t>
  </si>
  <si>
    <t>DEERFIELD WIND</t>
  </si>
  <si>
    <t>ARO</t>
  </si>
  <si>
    <t>CAFC</t>
  </si>
  <si>
    <t>25297,25298</t>
  </si>
  <si>
    <t>Deferred Credits</t>
  </si>
  <si>
    <t>REG LIAB - VYNPC VAL ALLOW</t>
  </si>
  <si>
    <t>REG LIAB-NEIL VY</t>
  </si>
  <si>
    <t>REG LIAB CVPS ESAM OVERCOLLECTI</t>
  </si>
  <si>
    <t>REG LIAB COW POWER MARKETING</t>
  </si>
  <si>
    <t>REG LIAB SMARTPOWER OVERCOLL-IN</t>
  </si>
  <si>
    <t>FAS 112</t>
  </si>
  <si>
    <t>FAS 112 liability</t>
  </si>
  <si>
    <t>PENSION</t>
  </si>
  <si>
    <t>W Cap</t>
  </si>
  <si>
    <t>Working Capital</t>
  </si>
  <si>
    <t>P R Med</t>
  </si>
  <si>
    <t>Post Retirement Medical</t>
  </si>
  <si>
    <t>SERP</t>
  </si>
  <si>
    <t>TAX FAS 109</t>
  </si>
  <si>
    <t>WC Prepayments</t>
  </si>
  <si>
    <t>Working Capital Prepayments</t>
  </si>
  <si>
    <t>FA</t>
  </si>
  <si>
    <t>Plant related items</t>
  </si>
  <si>
    <t>Capital Structure Equity</t>
  </si>
  <si>
    <t>NOL</t>
  </si>
  <si>
    <t>Net Operating losses</t>
  </si>
  <si>
    <t>PTC</t>
  </si>
  <si>
    <t>Production Tax Credits</t>
  </si>
  <si>
    <t>REG ASSET - RETIRED METER COST</t>
  </si>
  <si>
    <t>VY Contra VA</t>
  </si>
  <si>
    <t>FIN48</t>
  </si>
  <si>
    <t>12801NQ</t>
  </si>
  <si>
    <t>Millstone non-qualified trust</t>
  </si>
  <si>
    <t>AMORT OF HQ (89-90 AUDIT) now North &amp; South</t>
  </si>
  <si>
    <t>East Barnet</t>
  </si>
  <si>
    <t>Total Account 282, 283, 190</t>
  </si>
  <si>
    <t>Account 282, 283, 190</t>
  </si>
  <si>
    <t>13 mo avg</t>
  </si>
  <si>
    <t>2016 Estimated Annual Transmission Revenue Requirement</t>
  </si>
  <si>
    <t>Maximum Monthly Firm Transmission System Load</t>
  </si>
  <si>
    <t>Budget/Form 1, pg 112, ln 18c,d</t>
  </si>
  <si>
    <t>Budget/Form 1, pg 112, ln 19c,d</t>
  </si>
  <si>
    <t>Budget/Form 1, pg 256, various ln, col a,b</t>
  </si>
  <si>
    <t>Budget/Form 1, pg 112, ln 21c,d</t>
  </si>
  <si>
    <t>Budget/Form 1, pg 112, ln 23 c,d</t>
  </si>
  <si>
    <t>Budget/Form 1, pg 111, ln 81c,d</t>
  </si>
  <si>
    <t>Budget/Form 1, pg 112, ln 22c,d</t>
  </si>
  <si>
    <t>Budget/Form 1, pg 113, ln 61c,d</t>
  </si>
  <si>
    <t>Budget/Form 1, pg 257, ln 33(i)</t>
  </si>
  <si>
    <t>Budget/Form 1, pg 117, ln 64c</t>
  </si>
  <si>
    <t>Budget/Form 1, pg 117, ln 65 c</t>
  </si>
  <si>
    <t>Budget/Form 1, pg 117, ln 66c</t>
  </si>
  <si>
    <t>Budget/Form 1, pg 112, ln 3 c, d</t>
  </si>
  <si>
    <t>Budget/Form 1, pg 112, ln 13 c, d (portion)</t>
  </si>
  <si>
    <t>Budget/Form 1, pg 112, ln 6 c, d (portion)</t>
  </si>
  <si>
    <t>Budget/Form 1, pg 112, ln7 c, d (portion)</t>
  </si>
  <si>
    <t>Budget/Form 1, pg 112 ln 9 c, d (portion)</t>
  </si>
  <si>
    <t>Budget/Form 1, pg 112, ln 10 c, d (portion)</t>
  </si>
  <si>
    <t>Budget/Form 1, pg 118, ln 29 c</t>
  </si>
  <si>
    <t>Budget/Form 1, pg 112, ln 16, c,d</t>
  </si>
  <si>
    <t>Budget/Form 1, pg 112, ln 3 c,d</t>
  </si>
  <si>
    <t>(d) Payroll taxes from Budget/FF 1, P.263.i, 263.1i</t>
  </si>
  <si>
    <t>Budget/Page 336.7b</t>
  </si>
  <si>
    <t>Budget/Page 336.10b</t>
  </si>
  <si>
    <t>Budget/Page 262-263 FN.1-2</t>
  </si>
  <si>
    <t>Budget/Page 321.112b</t>
  </si>
  <si>
    <t>Budget/Page 321.96b</t>
  </si>
  <si>
    <t>Budget/Page 323.197b</t>
  </si>
  <si>
    <t>Budget/Page 123.30</t>
  </si>
  <si>
    <t>Budget/Page 323.189b</t>
  </si>
  <si>
    <t>Budget/Page 323.191b</t>
  </si>
  <si>
    <t>HTF-RTO filing</t>
  </si>
  <si>
    <t>PTF-Y25 filing</t>
  </si>
  <si>
    <t>September 2015</t>
  </si>
  <si>
    <t>January 2016</t>
  </si>
  <si>
    <t>Finance Group</t>
  </si>
  <si>
    <t>Budget/Form 1, pg 111, ln 69c,d</t>
  </si>
  <si>
    <t>Budget/Form 1, pg 117, ln 63 c</t>
  </si>
  <si>
    <t>16511~Prepayments-Ins General</t>
  </si>
  <si>
    <t>16512~Prepayments-Employee Medical</t>
  </si>
  <si>
    <t>16513~Prepayments-Ins Life</t>
  </si>
  <si>
    <t>16514~Prepayments-Ins Liability</t>
  </si>
  <si>
    <t>16515~Prepayments-Worker'S Comp</t>
  </si>
  <si>
    <t>16516~Prepayments-Excess Liability</t>
  </si>
  <si>
    <t>16517~Prepayments-D.O.L.I.</t>
  </si>
  <si>
    <t>16521~Prepayments-Purchase Power</t>
  </si>
  <si>
    <t>16522~Prepayments-Rec Brokerage Fees</t>
  </si>
  <si>
    <t>16531~Prepayment-Other</t>
  </si>
  <si>
    <t>16532~Prepayments-Mmwec</t>
  </si>
  <si>
    <t>9/30/2017 Rate Year</t>
  </si>
  <si>
    <t>CAP S EQUITY</t>
  </si>
  <si>
    <t>REG-ASSET-2013 NTA STUDY</t>
  </si>
  <si>
    <t>REG ASSET - DEERFIELD WIND COST</t>
  </si>
  <si>
    <t>JV SOLAR ABANDONED SITES</t>
  </si>
  <si>
    <t>RATE DESIGN</t>
  </si>
  <si>
    <t>REG-LIAB-earnings sharing</t>
  </si>
  <si>
    <t>CIAC REG LIABILITY</t>
  </si>
  <si>
    <t>DEF-REV-SO2 EMISSION ALLOWANCE</t>
  </si>
  <si>
    <t>CONTINGENCY RESERVES</t>
  </si>
  <si>
    <t>ELECTRICITY ASSISTANCE PROGRAM</t>
  </si>
  <si>
    <t>REG LIAB VYNPC REV SHAR AGRMT</t>
  </si>
  <si>
    <t>REG LIAB PRODUCTION TAX CREDIT</t>
  </si>
  <si>
    <t>Rate Case/Page 207.58b</t>
  </si>
  <si>
    <t>Rate Case/Page 207.58g</t>
  </si>
  <si>
    <t>Rate Case/Page 207.99b</t>
  </si>
  <si>
    <t>Rate Case/Page 207.99g</t>
  </si>
  <si>
    <t>Rate Case/Page 207.104b</t>
  </si>
  <si>
    <t>Rate Case/Page 207.104g</t>
  </si>
  <si>
    <t>Rate Case/Page 219.25c prior year</t>
  </si>
  <si>
    <t>Rate Case/Page 219.25c</t>
  </si>
  <si>
    <t>Rate Case/Page 219.28c prior year</t>
  </si>
  <si>
    <t>Rate Case/Page 219.28c</t>
  </si>
  <si>
    <t>Rate Case/Page 276-277</t>
  </si>
  <si>
    <t>Rate Case/Page 234 a/b</t>
  </si>
  <si>
    <r>
      <t>Budget/</t>
    </r>
    <r>
      <rPr>
        <b/>
        <sz val="11"/>
        <rFont val="Courier New"/>
        <family val="3"/>
      </rPr>
      <t>Page 266.8f</t>
    </r>
  </si>
  <si>
    <t>Page 321.85b</t>
  </si>
  <si>
    <r>
      <rPr>
        <b/>
        <sz val="11"/>
        <rFont val="Courier New"/>
        <family val="3"/>
      </rPr>
      <t>Rate Case</t>
    </r>
    <r>
      <rPr>
        <sz val="11"/>
        <rFont val="Courier New"/>
        <family val="3"/>
      </rPr>
      <t>/Page 321.88b</t>
    </r>
  </si>
  <si>
    <t>Budget/Page 330</t>
  </si>
  <si>
    <t>Rates effective June 1, 2017</t>
  </si>
  <si>
    <r>
      <rPr>
        <b/>
        <sz val="11"/>
        <rFont val="Courier New"/>
        <family val="3"/>
      </rPr>
      <t>Rate Case</t>
    </r>
    <r>
      <rPr>
        <sz val="11"/>
        <rFont val="Courier New"/>
        <family val="3"/>
      </rPr>
      <t>/Page 111.57</t>
    </r>
  </si>
  <si>
    <r>
      <t>1</t>
    </r>
    <r>
      <rPr>
        <b/>
        <u/>
        <sz val="10"/>
        <rFont val="Arial"/>
        <family val="2"/>
      </rPr>
      <t xml:space="preserve"> Long Term Debt</t>
    </r>
  </si>
  <si>
    <r>
      <t>1</t>
    </r>
    <r>
      <rPr>
        <b/>
        <u/>
        <sz val="10"/>
        <rFont val="Arial"/>
        <family val="2"/>
      </rPr>
      <t xml:space="preserve"> Long Term Debt Cost</t>
    </r>
  </si>
  <si>
    <r>
      <t>2</t>
    </r>
    <r>
      <rPr>
        <b/>
        <u/>
        <sz val="10"/>
        <rFont val="Arial"/>
        <family val="2"/>
      </rPr>
      <t xml:space="preserve"> Preferred Stock and Dividend</t>
    </r>
  </si>
  <si>
    <r>
      <t>3</t>
    </r>
    <r>
      <rPr>
        <b/>
        <u/>
        <sz val="10"/>
        <rFont val="Arial"/>
        <family val="2"/>
      </rPr>
      <t xml:space="preserve"> Common Stock</t>
    </r>
  </si>
  <si>
    <t>Budget/Form 1, pg 112, ln 12,c,d</t>
  </si>
  <si>
    <t>Budget/Form 1, pg 112, ln 15 c,d</t>
  </si>
  <si>
    <r>
      <t>4</t>
    </r>
    <r>
      <rPr>
        <b/>
        <sz val="10"/>
        <rFont val="Arial"/>
        <family val="2"/>
      </rPr>
      <t xml:space="preserve"> The cost of each component shall be as follows:</t>
    </r>
  </si>
  <si>
    <t>2017 FORECAST</t>
  </si>
  <si>
    <t>12-15-2016 Posting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</si>
</sst>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0000%"/>
    <numFmt numFmtId="168" formatCode="0.0000"/>
    <numFmt numFmtId="169" formatCode="0.0000000"/>
    <numFmt numFmtId="170" formatCode="0.0000000000"/>
    <numFmt numFmtId="171" formatCode="#,##0.0000_);[Red]\(#,##0.0000\)"/>
    <numFmt numFmtId="172" formatCode="_(&quot;$&quot;* #,##0_);_(&quot;$&quot;* \(#,##0\);_(&quot;$&quot;* &quot;-&quot;??_);_(@_)"/>
    <numFmt numFmtId="173" formatCode="#,##0.0000_);\(#,##0.0000\)"/>
    <numFmt numFmtId="174" formatCode="#,##0.00000_);[Red]\(#,##0.00000\)"/>
    <numFmt numFmtId="175" formatCode="[$-409]mmmm\-yy;@"/>
    <numFmt numFmtId="176" formatCode="&quot;$&quot;#,##0.0000000_);\(&quot;$&quot;#,##0.0000000\)"/>
    <numFmt numFmtId="177" formatCode="0_)"/>
    <numFmt numFmtId="178" formatCode="#,##0.00000000_);\(#,##0.00000000\)"/>
  </numFmts>
  <fonts count="60" x14ac:knownFonts="1">
    <font>
      <sz val="10"/>
      <name val="Arial"/>
    </font>
    <font>
      <sz val="10"/>
      <name val="Arial"/>
      <family val="2"/>
    </font>
    <font>
      <sz val="11"/>
      <name val="Bookman Old Style"/>
      <family val="1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u/>
      <sz val="11"/>
      <color indexed="12"/>
      <name val="Courier New"/>
      <family val="3"/>
    </font>
    <font>
      <sz val="10"/>
      <name val="Courier New"/>
      <family val="3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0070C0"/>
      <name val="Courier New"/>
      <family val="3"/>
    </font>
    <font>
      <u/>
      <sz val="11"/>
      <color rgb="FF0070C0"/>
      <name val="Courier New"/>
      <family val="3"/>
    </font>
    <font>
      <sz val="11"/>
      <color rgb="FFFF0000"/>
      <name val="Courier New"/>
      <family val="3"/>
    </font>
    <font>
      <b/>
      <sz val="12"/>
      <name val="Arial"/>
      <family val="2"/>
    </font>
    <font>
      <sz val="14"/>
      <name val="Courier New"/>
      <family val="3"/>
    </font>
    <font>
      <b/>
      <u/>
      <sz val="11"/>
      <name val="Courier New"/>
      <family val="3"/>
    </font>
    <font>
      <b/>
      <sz val="11"/>
      <color rgb="FF0070C0"/>
      <name val="Courier New"/>
      <family val="3"/>
    </font>
    <font>
      <b/>
      <u/>
      <vertAlign val="superscript"/>
      <sz val="10"/>
      <name val="Arial"/>
      <family val="2"/>
    </font>
    <font>
      <b/>
      <u/>
      <sz val="10"/>
      <name val="Arial"/>
      <family val="2"/>
    </font>
    <font>
      <b/>
      <sz val="11"/>
      <color rgb="FFFF0000"/>
      <name val="Courier New"/>
      <family val="3"/>
    </font>
    <font>
      <b/>
      <strike/>
      <sz val="10"/>
      <name val="Arial"/>
      <family val="2"/>
    </font>
    <font>
      <b/>
      <sz val="11"/>
      <color theme="1"/>
      <name val="Courier New"/>
      <family val="3"/>
    </font>
    <font>
      <b/>
      <vertAlign val="superscript"/>
      <sz val="1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44">
    <xf numFmtId="0" fontId="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20" borderId="0" applyNumberFormat="0" applyBorder="0" applyAlignment="0" applyProtection="0"/>
    <xf numFmtId="0" fontId="29" fillId="32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42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23" fillId="0" borderId="0"/>
    <xf numFmtId="37" fontId="23" fillId="0" borderId="0"/>
    <xf numFmtId="37" fontId="23" fillId="0" borderId="0"/>
    <xf numFmtId="0" fontId="23" fillId="0" borderId="0"/>
    <xf numFmtId="0" fontId="1" fillId="29" borderId="7" applyNumberFormat="0" applyFont="0" applyAlignment="0" applyProtection="0"/>
    <xf numFmtId="0" fontId="1" fillId="29" borderId="7" applyNumberFormat="0" applyFont="0" applyAlignment="0" applyProtection="0"/>
    <xf numFmtId="0" fontId="20" fillId="32" borderId="8" applyNumberForma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4" fillId="10" borderId="9" applyNumberFormat="0" applyProtection="0">
      <alignment vertical="center"/>
    </xf>
    <xf numFmtId="4" fontId="35" fillId="10" borderId="9" applyNumberFormat="0" applyProtection="0">
      <alignment vertical="center"/>
    </xf>
    <xf numFmtId="4" fontId="34" fillId="10" borderId="9" applyNumberFormat="0" applyProtection="0">
      <alignment horizontal="left" vertical="center" indent="1"/>
    </xf>
    <xf numFmtId="0" fontId="34" fillId="10" borderId="9" applyNumberFormat="0" applyProtection="0">
      <alignment horizontal="left" vertical="top" indent="1"/>
    </xf>
    <xf numFmtId="4" fontId="34" fillId="3" borderId="0" applyNumberFormat="0" applyProtection="0">
      <alignment horizontal="left" vertical="center" indent="1"/>
    </xf>
    <xf numFmtId="4" fontId="26" fillId="8" borderId="9" applyNumberFormat="0" applyProtection="0">
      <alignment horizontal="right" vertical="center"/>
    </xf>
    <xf numFmtId="4" fontId="26" fillId="4" borderId="9" applyNumberFormat="0" applyProtection="0">
      <alignment horizontal="right" vertical="center"/>
    </xf>
    <xf numFmtId="4" fontId="26" fillId="28" borderId="9" applyNumberFormat="0" applyProtection="0">
      <alignment horizontal="right" vertical="center"/>
    </xf>
    <xf numFmtId="4" fontId="26" fillId="14" borderId="9" applyNumberFormat="0" applyProtection="0">
      <alignment horizontal="right" vertical="center"/>
    </xf>
    <xf numFmtId="4" fontId="26" fillId="37" borderId="9" applyNumberFormat="0" applyProtection="0">
      <alignment horizontal="right" vertical="center"/>
    </xf>
    <xf numFmtId="4" fontId="26" fillId="13" borderId="9" applyNumberFormat="0" applyProtection="0">
      <alignment horizontal="right" vertical="center"/>
    </xf>
    <xf numFmtId="4" fontId="26" fillId="11" borderId="9" applyNumberFormat="0" applyProtection="0">
      <alignment horizontal="right" vertical="center"/>
    </xf>
    <xf numFmtId="4" fontId="26" fillId="38" borderId="9" applyNumberFormat="0" applyProtection="0">
      <alignment horizontal="right" vertical="center"/>
    </xf>
    <xf numFmtId="4" fontId="26" fillId="39" borderId="9" applyNumberFormat="0" applyProtection="0">
      <alignment horizontal="right" vertical="center"/>
    </xf>
    <xf numFmtId="4" fontId="34" fillId="40" borderId="1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36" fillId="9" borderId="0" applyNumberFormat="0" applyProtection="0">
      <alignment horizontal="left" vertical="center" indent="1"/>
    </xf>
    <xf numFmtId="4" fontId="26" fillId="3" borderId="9" applyNumberFormat="0" applyProtection="0">
      <alignment horizontal="right" vertical="center"/>
    </xf>
    <xf numFmtId="4" fontId="26" fillId="41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3" borderId="0" applyNumberFormat="0" applyProtection="0">
      <alignment horizontal="left" vertical="center" indent="1"/>
    </xf>
    <xf numFmtId="4" fontId="26" fillId="3" borderId="0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top" indent="1"/>
    </xf>
    <xf numFmtId="0" fontId="1" fillId="9" borderId="9" applyNumberFormat="0" applyProtection="0">
      <alignment horizontal="left" vertical="top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top" indent="1"/>
    </xf>
    <xf numFmtId="0" fontId="1" fillId="3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2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41" borderId="9" applyNumberFormat="0" applyProtection="0">
      <alignment horizontal="left" vertical="top" indent="1"/>
    </xf>
    <xf numFmtId="0" fontId="1" fillId="7" borderId="11" applyNumberFormat="0">
      <protection locked="0"/>
    </xf>
    <xf numFmtId="0" fontId="1" fillId="7" borderId="11" applyNumberFormat="0">
      <protection locked="0"/>
    </xf>
    <xf numFmtId="4" fontId="26" fillId="5" borderId="9" applyNumberFormat="0" applyProtection="0">
      <alignment vertical="center"/>
    </xf>
    <xf numFmtId="4" fontId="37" fillId="5" borderId="9" applyNumberFormat="0" applyProtection="0">
      <alignment vertical="center"/>
    </xf>
    <xf numFmtId="4" fontId="26" fillId="5" borderId="9" applyNumberFormat="0" applyProtection="0">
      <alignment horizontal="left" vertical="center" indent="1"/>
    </xf>
    <xf numFmtId="0" fontId="26" fillId="5" borderId="9" applyNumberFormat="0" applyProtection="0">
      <alignment horizontal="left" vertical="top" indent="1"/>
    </xf>
    <xf numFmtId="4" fontId="26" fillId="41" borderId="9" applyNumberFormat="0" applyProtection="0">
      <alignment horizontal="right" vertical="center"/>
    </xf>
    <xf numFmtId="4" fontId="37" fillId="41" borderId="9" applyNumberFormat="0" applyProtection="0">
      <alignment horizontal="right" vertical="center"/>
    </xf>
    <xf numFmtId="4" fontId="26" fillId="3" borderId="9" applyNumberFormat="0" applyProtection="0">
      <alignment horizontal="left" vertical="center" indent="1"/>
    </xf>
    <xf numFmtId="0" fontId="26" fillId="3" borderId="9" applyNumberFormat="0" applyProtection="0">
      <alignment horizontal="left" vertical="top" indent="1"/>
    </xf>
    <xf numFmtId="4" fontId="38" fillId="42" borderId="0" applyNumberFormat="0" applyProtection="0">
      <alignment horizontal="left" vertical="center" indent="1"/>
    </xf>
    <xf numFmtId="4" fontId="24" fillId="41" borderId="9" applyNumberFormat="0" applyProtection="0">
      <alignment horizontal="right" vertical="center"/>
    </xf>
    <xf numFmtId="4" fontId="24" fillId="41" borderId="9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</cellStyleXfs>
  <cellXfs count="314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/>
    <xf numFmtId="38" fontId="4" fillId="0" borderId="0" xfId="0" applyNumberFormat="1" applyFont="1" applyFill="1" applyBorder="1"/>
    <xf numFmtId="38" fontId="3" fillId="0" borderId="0" xfId="0" applyNumberFormat="1" applyFont="1"/>
    <xf numFmtId="38" fontId="3" fillId="0" borderId="0" xfId="0" applyNumberFormat="1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0" fontId="3" fillId="0" borderId="0" xfId="0" applyNumberFormat="1" applyFont="1"/>
    <xf numFmtId="0" fontId="3" fillId="0" borderId="0" xfId="0" applyFont="1" applyAlignment="1">
      <alignment horizontal="center"/>
    </xf>
    <xf numFmtId="38" fontId="4" fillId="0" borderId="13" xfId="0" applyNumberFormat="1" applyFont="1" applyBorder="1"/>
    <xf numFmtId="38" fontId="3" fillId="0" borderId="0" xfId="0" applyNumberFormat="1" applyFont="1" applyFill="1" applyBorder="1"/>
    <xf numFmtId="0" fontId="3" fillId="0" borderId="0" xfId="0" quotePrefix="1" applyFont="1" applyBorder="1" applyAlignment="1">
      <alignment horizontal="center"/>
    </xf>
    <xf numFmtId="0" fontId="3" fillId="0" borderId="0" xfId="0" applyFont="1" applyFill="1"/>
    <xf numFmtId="0" fontId="3" fillId="0" borderId="0" xfId="0" quotePrefix="1" applyFont="1" applyFill="1"/>
    <xf numFmtId="0" fontId="3" fillId="0" borderId="0" xfId="0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/>
    <xf numFmtId="38" fontId="3" fillId="0" borderId="13" xfId="0" applyNumberFormat="1" applyFont="1" applyBorder="1"/>
    <xf numFmtId="0" fontId="5" fillId="0" borderId="0" xfId="0" applyFont="1" applyBorder="1"/>
    <xf numFmtId="0" fontId="3" fillId="0" borderId="0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0" xfId="0" applyNumberFormat="1" applyFont="1" applyBorder="1" applyProtection="1"/>
    <xf numFmtId="38" fontId="3" fillId="0" borderId="0" xfId="0" applyNumberFormat="1" applyFont="1" applyBorder="1" applyAlignment="1">
      <alignment horizontal="center"/>
    </xf>
    <xf numFmtId="0" fontId="3" fillId="0" borderId="0" xfId="0" quotePrefix="1" applyFont="1" applyBorder="1"/>
    <xf numFmtId="37" fontId="3" fillId="0" borderId="0" xfId="0" applyNumberFormat="1" applyFont="1" applyProtection="1"/>
    <xf numFmtId="37" fontId="3" fillId="0" borderId="0" xfId="0" applyNumberFormat="1" applyFont="1" applyBorder="1"/>
    <xf numFmtId="165" fontId="3" fillId="0" borderId="0" xfId="0" applyNumberFormat="1" applyFont="1" applyProtection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8" fontId="3" fillId="0" borderId="0" xfId="0" applyNumberFormat="1" applyFont="1" applyBorder="1" applyAlignment="1">
      <alignment horizontal="right"/>
    </xf>
    <xf numFmtId="0" fontId="3" fillId="43" borderId="0" xfId="0" applyFont="1" applyFill="1"/>
    <xf numFmtId="0" fontId="6" fillId="0" borderId="0" xfId="0" applyFont="1" applyAlignment="1">
      <alignment horizontal="center"/>
    </xf>
    <xf numFmtId="0" fontId="3" fillId="43" borderId="0" xfId="0" applyFont="1" applyFill="1" applyAlignment="1">
      <alignment horizontal="center"/>
    </xf>
    <xf numFmtId="5" fontId="3" fillId="0" borderId="0" xfId="0" applyNumberFormat="1" applyFont="1"/>
    <xf numFmtId="0" fontId="3" fillId="43" borderId="0" xfId="0" applyFont="1" applyFill="1" applyBorder="1"/>
    <xf numFmtId="164" fontId="3" fillId="43" borderId="0" xfId="0" applyNumberFormat="1" applyFont="1" applyFill="1" applyBorder="1"/>
    <xf numFmtId="0" fontId="5" fillId="43" borderId="0" xfId="0" applyFont="1" applyFill="1"/>
    <xf numFmtId="0" fontId="3" fillId="43" borderId="0" xfId="0" quotePrefix="1" applyFont="1" applyFill="1"/>
    <xf numFmtId="38" fontId="3" fillId="43" borderId="0" xfId="0" applyNumberFormat="1" applyFont="1" applyFill="1" applyBorder="1"/>
    <xf numFmtId="38" fontId="3" fillId="43" borderId="13" xfId="0" applyNumberFormat="1" applyFont="1" applyFill="1" applyBorder="1"/>
    <xf numFmtId="0" fontId="3" fillId="43" borderId="13" xfId="0" applyFont="1" applyFill="1" applyBorder="1"/>
    <xf numFmtId="5" fontId="3" fillId="0" borderId="0" xfId="0" applyNumberFormat="1" applyFont="1" applyBorder="1"/>
    <xf numFmtId="5" fontId="3" fillId="0" borderId="17" xfId="0" applyNumberFormat="1" applyFont="1" applyBorder="1"/>
    <xf numFmtId="5" fontId="3" fillId="0" borderId="14" xfId="0" applyNumberFormat="1" applyFont="1" applyBorder="1"/>
    <xf numFmtId="5" fontId="3" fillId="43" borderId="0" xfId="0" applyNumberFormat="1" applyFont="1" applyFill="1" applyBorder="1"/>
    <xf numFmtId="0" fontId="7" fillId="0" borderId="0" xfId="0" applyFont="1"/>
    <xf numFmtId="0" fontId="7" fillId="43" borderId="0" xfId="0" applyFont="1" applyFill="1"/>
    <xf numFmtId="0" fontId="43" fillId="0" borderId="0" xfId="67" applyFont="1"/>
    <xf numFmtId="0" fontId="3" fillId="0" borderId="0" xfId="0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72" applyFont="1"/>
    <xf numFmtId="0" fontId="3" fillId="43" borderId="0" xfId="72" applyFont="1" applyFill="1"/>
    <xf numFmtId="0" fontId="3" fillId="43" borderId="0" xfId="72" applyFont="1" applyFill="1"/>
    <xf numFmtId="0" fontId="8" fillId="0" borderId="0" xfId="0" applyFont="1" applyBorder="1"/>
    <xf numFmtId="0" fontId="5" fillId="0" borderId="13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37" fontId="10" fillId="0" borderId="13" xfId="0" applyNumberFormat="1" applyFont="1" applyBorder="1" applyAlignment="1"/>
    <xf numFmtId="37" fontId="1" fillId="0" borderId="0" xfId="0" applyNumberFormat="1" applyFont="1"/>
    <xf numFmtId="37" fontId="10" fillId="0" borderId="13" xfId="0" applyNumberFormat="1" applyFont="1" applyBorder="1"/>
    <xf numFmtId="37" fontId="10" fillId="0" borderId="13" xfId="0" applyNumberFormat="1" applyFont="1" applyBorder="1" applyAlignment="1">
      <alignment horizontal="center"/>
    </xf>
    <xf numFmtId="37" fontId="1" fillId="0" borderId="0" xfId="0" applyNumberFormat="1" applyFont="1" applyAlignment="1"/>
    <xf numFmtId="37" fontId="11" fillId="0" borderId="0" xfId="0" applyNumberFormat="1" applyFont="1"/>
    <xf numFmtId="0" fontId="3" fillId="44" borderId="0" xfId="0" applyFont="1" applyFill="1" applyAlignment="1">
      <alignment horizontal="center"/>
    </xf>
    <xf numFmtId="0" fontId="1" fillId="0" borderId="0" xfId="0" applyFont="1"/>
    <xf numFmtId="37" fontId="3" fillId="0" borderId="0" xfId="0" applyNumberFormat="1" applyFont="1"/>
    <xf numFmtId="49" fontId="9" fillId="0" borderId="0" xfId="76" applyNumberFormat="1" applyFont="1" applyFill="1"/>
    <xf numFmtId="17" fontId="9" fillId="0" borderId="0" xfId="76" applyNumberFormat="1" applyFont="1" applyFill="1"/>
    <xf numFmtId="0" fontId="6" fillId="0" borderId="0" xfId="0" applyFont="1"/>
    <xf numFmtId="0" fontId="0" fillId="0" borderId="0" xfId="0" applyAlignment="1">
      <alignment horizontal="center"/>
    </xf>
    <xf numFmtId="37" fontId="4" fillId="0" borderId="0" xfId="0" applyNumberFormat="1" applyFont="1"/>
    <xf numFmtId="37" fontId="3" fillId="43" borderId="0" xfId="0" applyNumberFormat="1" applyFont="1" applyFill="1" applyAlignment="1">
      <alignment horizontal="center"/>
    </xf>
    <xf numFmtId="37" fontId="3" fillId="43" borderId="0" xfId="46" applyNumberFormat="1" applyFont="1" applyFill="1"/>
    <xf numFmtId="0" fontId="39" fillId="0" borderId="0" xfId="0" applyFont="1"/>
    <xf numFmtId="0" fontId="40" fillId="0" borderId="0" xfId="0" applyFont="1"/>
    <xf numFmtId="3" fontId="40" fillId="43" borderId="0" xfId="0" applyNumberFormat="1" applyFont="1" applyFill="1" applyBorder="1" applyAlignment="1">
      <alignment horizontal="right"/>
    </xf>
    <xf numFmtId="174" fontId="40" fillId="43" borderId="0" xfId="0" applyNumberFormat="1" applyFont="1" applyFill="1" applyBorder="1" applyAlignment="1">
      <alignment horizontal="right"/>
    </xf>
    <xf numFmtId="38" fontId="40" fillId="43" borderId="0" xfId="0" applyNumberFormat="1" applyFont="1" applyFill="1" applyBorder="1" applyAlignment="1">
      <alignment horizontal="right"/>
    </xf>
    <xf numFmtId="49" fontId="3" fillId="0" borderId="0" xfId="0" applyNumberFormat="1" applyFont="1"/>
    <xf numFmtId="7" fontId="3" fillId="0" borderId="0" xfId="0" applyNumberFormat="1" applyFont="1" applyProtection="1"/>
    <xf numFmtId="39" fontId="3" fillId="0" borderId="0" xfId="0" applyNumberFormat="1" applyFont="1" applyProtection="1"/>
    <xf numFmtId="175" fontId="3" fillId="43" borderId="0" xfId="0" applyNumberFormat="1" applyFont="1" applyFill="1"/>
    <xf numFmtId="37" fontId="3" fillId="43" borderId="0" xfId="0" applyNumberFormat="1" applyFont="1" applyFill="1" applyProtection="1">
      <protection locked="0"/>
    </xf>
    <xf numFmtId="37" fontId="3" fillId="0" borderId="0" xfId="0" applyNumberFormat="1" applyFont="1" applyFill="1" applyBorder="1" applyProtection="1">
      <protection locked="0"/>
    </xf>
    <xf numFmtId="5" fontId="3" fillId="0" borderId="0" xfId="0" applyNumberFormat="1" applyFont="1" applyProtection="1"/>
    <xf numFmtId="0" fontId="3" fillId="44" borderId="0" xfId="0" applyFont="1" applyFill="1"/>
    <xf numFmtId="5" fontId="3" fillId="0" borderId="0" xfId="0" applyNumberFormat="1" applyFont="1" applyProtection="1">
      <protection locked="0"/>
    </xf>
    <xf numFmtId="173" fontId="3" fillId="0" borderId="0" xfId="0" applyNumberFormat="1" applyFont="1" applyProtection="1"/>
    <xf numFmtId="37" fontId="3" fillId="0" borderId="0" xfId="0" applyNumberFormat="1" applyFont="1" applyProtection="1">
      <protection locked="0"/>
    </xf>
    <xf numFmtId="37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0" fontId="43" fillId="0" borderId="0" xfId="67" applyFont="1" applyAlignment="1">
      <alignment horizontal="center"/>
    </xf>
    <xf numFmtId="10" fontId="43" fillId="0" borderId="0" xfId="84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7" fontId="3" fillId="43" borderId="0" xfId="79" applyNumberFormat="1" applyFont="1" applyFill="1"/>
    <xf numFmtId="37" fontId="3" fillId="0" borderId="0" xfId="0" applyNumberFormat="1" applyFont="1" applyAlignment="1" applyProtection="1">
      <alignment horizontal="center"/>
    </xf>
    <xf numFmtId="7" fontId="3" fillId="0" borderId="0" xfId="0" applyNumberFormat="1" applyFont="1" applyAlignment="1" applyProtection="1">
      <alignment horizontal="center"/>
    </xf>
    <xf numFmtId="39" fontId="3" fillId="0" borderId="0" xfId="0" applyNumberFormat="1" applyFont="1" applyAlignment="1" applyProtection="1">
      <alignment horizontal="center"/>
    </xf>
    <xf numFmtId="10" fontId="3" fillId="0" borderId="0" xfId="0" applyNumberFormat="1" applyFont="1" applyBorder="1" applyProtection="1"/>
    <xf numFmtId="10" fontId="10" fillId="0" borderId="0" xfId="83" applyNumberFormat="1" applyFont="1" applyFill="1" applyAlignment="1">
      <alignment horizontal="center"/>
    </xf>
    <xf numFmtId="171" fontId="3" fillId="0" borderId="0" xfId="0" applyNumberFormat="1" applyFont="1" applyBorder="1"/>
    <xf numFmtId="0" fontId="3" fillId="0" borderId="0" xfId="67" applyFont="1" applyAlignment="1">
      <alignment horizontal="right"/>
    </xf>
    <xf numFmtId="10" fontId="3" fillId="0" borderId="0" xfId="84" applyNumberFormat="1" applyFont="1" applyFill="1"/>
    <xf numFmtId="0" fontId="3" fillId="0" borderId="0" xfId="67" applyFont="1"/>
    <xf numFmtId="5" fontId="3" fillId="43" borderId="0" xfId="0" applyNumberFormat="1" applyFont="1" applyFill="1" applyAlignment="1" applyProtection="1">
      <alignment horizontal="center"/>
      <protection locked="0"/>
    </xf>
    <xf numFmtId="17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3" fillId="43" borderId="0" xfId="72" applyNumberFormat="1" applyFont="1" applyFill="1" applyAlignment="1"/>
    <xf numFmtId="38" fontId="3" fillId="0" borderId="0" xfId="0" applyNumberFormat="1" applyFont="1" applyAlignment="1"/>
    <xf numFmtId="0" fontId="3" fillId="0" borderId="0" xfId="0" applyFont="1" applyAlignment="1"/>
    <xf numFmtId="164" fontId="3" fillId="0" borderId="0" xfId="0" applyNumberFormat="1" applyFont="1" applyBorder="1" applyAlignment="1"/>
    <xf numFmtId="164" fontId="3" fillId="0" borderId="13" xfId="0" applyNumberFormat="1" applyFont="1" applyBorder="1" applyAlignment="1"/>
    <xf numFmtId="164" fontId="7" fillId="0" borderId="17" xfId="0" applyNumberFormat="1" applyFont="1" applyBorder="1" applyAlignment="1"/>
    <xf numFmtId="38" fontId="3" fillId="43" borderId="0" xfId="0" applyNumberFormat="1" applyFont="1" applyFill="1" applyAlignment="1"/>
    <xf numFmtId="5" fontId="3" fillId="43" borderId="0" xfId="0" applyNumberFormat="1" applyFont="1" applyFill="1" applyAlignment="1"/>
    <xf numFmtId="38" fontId="3" fillId="0" borderId="13" xfId="0" applyNumberFormat="1" applyFont="1" applyFill="1" applyBorder="1" applyAlignment="1"/>
    <xf numFmtId="5" fontId="3" fillId="0" borderId="0" xfId="0" applyNumberFormat="1" applyFont="1" applyAlignment="1"/>
    <xf numFmtId="37" fontId="3" fillId="43" borderId="0" xfId="0" applyNumberFormat="1" applyFont="1" applyFill="1" applyAlignment="1"/>
    <xf numFmtId="0" fontId="3" fillId="43" borderId="0" xfId="0" applyFont="1" applyFill="1" applyAlignment="1"/>
    <xf numFmtId="164" fontId="7" fillId="43" borderId="17" xfId="0" applyNumberFormat="1" applyFont="1" applyFill="1" applyBorder="1" applyAlignment="1"/>
    <xf numFmtId="0" fontId="1" fillId="0" borderId="0" xfId="72" applyAlignment="1">
      <alignment horizontal="right"/>
    </xf>
    <xf numFmtId="38" fontId="3" fillId="43" borderId="0" xfId="0" applyNumberFormat="1" applyFont="1" applyFill="1" applyAlignment="1">
      <alignment horizontal="right"/>
    </xf>
    <xf numFmtId="38" fontId="3" fillId="0" borderId="0" xfId="0" applyNumberFormat="1" applyFont="1" applyAlignment="1">
      <alignment horizontal="right"/>
    </xf>
    <xf numFmtId="5" fontId="3" fillId="0" borderId="17" xfId="0" applyNumberFormat="1" applyFont="1" applyBorder="1" applyAlignment="1">
      <alignment horizontal="right"/>
    </xf>
    <xf numFmtId="5" fontId="3" fillId="0" borderId="0" xfId="0" applyNumberFormat="1" applyFont="1" applyAlignment="1">
      <alignment horizontal="right"/>
    </xf>
    <xf numFmtId="5" fontId="3" fillId="0" borderId="14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43" borderId="0" xfId="0" applyNumberFormat="1" applyFont="1" applyFill="1" applyBorder="1" applyAlignment="1">
      <alignment horizontal="right"/>
    </xf>
    <xf numFmtId="37" fontId="3" fillId="44" borderId="0" xfId="72" applyNumberFormat="1" applyFont="1" applyFill="1" applyProtection="1"/>
    <xf numFmtId="5" fontId="3" fillId="44" borderId="0" xfId="72" applyNumberFormat="1" applyFont="1" applyFill="1"/>
    <xf numFmtId="37" fontId="3" fillId="44" borderId="0" xfId="72" applyNumberFormat="1" applyFont="1" applyFill="1"/>
    <xf numFmtId="37" fontId="5" fillId="44" borderId="0" xfId="72" applyNumberFormat="1" applyFont="1" applyFill="1"/>
    <xf numFmtId="37" fontId="3" fillId="0" borderId="0" xfId="72" applyNumberFormat="1" applyFont="1"/>
    <xf numFmtId="37" fontId="3" fillId="0" borderId="0" xfId="72" applyNumberFormat="1" applyFont="1" applyAlignment="1" applyProtection="1">
      <alignment horizontal="right"/>
    </xf>
    <xf numFmtId="37" fontId="3" fillId="43" borderId="0" xfId="72" applyNumberFormat="1" applyFont="1" applyFill="1" applyAlignment="1" applyProtection="1">
      <alignment horizontal="right"/>
    </xf>
    <xf numFmtId="5" fontId="3" fillId="44" borderId="0" xfId="72" applyNumberFormat="1" applyFont="1" applyFill="1"/>
    <xf numFmtId="37" fontId="3" fillId="44" borderId="0" xfId="72" applyNumberFormat="1" applyFont="1" applyFill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/>
    <xf numFmtId="37" fontId="3" fillId="44" borderId="0" xfId="46" applyNumberFormat="1" applyFont="1" applyFill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/>
    <xf numFmtId="37" fontId="3" fillId="44" borderId="0" xfId="46" applyNumberFormat="1" applyFont="1" applyFill="1"/>
    <xf numFmtId="37" fontId="3" fillId="44" borderId="0" xfId="52" applyNumberFormat="1" applyFont="1" applyFill="1"/>
    <xf numFmtId="38" fontId="3" fillId="0" borderId="0" xfId="72" applyNumberFormat="1" applyFont="1" applyBorder="1" applyAlignment="1">
      <alignment horizontal="right"/>
    </xf>
    <xf numFmtId="5" fontId="3" fillId="0" borderId="0" xfId="72" applyNumberFormat="1" applyFont="1" applyAlignment="1" applyProtection="1">
      <alignment horizontal="right"/>
    </xf>
    <xf numFmtId="37" fontId="3" fillId="44" borderId="0" xfId="72" applyNumberFormat="1" applyFont="1" applyFill="1" applyAlignment="1">
      <alignment horizontal="right"/>
    </xf>
    <xf numFmtId="5" fontId="3" fillId="44" borderId="0" xfId="72" applyNumberFormat="1" applyFont="1" applyFill="1" applyAlignment="1">
      <alignment horizontal="right"/>
    </xf>
    <xf numFmtId="0" fontId="1" fillId="0" borderId="0" xfId="72"/>
    <xf numFmtId="0" fontId="1" fillId="0" borderId="0" xfId="72" applyFont="1"/>
    <xf numFmtId="177" fontId="41" fillId="0" borderId="0" xfId="77" applyNumberFormat="1" applyFont="1" applyFill="1" applyAlignment="1" applyProtection="1">
      <alignment horizontal="left"/>
    </xf>
    <xf numFmtId="0" fontId="1" fillId="44" borderId="0" xfId="72" applyFont="1" applyFill="1" applyAlignment="1">
      <alignment horizontal="center"/>
    </xf>
    <xf numFmtId="37" fontId="23" fillId="0" borderId="0" xfId="78" applyFill="1"/>
    <xf numFmtId="37" fontId="23" fillId="43" borderId="0" xfId="78" applyFill="1"/>
    <xf numFmtId="37" fontId="23" fillId="0" borderId="0" xfId="77" applyFill="1"/>
    <xf numFmtId="37" fontId="23" fillId="0" borderId="0" xfId="78" applyFont="1" applyFill="1"/>
    <xf numFmtId="0" fontId="3" fillId="0" borderId="0" xfId="72" applyFont="1" applyBorder="1" applyAlignment="1">
      <alignment horizontal="center"/>
    </xf>
    <xf numFmtId="0" fontId="5" fillId="0" borderId="0" xfId="72" applyFont="1" applyBorder="1"/>
    <xf numFmtId="5" fontId="3" fillId="0" borderId="0" xfId="72" applyNumberFormat="1" applyFont="1"/>
    <xf numFmtId="0" fontId="6" fillId="0" borderId="0" xfId="72" applyFont="1"/>
    <xf numFmtId="0" fontId="1" fillId="0" borderId="0" xfId="72" applyFont="1" applyAlignment="1">
      <alignment horizontal="center"/>
    </xf>
    <xf numFmtId="0" fontId="1" fillId="44" borderId="0" xfId="72" applyFont="1" applyFill="1"/>
    <xf numFmtId="43" fontId="1" fillId="44" borderId="0" xfId="46" applyFont="1" applyFill="1" applyAlignment="1">
      <alignment horizontal="center"/>
    </xf>
    <xf numFmtId="43" fontId="1" fillId="44" borderId="0" xfId="46" applyFont="1" applyFill="1"/>
    <xf numFmtId="37" fontId="3" fillId="0" borderId="0" xfId="0" applyNumberFormat="1" applyFont="1" applyFill="1" applyProtection="1"/>
    <xf numFmtId="172" fontId="3" fillId="0" borderId="0" xfId="52" applyNumberFormat="1" applyFont="1"/>
    <xf numFmtId="0" fontId="1" fillId="0" borderId="0" xfId="141"/>
    <xf numFmtId="10" fontId="3" fillId="0" borderId="0" xfId="141" applyNumberFormat="1" applyFont="1" applyAlignment="1">
      <alignment horizontal="center"/>
    </xf>
    <xf numFmtId="0" fontId="3" fillId="0" borderId="0" xfId="142" applyFont="1" applyAlignment="1">
      <alignment horizontal="center"/>
    </xf>
    <xf numFmtId="0" fontId="3" fillId="0" borderId="0" xfId="141" applyFont="1" applyAlignment="1">
      <alignment horizontal="center"/>
    </xf>
    <xf numFmtId="10" fontId="3" fillId="0" borderId="0" xfId="142" applyNumberFormat="1" applyFont="1" applyBorder="1" applyAlignment="1">
      <alignment horizontal="center" vertical="top" wrapText="1"/>
    </xf>
    <xf numFmtId="10" fontId="3" fillId="0" borderId="0" xfId="141" applyNumberFormat="1" applyFont="1" applyBorder="1" applyAlignment="1">
      <alignment horizontal="center" vertical="top" wrapText="1"/>
    </xf>
    <xf numFmtId="178" fontId="3" fillId="0" borderId="0" xfId="0" applyNumberFormat="1" applyFont="1" applyProtection="1"/>
    <xf numFmtId="37" fontId="44" fillId="44" borderId="0" xfId="72" applyNumberFormat="1" applyFont="1" applyFill="1" applyAlignment="1">
      <alignment horizontal="center"/>
    </xf>
    <xf numFmtId="37" fontId="44" fillId="44" borderId="0" xfId="72" applyNumberFormat="1" applyFont="1" applyFill="1" applyAlignment="1">
      <alignment horizontal="right"/>
    </xf>
    <xf numFmtId="5" fontId="44" fillId="44" borderId="0" xfId="72" applyNumberFormat="1" applyFont="1" applyFill="1" applyAlignment="1">
      <alignment horizontal="center"/>
    </xf>
    <xf numFmtId="38" fontId="44" fillId="43" borderId="0" xfId="0" applyNumberFormat="1" applyFont="1" applyFill="1" applyAlignment="1">
      <alignment horizontal="right"/>
    </xf>
    <xf numFmtId="5" fontId="44" fillId="44" borderId="0" xfId="72" applyNumberFormat="1" applyFont="1" applyFill="1" applyAlignment="1">
      <alignment horizontal="right"/>
    </xf>
    <xf numFmtId="37" fontId="44" fillId="44" borderId="0" xfId="72" applyNumberFormat="1" applyFont="1" applyFill="1" applyBorder="1" applyAlignment="1">
      <alignment horizontal="right"/>
    </xf>
    <xf numFmtId="5" fontId="44" fillId="44" borderId="0" xfId="72" applyNumberFormat="1" applyFont="1" applyFill="1" applyAlignment="1"/>
    <xf numFmtId="37" fontId="44" fillId="44" borderId="0" xfId="72" applyNumberFormat="1" applyFont="1" applyFill="1" applyAlignment="1"/>
    <xf numFmtId="177" fontId="36" fillId="0" borderId="0" xfId="77" applyNumberFormat="1" applyFont="1" applyFill="1" applyAlignment="1" applyProtection="1">
      <alignment horizontal="left"/>
    </xf>
    <xf numFmtId="49" fontId="23" fillId="0" borderId="0" xfId="77" applyNumberFormat="1" applyFill="1" applyBorder="1" applyAlignment="1">
      <alignment horizontal="left"/>
    </xf>
    <xf numFmtId="0" fontId="47" fillId="0" borderId="0" xfId="0" applyFont="1"/>
    <xf numFmtId="5" fontId="3" fillId="0" borderId="14" xfId="0" applyNumberFormat="1" applyFont="1" applyFill="1" applyBorder="1"/>
    <xf numFmtId="0" fontId="3" fillId="0" borderId="13" xfId="143" applyNumberFormat="1" applyFont="1" applyBorder="1" applyAlignment="1">
      <alignment horizontal="center"/>
    </xf>
    <xf numFmtId="14" fontId="3" fillId="0" borderId="0" xfId="143" applyNumberFormat="1" applyFont="1" applyAlignment="1">
      <alignment horizontal="left"/>
    </xf>
    <xf numFmtId="37" fontId="43" fillId="0" borderId="0" xfId="72" applyNumberFormat="1" applyFont="1"/>
    <xf numFmtId="37" fontId="45" fillId="44" borderId="0" xfId="72" applyNumberFormat="1" applyFont="1" applyFill="1"/>
    <xf numFmtId="0" fontId="48" fillId="0" borderId="0" xfId="0" applyFont="1" applyFill="1"/>
    <xf numFmtId="0" fontId="10" fillId="0" borderId="0" xfId="0" applyFont="1"/>
    <xf numFmtId="37" fontId="43" fillId="44" borderId="0" xfId="72" applyNumberFormat="1" applyFont="1" applyFill="1" applyAlignment="1">
      <alignment horizontal="center"/>
    </xf>
    <xf numFmtId="7" fontId="3" fillId="0" borderId="0" xfId="0" applyNumberFormat="1" applyFont="1"/>
    <xf numFmtId="10" fontId="46" fillId="0" borderId="0" xfId="0" applyNumberFormat="1" applyFont="1"/>
    <xf numFmtId="165" fontId="7" fillId="0" borderId="0" xfId="0" applyNumberFormat="1" applyFo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5" fontId="7" fillId="0" borderId="0" xfId="0" applyNumberFormat="1" applyFont="1" applyBorder="1"/>
    <xf numFmtId="38" fontId="7" fillId="0" borderId="0" xfId="0" applyNumberFormat="1" applyFont="1" applyFill="1" applyBorder="1"/>
    <xf numFmtId="38" fontId="7" fillId="0" borderId="13" xfId="0" applyNumberFormat="1" applyFont="1" applyBorder="1"/>
    <xf numFmtId="6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0" xfId="0" quotePrefix="1" applyFont="1" applyAlignment="1">
      <alignment horizontal="left"/>
    </xf>
    <xf numFmtId="38" fontId="7" fillId="0" borderId="0" xfId="0" applyNumberFormat="1" applyFont="1"/>
    <xf numFmtId="38" fontId="7" fillId="0" borderId="0" xfId="0" applyNumberFormat="1" applyFont="1" applyBorder="1"/>
    <xf numFmtId="37" fontId="7" fillId="0" borderId="0" xfId="0" applyNumberFormat="1" applyFont="1" applyBorder="1"/>
    <xf numFmtId="5" fontId="7" fillId="0" borderId="17" xfId="0" applyNumberFormat="1" applyFont="1" applyBorder="1"/>
    <xf numFmtId="0" fontId="7" fillId="0" borderId="0" xfId="0" applyFont="1" applyBorder="1" applyAlignment="1">
      <alignment horizontal="right"/>
    </xf>
    <xf numFmtId="10" fontId="7" fillId="0" borderId="0" xfId="0" applyNumberFormat="1" applyFont="1" applyProtection="1"/>
    <xf numFmtId="10" fontId="7" fillId="0" borderId="0" xfId="0" applyNumberFormat="1" applyFont="1" applyBorder="1" applyProtection="1"/>
    <xf numFmtId="166" fontId="7" fillId="0" borderId="0" xfId="0" applyNumberFormat="1" applyFont="1" applyAlignment="1" applyProtection="1">
      <alignment horizontal="center"/>
    </xf>
    <xf numFmtId="37" fontId="50" fillId="0" borderId="0" xfId="0" applyNumberFormat="1" applyFont="1" applyFill="1" applyAlignment="1">
      <alignment horizontal="right"/>
    </xf>
    <xf numFmtId="38" fontId="7" fillId="0" borderId="0" xfId="0" applyNumberFormat="1" applyFont="1" applyBorder="1" applyAlignment="1">
      <alignment horizontal="right"/>
    </xf>
    <xf numFmtId="5" fontId="7" fillId="43" borderId="0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5" fontId="7" fillId="0" borderId="0" xfId="0" quotePrefix="1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7" fillId="43" borderId="0" xfId="0" applyFont="1" applyFill="1" applyAlignment="1">
      <alignment horizontal="center"/>
    </xf>
    <xf numFmtId="3" fontId="7" fillId="0" borderId="0" xfId="0" applyNumberFormat="1" applyFont="1"/>
    <xf numFmtId="0" fontId="7" fillId="0" borderId="0" xfId="0" applyFont="1" applyFill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7" fontId="7" fillId="43" borderId="0" xfId="72" applyNumberFormat="1" applyFont="1" applyFill="1" applyBorder="1" applyAlignment="1" applyProtection="1">
      <alignment horizontal="center"/>
    </xf>
    <xf numFmtId="10" fontId="7" fillId="43" borderId="0" xfId="72" applyNumberFormat="1" applyFont="1" applyFill="1" applyAlignment="1">
      <alignment horizontal="center"/>
    </xf>
    <xf numFmtId="37" fontId="7" fillId="43" borderId="13" xfId="72" applyNumberFormat="1" applyFont="1" applyFill="1" applyBorder="1" applyAlignment="1" applyProtection="1">
      <alignment horizontal="center"/>
    </xf>
    <xf numFmtId="10" fontId="7" fillId="0" borderId="15" xfId="0" applyNumberFormat="1" applyFont="1" applyBorder="1" applyProtection="1"/>
    <xf numFmtId="10" fontId="7" fillId="43" borderId="0" xfId="72" applyNumberFormat="1" applyFont="1" applyFill="1" applyAlignment="1" applyProtection="1">
      <alignment horizontal="center"/>
    </xf>
    <xf numFmtId="37" fontId="7" fillId="0" borderId="16" xfId="0" applyNumberFormat="1" applyFont="1" applyBorder="1" applyProtection="1"/>
    <xf numFmtId="37" fontId="7" fillId="0" borderId="0" xfId="0" applyNumberFormat="1" applyFont="1" applyBorder="1" applyProtection="1"/>
    <xf numFmtId="10" fontId="7" fillId="0" borderId="16" xfId="0" applyNumberFormat="1" applyFont="1" applyBorder="1" applyProtection="1"/>
    <xf numFmtId="0" fontId="7" fillId="0" borderId="0" xfId="0" quotePrefix="1" applyFont="1"/>
    <xf numFmtId="10" fontId="7" fillId="0" borderId="17" xfId="0" applyNumberFormat="1" applyFont="1" applyBorder="1"/>
    <xf numFmtId="168" fontId="7" fillId="0" borderId="0" xfId="0" applyNumberFormat="1" applyFont="1" applyBorder="1"/>
    <xf numFmtId="38" fontId="7" fillId="0" borderId="0" xfId="0" applyNumberFormat="1" applyFont="1" applyBorder="1" applyAlignment="1">
      <alignment horizontal="center"/>
    </xf>
    <xf numFmtId="0" fontId="7" fillId="0" borderId="13" xfId="0" quotePrefix="1" applyFont="1" applyBorder="1" applyAlignment="1">
      <alignment horizontal="center"/>
    </xf>
    <xf numFmtId="38" fontId="7" fillId="0" borderId="13" xfId="0" quotePrefix="1" applyNumberFormat="1" applyFont="1" applyBorder="1" applyAlignment="1">
      <alignment horizontal="center"/>
    </xf>
    <xf numFmtId="38" fontId="7" fillId="0" borderId="13" xfId="0" applyNumberFormat="1" applyFont="1" applyBorder="1" applyAlignment="1">
      <alignment horizontal="left"/>
    </xf>
    <xf numFmtId="38" fontId="7" fillId="0" borderId="13" xfId="0" quotePrefix="1" applyNumberFormat="1" applyFont="1" applyBorder="1" applyAlignment="1">
      <alignment horizontal="left"/>
    </xf>
    <xf numFmtId="38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0" fontId="7" fillId="0" borderId="0" xfId="0" quotePrefix="1" applyFont="1" applyAlignment="1">
      <alignment horizontal="right"/>
    </xf>
    <xf numFmtId="0" fontId="7" fillId="0" borderId="0" xfId="0" quotePrefix="1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0" fontId="7" fillId="0" borderId="13" xfId="0" applyNumberFormat="1" applyFont="1" applyBorder="1" applyAlignment="1">
      <alignment horizontal="center"/>
    </xf>
    <xf numFmtId="168" fontId="7" fillId="0" borderId="13" xfId="0" quotePrefix="1" applyNumberFormat="1" applyFont="1" applyBorder="1" applyAlignment="1">
      <alignment horizontal="left"/>
    </xf>
    <xf numFmtId="38" fontId="7" fillId="43" borderId="13" xfId="0" quotePrefix="1" applyNumberFormat="1" applyFont="1" applyFill="1" applyBorder="1" applyAlignment="1">
      <alignment horizontal="right"/>
    </xf>
    <xf numFmtId="0" fontId="50" fillId="44" borderId="0" xfId="0" applyFont="1" applyFill="1" applyAlignment="1">
      <alignment horizontal="center"/>
    </xf>
    <xf numFmtId="0" fontId="7" fillId="43" borderId="13" xfId="0" applyFont="1" applyFill="1" applyBorder="1" applyAlignment="1">
      <alignment horizontal="right"/>
    </xf>
    <xf numFmtId="0" fontId="7" fillId="43" borderId="13" xfId="0" quotePrefix="1" applyFont="1" applyFill="1" applyBorder="1" applyAlignment="1">
      <alignment horizontal="right"/>
    </xf>
    <xf numFmtId="169" fontId="7" fillId="0" borderId="17" xfId="0" applyNumberFormat="1" applyFont="1" applyBorder="1"/>
    <xf numFmtId="169" fontId="7" fillId="0" borderId="0" xfId="0" applyNumberFormat="1" applyFont="1" applyBorder="1"/>
    <xf numFmtId="0" fontId="7" fillId="0" borderId="13" xfId="0" applyFont="1" applyBorder="1"/>
    <xf numFmtId="0" fontId="7" fillId="0" borderId="13" xfId="0" quotePrefix="1" applyFont="1" applyBorder="1"/>
    <xf numFmtId="0" fontId="7" fillId="0" borderId="0" xfId="0" quotePrefix="1" applyFont="1" applyBorder="1"/>
    <xf numFmtId="38" fontId="7" fillId="0" borderId="13" xfId="0" quotePrefix="1" applyNumberFormat="1" applyFont="1" applyBorder="1" applyAlignment="1">
      <alignment horizontal="right"/>
    </xf>
    <xf numFmtId="169" fontId="7" fillId="0" borderId="13" xfId="0" applyNumberFormat="1" applyFont="1" applyBorder="1" applyAlignment="1">
      <alignment horizontal="centerContinuous"/>
    </xf>
    <xf numFmtId="0" fontId="7" fillId="44" borderId="13" xfId="72" applyFont="1" applyFill="1" applyBorder="1" applyAlignment="1">
      <alignment horizontal="centerContinuous"/>
    </xf>
    <xf numFmtId="170" fontId="7" fillId="0" borderId="0" xfId="0" applyNumberFormat="1" applyFont="1" applyBorder="1"/>
    <xf numFmtId="37" fontId="7" fillId="0" borderId="0" xfId="0" applyNumberFormat="1" applyFont="1" applyProtection="1"/>
    <xf numFmtId="169" fontId="7" fillId="0" borderId="0" xfId="0" applyNumberFormat="1" applyFont="1"/>
    <xf numFmtId="37" fontId="7" fillId="0" borderId="14" xfId="0" applyNumberFormat="1" applyFont="1" applyBorder="1"/>
    <xf numFmtId="37" fontId="51" fillId="0" borderId="0" xfId="0" applyNumberFormat="1" applyFont="1"/>
    <xf numFmtId="37" fontId="10" fillId="0" borderId="0" xfId="0" applyNumberFormat="1" applyFont="1"/>
    <xf numFmtId="37" fontId="10" fillId="0" borderId="0" xfId="0" applyNumberFormat="1" applyFont="1" applyBorder="1"/>
    <xf numFmtId="37" fontId="10" fillId="0" borderId="0" xfId="0" applyNumberFormat="1" applyFont="1" applyFill="1" applyBorder="1" applyAlignment="1"/>
    <xf numFmtId="37" fontId="10" fillId="0" borderId="0" xfId="0" applyNumberFormat="1" applyFont="1" applyAlignment="1"/>
    <xf numFmtId="0" fontId="53" fillId="0" borderId="0" xfId="0" applyFont="1"/>
    <xf numFmtId="172" fontId="50" fillId="44" borderId="0" xfId="52" applyNumberFormat="1" applyFont="1" applyFill="1" applyAlignment="1">
      <alignment horizontal="center"/>
    </xf>
    <xf numFmtId="172" fontId="7" fillId="44" borderId="0" xfId="52" applyNumberFormat="1" applyFont="1" applyFill="1" applyAlignment="1">
      <alignment horizontal="center"/>
    </xf>
    <xf numFmtId="37" fontId="54" fillId="0" borderId="0" xfId="0" applyNumberFormat="1" applyFont="1"/>
    <xf numFmtId="37" fontId="52" fillId="0" borderId="0" xfId="0" applyNumberFormat="1" applyFont="1"/>
    <xf numFmtId="172" fontId="55" fillId="44" borderId="0" xfId="52" applyNumberFormat="1" applyFont="1" applyFill="1" applyAlignment="1">
      <alignment horizontal="center"/>
    </xf>
    <xf numFmtId="172" fontId="7" fillId="0" borderId="0" xfId="52" applyNumberFormat="1" applyFont="1" applyFill="1" applyBorder="1"/>
    <xf numFmtId="172" fontId="7" fillId="0" borderId="0" xfId="52" applyNumberFormat="1" applyFont="1" applyBorder="1" applyAlignment="1">
      <alignment horizontal="center"/>
    </xf>
    <xf numFmtId="172" fontId="49" fillId="0" borderId="0" xfId="52" applyNumberFormat="1" applyFont="1" applyBorder="1" applyAlignment="1">
      <alignment horizontal="center"/>
    </xf>
    <xf numFmtId="172" fontId="7" fillId="0" borderId="0" xfId="52" applyNumberFormat="1" applyFont="1" applyFill="1" applyBorder="1" applyAlignment="1">
      <alignment horizontal="center"/>
    </xf>
    <xf numFmtId="37" fontId="10" fillId="43" borderId="0" xfId="0" applyNumberFormat="1" applyFont="1" applyFill="1"/>
    <xf numFmtId="172" fontId="7" fillId="43" borderId="0" xfId="52" applyNumberFormat="1" applyFont="1" applyFill="1" applyBorder="1"/>
    <xf numFmtId="37" fontId="10" fillId="43" borderId="0" xfId="0" applyNumberFormat="1" applyFont="1" applyFill="1" applyBorder="1"/>
    <xf numFmtId="37" fontId="56" fillId="0" borderId="0" xfId="0" applyNumberFormat="1" applyFont="1" applyFill="1"/>
    <xf numFmtId="37" fontId="10" fillId="0" borderId="0" xfId="0" applyNumberFormat="1" applyFont="1" applyFill="1"/>
    <xf numFmtId="37" fontId="52" fillId="0" borderId="0" xfId="0" applyNumberFormat="1" applyFont="1" applyAlignment="1">
      <alignment horizontal="right"/>
    </xf>
    <xf numFmtId="37" fontId="52" fillId="0" borderId="0" xfId="0" applyNumberFormat="1" applyFont="1" applyFill="1" applyAlignment="1">
      <alignment horizontal="right"/>
    </xf>
    <xf numFmtId="37" fontId="10" fillId="0" borderId="0" xfId="0" applyNumberFormat="1" applyFont="1" applyFill="1" applyAlignment="1">
      <alignment horizontal="left"/>
    </xf>
    <xf numFmtId="10" fontId="57" fillId="44" borderId="0" xfId="0" applyNumberFormat="1" applyFont="1" applyFill="1"/>
    <xf numFmtId="37" fontId="58" fillId="0" borderId="0" xfId="0" applyNumberFormat="1" applyFont="1" applyFill="1" applyAlignment="1">
      <alignment horizontal="right"/>
    </xf>
    <xf numFmtId="37" fontId="59" fillId="0" borderId="0" xfId="0" applyNumberFormat="1" applyFont="1" applyFill="1"/>
    <xf numFmtId="37" fontId="10" fillId="0" borderId="0" xfId="0" applyNumberFormat="1" applyFont="1" applyFill="1" applyAlignment="1">
      <alignment horizontal="right"/>
    </xf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2" xfId="22"/>
    <cellStyle name="Accent2 - 20%" xfId="23"/>
    <cellStyle name="Accent2 - 40%" xfId="24"/>
    <cellStyle name="Accent2 - 60%" xfId="25"/>
    <cellStyle name="Accent2 2" xfId="26"/>
    <cellStyle name="Accent3 - 20%" xfId="27"/>
    <cellStyle name="Accent3 - 40%" xfId="28"/>
    <cellStyle name="Accent3 - 60%" xfId="29"/>
    <cellStyle name="Accent3 2" xfId="30"/>
    <cellStyle name="Accent4 - 20%" xfId="31"/>
    <cellStyle name="Accent4 - 40%" xfId="32"/>
    <cellStyle name="Accent4 - 60%" xfId="33"/>
    <cellStyle name="Accent4 2" xfId="34"/>
    <cellStyle name="Accent5 - 20%" xfId="35"/>
    <cellStyle name="Accent5 - 40%" xfId="36"/>
    <cellStyle name="Accent5 - 60%" xfId="37"/>
    <cellStyle name="Accent5 2" xfId="38"/>
    <cellStyle name="Accent6 - 20%" xfId="39"/>
    <cellStyle name="Accent6 - 40%" xfId="40"/>
    <cellStyle name="Accent6 - 60%" xfId="41"/>
    <cellStyle name="Accent6 2" xfId="42"/>
    <cellStyle name="Bad 2" xfId="43"/>
    <cellStyle name="Calculation 2" xfId="44"/>
    <cellStyle name="Check Cell 2" xfId="45"/>
    <cellStyle name="Comma" xfId="46" builtinId="3"/>
    <cellStyle name="Comma 2" xfId="47"/>
    <cellStyle name="Comma 2 2" xfId="48"/>
    <cellStyle name="Comma 2 3" xfId="49"/>
    <cellStyle name="Comma 3" xfId="50"/>
    <cellStyle name="Comma 4" xfId="51"/>
    <cellStyle name="Currency" xfId="52" builtinId="4"/>
    <cellStyle name="Currency 2" xfId="53"/>
    <cellStyle name="Currency 3" xfId="54"/>
    <cellStyle name="Emphasis 1" xfId="55"/>
    <cellStyle name="Emphasis 2" xfId="56"/>
    <cellStyle name="Emphasis 3" xfId="5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32" xfId="141"/>
    <cellStyle name="Normal 133" xfId="142"/>
    <cellStyle name="Normal 2" xfId="67"/>
    <cellStyle name="Normal 2 2" xfId="68"/>
    <cellStyle name="Normal 2 2 2" xfId="69"/>
    <cellStyle name="Normal 2 3" xfId="70"/>
    <cellStyle name="Normal 2 3 2" xfId="71"/>
    <cellStyle name="Normal 2 5" xfId="143"/>
    <cellStyle name="Normal 3" xfId="72"/>
    <cellStyle name="Normal 3 2" xfId="73"/>
    <cellStyle name="Normal 3 2 2" xfId="74"/>
    <cellStyle name="Normal 4" xfId="75"/>
    <cellStyle name="Normal 5" xfId="76"/>
    <cellStyle name="Normal 60" xfId="77"/>
    <cellStyle name="Normal 62" xfId="78"/>
    <cellStyle name="Normal_PSNH 0707" xfId="79"/>
    <cellStyle name="Note 2" xfId="80"/>
    <cellStyle name="Note 3" xfId="81"/>
    <cellStyle name="Output 2" xfId="82"/>
    <cellStyle name="Percent" xfId="83" builtinId="5"/>
    <cellStyle name="Percent 2" xfId="84"/>
    <cellStyle name="Percent 2 2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Item 2" xfId="105"/>
    <cellStyle name="SAPBEXheaderText" xfId="106"/>
    <cellStyle name="SAPBEXheaderText 2" xfId="107"/>
    <cellStyle name="SAPBEXHLevel0" xfId="108"/>
    <cellStyle name="SAPBEXHLevel0 2" xfId="109"/>
    <cellStyle name="SAPBEXHLevel0X" xfId="110"/>
    <cellStyle name="SAPBEXHLevel0X 2" xfId="111"/>
    <cellStyle name="SAPBEXHLevel1" xfId="112"/>
    <cellStyle name="SAPBEXHLevel1 2" xfId="113"/>
    <cellStyle name="SAPBEXHLevel1X" xfId="114"/>
    <cellStyle name="SAPBEXHLevel1X 2" xfId="115"/>
    <cellStyle name="SAPBEXHLevel2" xfId="116"/>
    <cellStyle name="SAPBEXHLevel2 2" xfId="117"/>
    <cellStyle name="SAPBEXHLevel2X" xfId="118"/>
    <cellStyle name="SAPBEXHLevel2X 2" xfId="119"/>
    <cellStyle name="SAPBEXHLevel3" xfId="120"/>
    <cellStyle name="SAPBEXHLevel3 2" xfId="121"/>
    <cellStyle name="SAPBEXHLevel3X" xfId="122"/>
    <cellStyle name="SAPBEXHLevel3X 2" xfId="123"/>
    <cellStyle name="SAPBEXinputData" xfId="124"/>
    <cellStyle name="SAPBEXinputData 2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SAPBEXundefined 2" xfId="136"/>
    <cellStyle name="Sheet Title" xfId="137"/>
    <cellStyle name="Title 2" xfId="138"/>
    <cellStyle name="Total 2" xfId="139"/>
    <cellStyle name="Warning Text 2" xfId="14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40"/>
  <sheetViews>
    <sheetView showGridLines="0" tabSelected="1" zoomScale="85" zoomScaleNormal="85" workbookViewId="0">
      <selection activeCell="D6" sqref="D6"/>
    </sheetView>
  </sheetViews>
  <sheetFormatPr defaultRowHeight="15" x14ac:dyDescent="0.2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5.85546875" style="3" customWidth="1"/>
    <col min="5" max="5" width="18.28515625" style="3" bestFit="1" customWidth="1"/>
    <col min="6" max="7" width="6.7109375" style="3" customWidth="1"/>
    <col min="8" max="8" width="1.7109375" style="3" customWidth="1"/>
    <col min="9" max="9" width="9.85546875" style="3" customWidth="1"/>
    <col min="10" max="10" width="1.7109375" style="3" customWidth="1"/>
    <col min="11" max="11" width="9.85546875" style="3" customWidth="1"/>
    <col min="12" max="12" width="1.7109375" style="3" customWidth="1"/>
    <col min="13" max="13" width="9.85546875" style="3" customWidth="1"/>
    <col min="14" max="14" width="1.7109375" style="3" customWidth="1"/>
    <col min="15" max="15" width="3" style="3" customWidth="1"/>
    <col min="16" max="16" width="9.85546875" style="3" customWidth="1"/>
    <col min="17" max="17" width="4.140625" style="3" customWidth="1"/>
    <col min="18" max="18" width="9.85546875" style="3" customWidth="1"/>
    <col min="19" max="19" width="2.140625" style="3" customWidth="1"/>
    <col min="20" max="20" width="9.85546875" style="3" customWidth="1"/>
    <col min="21" max="21" width="1.5703125" style="3" customWidth="1"/>
    <col min="22" max="22" width="10.28515625" style="3" customWidth="1"/>
    <col min="23" max="23" width="1.42578125" style="3" customWidth="1"/>
    <col min="24" max="24" width="12.28515625" style="3" customWidth="1"/>
    <col min="25" max="16384" width="9.140625" style="3"/>
  </cols>
  <sheetData>
    <row r="1" spans="1:46" x14ac:dyDescent="0.25">
      <c r="A1" s="2"/>
      <c r="C1" s="2"/>
      <c r="G1" s="15"/>
      <c r="H1" s="15"/>
      <c r="I1" s="15"/>
      <c r="J1" s="39"/>
      <c r="K1" s="15"/>
      <c r="L1" s="23"/>
      <c r="U1" s="32"/>
    </row>
    <row r="2" spans="1:46" x14ac:dyDescent="0.25">
      <c r="C2" s="38"/>
      <c r="G2" s="15"/>
      <c r="H2" s="15"/>
      <c r="I2" s="15"/>
      <c r="J2" s="39"/>
      <c r="K2" s="15"/>
      <c r="U2" s="19"/>
    </row>
    <row r="3" spans="1:46" ht="19.5" x14ac:dyDescent="0.35">
      <c r="A3" s="57"/>
      <c r="B3" s="57"/>
      <c r="C3" s="211"/>
      <c r="D3" s="43" t="s">
        <v>110</v>
      </c>
      <c r="E3" s="57"/>
      <c r="F3" s="57"/>
      <c r="G3" s="57"/>
      <c r="H3" s="212"/>
      <c r="I3" s="212"/>
      <c r="J3" s="213"/>
      <c r="K3" s="212"/>
      <c r="U3" s="19"/>
    </row>
    <row r="4" spans="1:46" ht="15.75" x14ac:dyDescent="0.3">
      <c r="A4" s="57"/>
      <c r="B4" s="57"/>
      <c r="C4" s="211"/>
      <c r="D4" s="119" t="s">
        <v>121</v>
      </c>
      <c r="E4" s="57"/>
      <c r="F4" s="57"/>
      <c r="G4" s="212"/>
      <c r="H4" s="57"/>
      <c r="I4" s="57"/>
      <c r="J4" s="213"/>
      <c r="K4" s="57"/>
      <c r="U4" s="19"/>
    </row>
    <row r="5" spans="1:46" ht="15.75" x14ac:dyDescent="0.3">
      <c r="A5" s="57"/>
      <c r="B5" s="57"/>
      <c r="C5" s="211"/>
      <c r="D5" s="119" t="str">
        <f>+Allocation!B6</f>
        <v>2017 FORECAST</v>
      </c>
      <c r="E5" s="57"/>
      <c r="F5" s="57"/>
      <c r="G5" s="214"/>
      <c r="H5" s="57"/>
      <c r="I5" s="57"/>
      <c r="J5" s="215"/>
      <c r="K5" s="57"/>
      <c r="U5" s="19"/>
    </row>
    <row r="6" spans="1:46" ht="15.75" x14ac:dyDescent="0.3">
      <c r="A6" s="57"/>
      <c r="B6" s="57"/>
      <c r="C6" s="211"/>
      <c r="D6" s="119" t="str">
        <f>+Allocation!B7</f>
        <v>12-15-2016 Posting</v>
      </c>
      <c r="E6" s="57"/>
      <c r="F6" s="57"/>
      <c r="G6" s="57"/>
      <c r="H6" s="57"/>
      <c r="I6" s="214"/>
      <c r="J6" s="215"/>
      <c r="K6" s="214"/>
      <c r="U6" s="19"/>
    </row>
    <row r="7" spans="1:46" ht="15.75" x14ac:dyDescent="0.3">
      <c r="A7" s="57"/>
      <c r="B7" s="57"/>
      <c r="C7" s="211"/>
      <c r="D7" s="57"/>
      <c r="E7" s="57"/>
      <c r="F7" s="57"/>
      <c r="G7" s="57"/>
      <c r="H7" s="57"/>
      <c r="I7" s="216" t="s">
        <v>111</v>
      </c>
      <c r="J7" s="215"/>
      <c r="K7" s="214"/>
      <c r="U7" s="19"/>
    </row>
    <row r="8" spans="1:46" ht="15.75" x14ac:dyDescent="0.3">
      <c r="A8" s="57"/>
      <c r="B8" s="57"/>
      <c r="C8" s="211"/>
      <c r="D8" s="57"/>
      <c r="E8" s="57"/>
      <c r="F8" s="57"/>
      <c r="G8" s="57"/>
      <c r="H8" s="57"/>
      <c r="I8" s="216" t="s">
        <v>179</v>
      </c>
      <c r="J8" s="215"/>
      <c r="K8" s="214"/>
      <c r="U8" s="19"/>
    </row>
    <row r="9" spans="1:46" ht="15.75" x14ac:dyDescent="0.3">
      <c r="A9" s="57"/>
      <c r="B9" s="57"/>
      <c r="C9" s="211"/>
      <c r="D9" s="57"/>
      <c r="E9" s="57"/>
      <c r="F9" s="57"/>
      <c r="G9" s="57"/>
      <c r="H9" s="57"/>
      <c r="I9" s="216" t="s">
        <v>429</v>
      </c>
      <c r="J9" s="215"/>
      <c r="K9" s="214"/>
      <c r="U9" s="19"/>
    </row>
    <row r="10" spans="1:46" ht="15.75" x14ac:dyDescent="0.3">
      <c r="A10" s="58"/>
      <c r="B10" s="57"/>
      <c r="C10" s="57"/>
      <c r="D10" s="57"/>
      <c r="E10" s="57"/>
      <c r="F10" s="57"/>
      <c r="G10" s="57"/>
      <c r="H10" s="57"/>
      <c r="I10" s="57"/>
      <c r="J10" s="57"/>
      <c r="K10" s="57"/>
      <c r="U10" s="32"/>
    </row>
    <row r="11" spans="1:46" ht="15.75" x14ac:dyDescent="0.3">
      <c r="A11" s="57"/>
      <c r="B11" s="57"/>
      <c r="C11" s="57"/>
      <c r="D11" s="119" t="s">
        <v>178</v>
      </c>
      <c r="E11" s="57"/>
      <c r="F11" s="57"/>
      <c r="G11" s="57"/>
      <c r="H11" s="57"/>
      <c r="I11" s="57"/>
      <c r="J11" s="57"/>
      <c r="K11" s="57"/>
      <c r="Q11" s="7"/>
    </row>
    <row r="12" spans="1:46" ht="15.75" x14ac:dyDescent="0.3">
      <c r="A12" s="57"/>
      <c r="B12" s="57"/>
      <c r="C12" s="57"/>
      <c r="D12" s="217" t="s">
        <v>4</v>
      </c>
      <c r="E12" s="217" t="s">
        <v>5</v>
      </c>
      <c r="F12" s="215"/>
      <c r="G12" s="217" t="s">
        <v>4</v>
      </c>
      <c r="H12" s="214"/>
      <c r="I12" s="213"/>
      <c r="J12" s="212"/>
      <c r="K12" s="213"/>
      <c r="L12" s="15"/>
      <c r="M12" s="39"/>
      <c r="N12" s="15"/>
      <c r="O12" s="23"/>
      <c r="P12" s="23"/>
      <c r="Q12" s="23"/>
      <c r="R12" s="39"/>
      <c r="S12" s="39"/>
      <c r="T12" s="39"/>
      <c r="U12" s="39"/>
      <c r="V12" s="39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5" customHeight="1" x14ac:dyDescent="0.3">
      <c r="A13" s="57">
        <v>1</v>
      </c>
      <c r="B13" s="216" t="s">
        <v>6</v>
      </c>
      <c r="C13" s="218" t="s">
        <v>7</v>
      </c>
      <c r="D13" s="119" t="s">
        <v>8</v>
      </c>
      <c r="E13" s="57"/>
      <c r="F13" s="214"/>
      <c r="G13" s="57"/>
      <c r="H13" s="214"/>
      <c r="I13" s="212"/>
      <c r="J13" s="212"/>
      <c r="K13" s="212"/>
      <c r="L13" s="15"/>
      <c r="M13" s="15"/>
      <c r="N13" s="15"/>
      <c r="O13" s="23"/>
      <c r="P13" s="23"/>
      <c r="Q13" s="23"/>
      <c r="R13" s="15"/>
      <c r="S13" s="15"/>
      <c r="T13" s="15"/>
      <c r="U13" s="15"/>
      <c r="V13" s="15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15" customHeight="1" x14ac:dyDescent="0.3">
      <c r="A14" s="57">
        <v>2</v>
      </c>
      <c r="B14" s="57"/>
      <c r="C14" s="219" t="s">
        <v>120</v>
      </c>
      <c r="D14" s="119" t="s">
        <v>10</v>
      </c>
      <c r="E14" s="220">
        <f>+'Rate Base'!F15</f>
        <v>174373419</v>
      </c>
      <c r="F14" s="219" t="s">
        <v>142</v>
      </c>
      <c r="G14" s="57"/>
      <c r="H14" s="214"/>
      <c r="I14" s="221"/>
      <c r="J14" s="221"/>
      <c r="K14" s="221"/>
      <c r="L14" s="21"/>
      <c r="M14" s="21"/>
      <c r="N14" s="21"/>
      <c r="O14" s="23"/>
      <c r="P14" s="23"/>
      <c r="Q14" s="23"/>
      <c r="R14" s="21"/>
      <c r="S14" s="15"/>
      <c r="T14" s="21"/>
      <c r="U14" s="15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15" customHeight="1" x14ac:dyDescent="0.3">
      <c r="A15" s="57">
        <v>3</v>
      </c>
      <c r="B15" s="57"/>
      <c r="C15" s="219" t="s">
        <v>11</v>
      </c>
      <c r="D15" s="119" t="s">
        <v>12</v>
      </c>
      <c r="E15" s="222">
        <f>+'Rate Base'!F16</f>
        <v>3960988</v>
      </c>
      <c r="F15" s="219" t="s">
        <v>108</v>
      </c>
      <c r="G15" s="57"/>
      <c r="H15" s="214"/>
      <c r="I15" s="221"/>
      <c r="J15" s="221"/>
      <c r="K15" s="221"/>
      <c r="L15" s="21"/>
      <c r="M15" s="21"/>
      <c r="N15" s="21"/>
      <c r="O15" s="23"/>
      <c r="P15" s="23"/>
      <c r="Q15" s="23"/>
      <c r="R15" s="21"/>
      <c r="S15" s="15"/>
      <c r="T15" s="21"/>
      <c r="U15" s="15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ht="15" customHeight="1" x14ac:dyDescent="0.3">
      <c r="A16" s="57">
        <v>4</v>
      </c>
      <c r="B16" s="57"/>
      <c r="C16" s="219" t="s">
        <v>200</v>
      </c>
      <c r="D16" s="119"/>
      <c r="E16" s="223">
        <f>ROUND(SUM(E14:E15),0)</f>
        <v>178334407</v>
      </c>
      <c r="F16" s="224"/>
      <c r="G16" s="57"/>
      <c r="H16" s="225"/>
      <c r="I16" s="221"/>
      <c r="J16" s="221"/>
      <c r="K16" s="221"/>
      <c r="L16" s="21"/>
      <c r="M16" s="21"/>
      <c r="N16" s="21"/>
      <c r="O16" s="23"/>
      <c r="P16" s="23"/>
      <c r="Q16" s="23"/>
      <c r="R16" s="21"/>
      <c r="S16" s="15"/>
      <c r="T16" s="21"/>
      <c r="U16" s="15"/>
      <c r="V16" s="21"/>
      <c r="W16" s="15"/>
      <c r="X16" s="23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23"/>
      <c r="AQ16" s="23"/>
      <c r="AR16" s="23"/>
      <c r="AS16" s="23"/>
      <c r="AT16" s="23"/>
    </row>
    <row r="17" spans="1:59" ht="15" customHeight="1" x14ac:dyDescent="0.3">
      <c r="A17" s="57"/>
      <c r="B17" s="57"/>
      <c r="C17" s="226"/>
      <c r="D17" s="119"/>
      <c r="E17" s="214"/>
      <c r="F17" s="219"/>
      <c r="G17" s="57"/>
      <c r="H17" s="214"/>
      <c r="I17" s="214"/>
      <c r="J17" s="214"/>
      <c r="K17" s="214"/>
      <c r="L17" s="7"/>
      <c r="M17" s="7"/>
      <c r="N17" s="7"/>
      <c r="R17" s="7"/>
      <c r="S17" s="7"/>
      <c r="T17" s="7"/>
      <c r="U17" s="7"/>
      <c r="V17" s="14"/>
    </row>
    <row r="18" spans="1:59" ht="15" customHeight="1" x14ac:dyDescent="0.3">
      <c r="A18" s="57">
        <v>5</v>
      </c>
      <c r="B18" s="57"/>
      <c r="C18" s="224" t="s">
        <v>13</v>
      </c>
      <c r="D18" s="119" t="s">
        <v>171</v>
      </c>
      <c r="E18" s="227">
        <f>+'Rate Base'!F22</f>
        <v>52260288</v>
      </c>
      <c r="F18" s="219" t="s">
        <v>271</v>
      </c>
      <c r="G18" s="57"/>
      <c r="H18" s="214"/>
      <c r="I18" s="228"/>
      <c r="J18" s="228"/>
      <c r="K18" s="228"/>
      <c r="L18" s="14"/>
      <c r="M18" s="14"/>
      <c r="N18" s="14"/>
      <c r="R18" s="14"/>
      <c r="S18" s="7"/>
      <c r="T18" s="14"/>
      <c r="U18" s="7"/>
      <c r="V18" s="14"/>
      <c r="W18" s="7"/>
      <c r="Y18" s="7"/>
      <c r="Z18" s="7"/>
    </row>
    <row r="19" spans="1:59" ht="15" customHeight="1" x14ac:dyDescent="0.3">
      <c r="A19" s="57">
        <v>6</v>
      </c>
      <c r="B19" s="57"/>
      <c r="C19" s="219" t="s">
        <v>14</v>
      </c>
      <c r="D19" s="119" t="s">
        <v>172</v>
      </c>
      <c r="E19" s="222">
        <f>+'Rate Base'!F29</f>
        <v>35168295</v>
      </c>
      <c r="F19" s="219" t="s">
        <v>316</v>
      </c>
      <c r="G19" s="57"/>
      <c r="H19" s="214"/>
      <c r="I19" s="228"/>
      <c r="J19" s="228"/>
      <c r="K19" s="228"/>
      <c r="L19" s="14"/>
      <c r="M19" s="14"/>
      <c r="N19" s="14"/>
      <c r="R19" s="14"/>
      <c r="S19" s="7"/>
      <c r="T19" s="14"/>
      <c r="U19" s="7"/>
      <c r="V19" s="14"/>
    </row>
    <row r="20" spans="1:59" ht="15" customHeight="1" x14ac:dyDescent="0.3">
      <c r="A20" s="57">
        <v>7</v>
      </c>
      <c r="B20" s="57"/>
      <c r="C20" s="219" t="s">
        <v>160</v>
      </c>
      <c r="D20" s="119"/>
      <c r="E20" s="223">
        <f>ROUND((E16-E18-E19),0)</f>
        <v>90905824</v>
      </c>
      <c r="F20" s="224"/>
      <c r="G20" s="57"/>
      <c r="H20" s="214"/>
      <c r="I20" s="228"/>
      <c r="J20" s="228"/>
      <c r="K20" s="228"/>
      <c r="L20" s="14"/>
      <c r="M20" s="14"/>
      <c r="N20" s="14"/>
      <c r="R20" s="14"/>
      <c r="S20" s="7"/>
      <c r="T20" s="14"/>
      <c r="U20" s="7"/>
      <c r="V20" s="14"/>
      <c r="W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5" customHeight="1" x14ac:dyDescent="0.3">
      <c r="A21" s="57"/>
      <c r="B21" s="57"/>
      <c r="C21" s="219"/>
      <c r="D21" s="119"/>
      <c r="E21" s="214"/>
      <c r="F21" s="224"/>
      <c r="G21" s="57"/>
      <c r="H21" s="214"/>
      <c r="I21" s="214"/>
      <c r="J21" s="214"/>
      <c r="K21" s="214"/>
      <c r="L21" s="7"/>
      <c r="M21" s="7"/>
      <c r="N21" s="7"/>
      <c r="R21" s="7"/>
      <c r="S21" s="7"/>
      <c r="T21" s="7"/>
      <c r="U21" s="7"/>
      <c r="V21" s="14"/>
      <c r="W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5" customHeight="1" x14ac:dyDescent="0.3">
      <c r="A22" s="57">
        <v>8</v>
      </c>
      <c r="B22" s="57"/>
      <c r="C22" s="57" t="s">
        <v>17</v>
      </c>
      <c r="D22" s="119" t="s">
        <v>15</v>
      </c>
      <c r="E22" s="227">
        <f>+'Rate Base'!F31</f>
        <v>230743</v>
      </c>
      <c r="F22" s="219" t="s">
        <v>317</v>
      </c>
      <c r="G22" s="57"/>
      <c r="H22" s="214"/>
      <c r="I22" s="228"/>
      <c r="J22" s="228"/>
      <c r="K22" s="228"/>
      <c r="L22" s="14"/>
      <c r="M22" s="14"/>
      <c r="N22" s="14"/>
      <c r="R22" s="14"/>
      <c r="S22" s="7"/>
      <c r="T22" s="14"/>
      <c r="U22" s="7"/>
      <c r="V22" s="14"/>
      <c r="W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5" customHeight="1" x14ac:dyDescent="0.3">
      <c r="A23" s="57">
        <v>9</v>
      </c>
      <c r="B23" s="57"/>
      <c r="C23" s="219" t="s">
        <v>18</v>
      </c>
      <c r="D23" s="119" t="s">
        <v>16</v>
      </c>
      <c r="E23" s="227">
        <f>+'Rate Base'!F33</f>
        <v>60737</v>
      </c>
      <c r="F23" s="219" t="s">
        <v>143</v>
      </c>
      <c r="G23" s="57"/>
      <c r="H23" s="214"/>
      <c r="I23" s="228"/>
      <c r="J23" s="228"/>
      <c r="K23" s="228"/>
      <c r="L23" s="14"/>
      <c r="M23" s="14"/>
      <c r="N23" s="14"/>
      <c r="R23" s="14"/>
      <c r="S23" s="7"/>
      <c r="T23" s="14"/>
      <c r="U23" s="7"/>
      <c r="V23" s="14"/>
      <c r="W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5" customHeight="1" x14ac:dyDescent="0.3">
      <c r="A24" s="57">
        <v>10</v>
      </c>
      <c r="B24" s="57"/>
      <c r="C24" s="219" t="s">
        <v>19</v>
      </c>
      <c r="D24" s="119" t="s">
        <v>173</v>
      </c>
      <c r="E24" s="222">
        <f>+'Rate Base'!F40</f>
        <v>1098771.5</v>
      </c>
      <c r="F24" s="219" t="s">
        <v>318</v>
      </c>
      <c r="G24" s="57"/>
      <c r="H24" s="214"/>
      <c r="I24" s="229"/>
      <c r="J24" s="229"/>
      <c r="K24" s="229"/>
      <c r="L24" s="37"/>
      <c r="M24" s="37"/>
      <c r="N24" s="37"/>
      <c r="R24" s="37"/>
      <c r="S24" s="7"/>
      <c r="T24" s="37"/>
      <c r="U24" s="7"/>
      <c r="V24" s="14"/>
      <c r="W24" s="3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5" customHeight="1" x14ac:dyDescent="0.3">
      <c r="A25" s="57"/>
      <c r="B25" s="57"/>
      <c r="C25" s="57"/>
      <c r="D25" s="119"/>
      <c r="E25" s="214"/>
      <c r="F25" s="214"/>
      <c r="G25" s="214"/>
      <c r="H25" s="214"/>
      <c r="I25" s="214"/>
      <c r="J25" s="214"/>
      <c r="K25" s="214"/>
      <c r="L25" s="7"/>
      <c r="M25" s="7"/>
      <c r="N25" s="7"/>
      <c r="R25" s="7"/>
      <c r="S25" s="7"/>
      <c r="T25" s="7"/>
      <c r="U25" s="7"/>
      <c r="V25" s="14"/>
      <c r="W25" s="31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ht="15" customHeight="1" thickBot="1" x14ac:dyDescent="0.35">
      <c r="A26" s="57">
        <v>11</v>
      </c>
      <c r="B26" s="57"/>
      <c r="C26" s="219" t="s">
        <v>161</v>
      </c>
      <c r="D26" s="119"/>
      <c r="E26" s="230">
        <f>+E20+E22+E23+E24</f>
        <v>92296075.5</v>
      </c>
      <c r="F26" s="228"/>
      <c r="G26" s="57"/>
      <c r="H26" s="214"/>
      <c r="I26" s="228"/>
      <c r="J26" s="228"/>
      <c r="K26" s="228"/>
      <c r="L26" s="14"/>
      <c r="M26" s="14"/>
      <c r="N26" s="14"/>
      <c r="R26" s="14"/>
      <c r="S26" s="7"/>
      <c r="T26" s="14"/>
      <c r="U26" s="7"/>
      <c r="V26" s="14"/>
    </row>
    <row r="27" spans="1:59" ht="15" customHeight="1" thickTop="1" x14ac:dyDescent="0.3">
      <c r="A27" s="57"/>
      <c r="B27" s="57"/>
      <c r="C27" s="57"/>
      <c r="D27" s="231"/>
      <c r="E27" s="214"/>
      <c r="F27" s="214"/>
      <c r="G27" s="214"/>
      <c r="H27" s="214"/>
      <c r="I27" s="214"/>
      <c r="J27" s="214"/>
      <c r="K27" s="214"/>
      <c r="L27" s="7"/>
      <c r="M27" s="7"/>
      <c r="N27" s="7"/>
      <c r="R27" s="7"/>
      <c r="S27" s="7"/>
      <c r="T27" s="7"/>
      <c r="U27" s="7"/>
      <c r="V27" s="14"/>
      <c r="W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59" ht="15" customHeight="1" x14ac:dyDescent="0.3">
      <c r="A28" s="57"/>
      <c r="B28" s="57"/>
      <c r="C28" s="57"/>
      <c r="D28" s="57"/>
      <c r="E28" s="57"/>
      <c r="F28" s="214"/>
      <c r="G28" s="57"/>
      <c r="H28" s="214"/>
      <c r="I28" s="214"/>
      <c r="J28" s="214"/>
      <c r="K28" s="214"/>
      <c r="L28" s="7"/>
      <c r="M28" s="7"/>
      <c r="N28" s="7"/>
      <c r="R28" s="7"/>
      <c r="S28" s="7"/>
      <c r="T28" s="7"/>
      <c r="U28" s="7"/>
      <c r="V28" s="14"/>
    </row>
    <row r="29" spans="1:59" ht="15" customHeight="1" x14ac:dyDescent="0.3">
      <c r="A29" s="57"/>
      <c r="B29" s="57"/>
      <c r="C29" s="57"/>
      <c r="D29" s="57"/>
      <c r="E29" s="57"/>
      <c r="F29" s="214"/>
      <c r="G29" s="57"/>
      <c r="H29" s="214"/>
      <c r="I29" s="214"/>
      <c r="J29" s="214"/>
      <c r="K29" s="214"/>
      <c r="L29" s="7"/>
      <c r="M29" s="7"/>
      <c r="N29" s="7"/>
      <c r="R29" s="7"/>
      <c r="S29" s="7"/>
      <c r="T29" s="7"/>
      <c r="U29" s="7"/>
      <c r="V29" s="14"/>
    </row>
    <row r="30" spans="1:59" ht="15" customHeight="1" x14ac:dyDescent="0.3">
      <c r="A30" s="57"/>
      <c r="B30" s="57"/>
      <c r="C30" s="57"/>
      <c r="D30" s="57"/>
      <c r="E30" s="232"/>
      <c r="F30" s="233"/>
      <c r="G30" s="57"/>
      <c r="H30" s="214"/>
      <c r="I30" s="233"/>
      <c r="J30" s="233"/>
      <c r="K30" s="233"/>
      <c r="L30" s="111"/>
      <c r="M30" s="111"/>
      <c r="N30" s="111"/>
      <c r="R30" s="111"/>
      <c r="S30" s="7"/>
      <c r="T30" s="111"/>
      <c r="U30" s="7"/>
      <c r="V30" s="14"/>
    </row>
    <row r="31" spans="1:59" ht="15" customHeight="1" x14ac:dyDescent="0.3">
      <c r="A31" s="57"/>
      <c r="B31" s="57"/>
      <c r="C31" s="57"/>
      <c r="D31" s="57"/>
      <c r="E31" s="227"/>
      <c r="F31" s="214"/>
      <c r="G31" s="57"/>
      <c r="H31" s="214"/>
      <c r="I31" s="214"/>
      <c r="J31" s="214"/>
      <c r="K31" s="214"/>
      <c r="L31" s="7"/>
      <c r="M31" s="7"/>
      <c r="N31" s="7"/>
      <c r="R31" s="7"/>
      <c r="S31" s="7"/>
      <c r="T31" s="7"/>
      <c r="U31" s="7"/>
      <c r="V31" s="14"/>
    </row>
    <row r="32" spans="1:59" ht="15" customHeight="1" x14ac:dyDescent="0.3">
      <c r="A32" s="57"/>
      <c r="B32" s="57" t="s">
        <v>20</v>
      </c>
      <c r="C32" s="218" t="s">
        <v>21</v>
      </c>
      <c r="D32" s="57"/>
      <c r="E32" s="214"/>
      <c r="F32" s="214"/>
      <c r="G32" s="57"/>
      <c r="H32" s="214"/>
      <c r="I32" s="214"/>
      <c r="J32" s="214"/>
      <c r="K32" s="214"/>
      <c r="L32" s="7"/>
      <c r="M32" s="7"/>
      <c r="N32" s="7"/>
      <c r="R32" s="7"/>
      <c r="S32" s="7"/>
      <c r="T32" s="7"/>
      <c r="U32" s="7"/>
      <c r="V32" s="14"/>
    </row>
    <row r="33" spans="1:27" ht="15" customHeight="1" x14ac:dyDescent="0.3">
      <c r="A33" s="57">
        <v>12</v>
      </c>
      <c r="B33" s="57"/>
      <c r="C33" s="57" t="s">
        <v>22</v>
      </c>
      <c r="D33" s="119" t="s">
        <v>23</v>
      </c>
      <c r="E33" s="220">
        <f>+'2 WACC'!E49</f>
        <v>10747029</v>
      </c>
      <c r="F33" s="219" t="s">
        <v>309</v>
      </c>
      <c r="G33" s="57"/>
      <c r="H33" s="214"/>
      <c r="I33" s="229"/>
      <c r="J33" s="229"/>
      <c r="K33" s="229"/>
      <c r="L33" s="37"/>
      <c r="M33" s="37"/>
      <c r="N33" s="37"/>
      <c r="R33" s="14"/>
      <c r="S33" s="7"/>
      <c r="T33" s="14"/>
      <c r="U33" s="7"/>
      <c r="V33" s="14"/>
    </row>
    <row r="34" spans="1:27" ht="15" customHeight="1" x14ac:dyDescent="0.3">
      <c r="A34" s="57">
        <v>13</v>
      </c>
      <c r="B34" s="57"/>
      <c r="C34" s="219" t="s">
        <v>24</v>
      </c>
      <c r="D34" s="234" t="s">
        <v>25</v>
      </c>
      <c r="E34" s="228">
        <f>+'4 Expense'!F19</f>
        <v>3361244</v>
      </c>
      <c r="F34" s="219" t="s">
        <v>144</v>
      </c>
      <c r="G34" s="57"/>
      <c r="H34" s="57"/>
      <c r="I34" s="228"/>
      <c r="J34" s="228"/>
      <c r="K34" s="228"/>
      <c r="L34" s="14"/>
      <c r="M34" s="14"/>
      <c r="N34" s="14"/>
      <c r="S34" s="7"/>
      <c r="T34" s="14"/>
      <c r="U34" s="7"/>
      <c r="V34" s="14"/>
    </row>
    <row r="35" spans="1:27" ht="15" customHeight="1" x14ac:dyDescent="0.3">
      <c r="A35" s="57">
        <v>14</v>
      </c>
      <c r="B35" s="57"/>
      <c r="C35" s="219" t="s">
        <v>26</v>
      </c>
      <c r="D35" s="119" t="s">
        <v>174</v>
      </c>
      <c r="E35" s="228">
        <f>+'4 Expense'!F21</f>
        <v>26537</v>
      </c>
      <c r="F35" s="219" t="s">
        <v>319</v>
      </c>
      <c r="G35" s="57"/>
      <c r="H35" s="214"/>
      <c r="I35" s="228"/>
      <c r="J35" s="228"/>
      <c r="K35" s="228"/>
      <c r="L35" s="14"/>
      <c r="M35" s="14"/>
      <c r="N35" s="14"/>
      <c r="R35" s="14"/>
      <c r="S35" s="7"/>
      <c r="T35" s="14"/>
      <c r="U35" s="7"/>
      <c r="V35" s="14"/>
    </row>
    <row r="36" spans="1:27" ht="15" customHeight="1" x14ac:dyDescent="0.3">
      <c r="A36" s="57">
        <v>15</v>
      </c>
      <c r="B36" s="57"/>
      <c r="C36" s="219" t="s">
        <v>28</v>
      </c>
      <c r="D36" s="234" t="s">
        <v>27</v>
      </c>
      <c r="E36" s="228">
        <f>+'4 Expense'!F24</f>
        <v>2554353</v>
      </c>
      <c r="F36" s="219" t="s">
        <v>320</v>
      </c>
      <c r="G36" s="57"/>
      <c r="H36" s="214"/>
      <c r="I36" s="228"/>
      <c r="J36" s="228"/>
      <c r="K36" s="228"/>
      <c r="L36" s="14"/>
      <c r="M36" s="14"/>
      <c r="N36" s="14"/>
      <c r="R36" s="14"/>
      <c r="S36" s="7"/>
      <c r="T36" s="14"/>
      <c r="U36" s="7"/>
      <c r="V36" s="14"/>
    </row>
    <row r="37" spans="1:27" ht="15" customHeight="1" x14ac:dyDescent="0.3">
      <c r="A37" s="57">
        <v>16</v>
      </c>
      <c r="B37" s="57"/>
      <c r="C37" s="219" t="s">
        <v>30</v>
      </c>
      <c r="D37" s="234" t="s">
        <v>29</v>
      </c>
      <c r="E37" s="228">
        <f>+'4 Expense'!F42</f>
        <v>84411</v>
      </c>
      <c r="F37" s="226" t="s">
        <v>321</v>
      </c>
      <c r="G37" s="57"/>
      <c r="H37" s="214"/>
      <c r="I37" s="228"/>
      <c r="J37" s="228"/>
      <c r="K37" s="228"/>
      <c r="L37" s="14"/>
      <c r="M37" s="14"/>
      <c r="N37" s="14"/>
      <c r="R37" s="14"/>
      <c r="S37" s="7"/>
      <c r="T37" s="14"/>
      <c r="U37" s="7"/>
      <c r="V37" s="14"/>
    </row>
    <row r="38" spans="1:27" ht="15" customHeight="1" x14ac:dyDescent="0.3">
      <c r="A38" s="57">
        <v>17</v>
      </c>
      <c r="B38" s="57"/>
      <c r="C38" s="219" t="s">
        <v>31</v>
      </c>
      <c r="D38" s="234" t="s">
        <v>104</v>
      </c>
      <c r="E38" s="228">
        <f>+'4 Expense'!F31</f>
        <v>7522656</v>
      </c>
      <c r="F38" s="219" t="s">
        <v>322</v>
      </c>
      <c r="G38" s="57"/>
      <c r="H38" s="57"/>
      <c r="I38" s="228"/>
      <c r="J38" s="228"/>
      <c r="K38" s="228"/>
      <c r="L38" s="14"/>
      <c r="M38" s="14"/>
      <c r="N38" s="14"/>
      <c r="U38" s="7"/>
      <c r="V38" s="14"/>
    </row>
    <row r="39" spans="1:27" ht="15" customHeight="1" x14ac:dyDescent="0.3">
      <c r="A39" s="57">
        <v>18</v>
      </c>
      <c r="B39" s="57"/>
      <c r="C39" s="219" t="s">
        <v>33</v>
      </c>
      <c r="D39" s="234" t="s">
        <v>32</v>
      </c>
      <c r="E39" s="228">
        <f>+'4 Expense'!F40</f>
        <v>1267516</v>
      </c>
      <c r="F39" s="219" t="s">
        <v>207</v>
      </c>
      <c r="G39" s="57"/>
      <c r="H39" s="214"/>
      <c r="I39" s="228"/>
      <c r="J39" s="228"/>
      <c r="K39" s="228"/>
      <c r="L39" s="14"/>
      <c r="M39" s="14"/>
      <c r="N39" s="14"/>
      <c r="R39" s="14"/>
      <c r="S39" s="33"/>
      <c r="T39" s="14"/>
      <c r="U39" s="7"/>
      <c r="V39" s="14"/>
      <c r="W39" s="7"/>
    </row>
    <row r="40" spans="1:27" ht="15" customHeight="1" x14ac:dyDescent="0.3">
      <c r="A40" s="57">
        <v>19</v>
      </c>
      <c r="B40" s="57"/>
      <c r="C40" s="219" t="s">
        <v>464</v>
      </c>
      <c r="D40" s="119"/>
      <c r="E40" s="235">
        <f>-10000*12*2.43</f>
        <v>-291600</v>
      </c>
      <c r="F40" s="57" t="s">
        <v>591</v>
      </c>
      <c r="G40" s="119"/>
      <c r="H40" s="214"/>
      <c r="I40" s="229"/>
      <c r="J40" s="229"/>
      <c r="K40" s="229"/>
      <c r="L40" s="37"/>
      <c r="M40" s="37"/>
      <c r="N40" s="37"/>
      <c r="R40" s="14"/>
      <c r="S40" s="7"/>
      <c r="T40" s="7"/>
      <c r="U40" s="7"/>
      <c r="V40" s="14"/>
    </row>
    <row r="41" spans="1:27" ht="15" customHeight="1" x14ac:dyDescent="0.3">
      <c r="A41" s="57">
        <v>20</v>
      </c>
      <c r="B41" s="57"/>
      <c r="C41" s="219" t="s">
        <v>465</v>
      </c>
      <c r="D41" s="119"/>
      <c r="E41" s="235">
        <v>0</v>
      </c>
      <c r="F41" s="57" t="s">
        <v>591</v>
      </c>
      <c r="G41" s="119"/>
      <c r="H41" s="214"/>
      <c r="I41" s="229"/>
      <c r="J41" s="229"/>
      <c r="K41" s="229"/>
      <c r="L41" s="37"/>
      <c r="M41" s="37"/>
      <c r="N41" s="37"/>
      <c r="R41" s="14"/>
      <c r="S41" s="7"/>
      <c r="T41" s="7"/>
      <c r="U41" s="7"/>
      <c r="V41" s="14"/>
    </row>
    <row r="42" spans="1:27" ht="15" customHeight="1" x14ac:dyDescent="0.3">
      <c r="A42" s="57"/>
      <c r="B42" s="57"/>
      <c r="C42" s="57"/>
      <c r="D42" s="57"/>
      <c r="E42" s="214"/>
      <c r="F42" s="214"/>
      <c r="G42" s="57"/>
      <c r="H42" s="214"/>
      <c r="I42" s="214"/>
      <c r="J42" s="214"/>
      <c r="K42" s="214"/>
      <c r="L42" s="7"/>
      <c r="M42" s="7"/>
      <c r="N42" s="7"/>
      <c r="R42" s="7"/>
      <c r="S42" s="7"/>
      <c r="T42" s="14"/>
      <c r="U42" s="7"/>
      <c r="V42" s="14"/>
      <c r="W42" s="7"/>
      <c r="Y42" s="7"/>
      <c r="Z42" s="7"/>
      <c r="AA42" s="7"/>
    </row>
    <row r="43" spans="1:27" ht="15" customHeight="1" thickBot="1" x14ac:dyDescent="0.35">
      <c r="A43" s="57">
        <v>22</v>
      </c>
      <c r="B43" s="57"/>
      <c r="C43" s="224" t="s">
        <v>211</v>
      </c>
      <c r="D43" s="214"/>
      <c r="E43" s="230">
        <f>SUM(E33:E41)</f>
        <v>25272146</v>
      </c>
      <c r="F43" s="228"/>
      <c r="G43" s="214"/>
      <c r="H43" s="214"/>
      <c r="I43" s="228"/>
      <c r="J43" s="228"/>
      <c r="K43" s="228"/>
      <c r="L43" s="14"/>
      <c r="M43" s="14"/>
      <c r="N43" s="14"/>
      <c r="R43" s="14"/>
      <c r="S43" s="7"/>
      <c r="T43" s="7"/>
      <c r="U43" s="7"/>
      <c r="V43" s="7"/>
      <c r="W43" s="7"/>
      <c r="Y43" s="7"/>
      <c r="Z43" s="7"/>
      <c r="AA43" s="7"/>
    </row>
    <row r="44" spans="1:27" ht="15" customHeight="1" thickTop="1" x14ac:dyDescent="0.3">
      <c r="A44" s="57"/>
      <c r="B44" s="57"/>
      <c r="C44" s="214"/>
      <c r="D44" s="214"/>
      <c r="E44" s="214"/>
      <c r="F44" s="214"/>
      <c r="G44" s="214"/>
      <c r="H44" s="214"/>
      <c r="I44" s="214"/>
      <c r="J44" s="214"/>
      <c r="K44" s="214"/>
      <c r="L44" s="7"/>
      <c r="M44" s="7"/>
      <c r="N44" s="7"/>
      <c r="R44" s="7"/>
      <c r="S44" s="7"/>
      <c r="T44" s="37"/>
      <c r="U44" s="7"/>
      <c r="V44" s="7"/>
      <c r="W44" s="7"/>
      <c r="Y44" s="7"/>
      <c r="Z44" s="7"/>
      <c r="AA44" s="7"/>
    </row>
    <row r="45" spans="1:27" ht="15.75" x14ac:dyDescent="0.3">
      <c r="A45" s="57"/>
      <c r="B45" s="57"/>
      <c r="C45" s="215"/>
      <c r="D45" s="231"/>
      <c r="E45" s="236"/>
      <c r="F45" s="229"/>
      <c r="G45" s="214"/>
      <c r="H45" s="214"/>
      <c r="I45" s="229"/>
      <c r="J45" s="229"/>
      <c r="K45" s="229"/>
      <c r="L45" s="37"/>
      <c r="M45" s="37"/>
      <c r="N45" s="37"/>
      <c r="R45" s="37"/>
      <c r="S45" s="7"/>
      <c r="T45" s="7"/>
      <c r="U45" s="7"/>
      <c r="V45" s="7"/>
    </row>
    <row r="46" spans="1:27" ht="15.75" x14ac:dyDescent="0.3">
      <c r="A46" s="57"/>
      <c r="B46" s="57"/>
      <c r="C46" s="57"/>
      <c r="D46" s="57"/>
      <c r="E46" s="228"/>
      <c r="F46" s="57"/>
      <c r="G46" s="57"/>
      <c r="H46" s="57"/>
      <c r="I46" s="229"/>
      <c r="J46" s="214"/>
      <c r="K46" s="229"/>
      <c r="L46" s="7"/>
      <c r="M46" s="37"/>
      <c r="N46" s="7"/>
    </row>
    <row r="47" spans="1:27" ht="15.75" x14ac:dyDescent="0.3">
      <c r="A47" s="57"/>
      <c r="B47" s="57"/>
      <c r="C47" s="226"/>
      <c r="D47" s="57"/>
      <c r="E47" s="214"/>
      <c r="F47" s="214"/>
      <c r="G47" s="214"/>
      <c r="H47" s="214"/>
      <c r="I47" s="214"/>
      <c r="J47" s="214"/>
      <c r="K47" s="214"/>
      <c r="L47" s="7"/>
      <c r="M47" s="7"/>
      <c r="N47" s="7"/>
    </row>
    <row r="48" spans="1:27" ht="15.75" x14ac:dyDescent="0.3">
      <c r="A48" s="57"/>
      <c r="B48" s="57" t="s">
        <v>151</v>
      </c>
      <c r="C48" s="218" t="s">
        <v>150</v>
      </c>
      <c r="D48" s="57"/>
      <c r="E48" s="214"/>
      <c r="F48" s="214"/>
      <c r="G48" s="214"/>
      <c r="H48" s="214"/>
      <c r="I48" s="214"/>
      <c r="J48" s="214"/>
      <c r="K48" s="214"/>
      <c r="L48" s="7"/>
      <c r="M48" s="7"/>
      <c r="N48" s="7"/>
      <c r="V48" s="36"/>
    </row>
    <row r="49" spans="1:18" ht="15.75" x14ac:dyDescent="0.3">
      <c r="A49" s="57"/>
      <c r="B49" s="57"/>
      <c r="C49" s="57"/>
      <c r="D49" s="57"/>
      <c r="E49" s="214"/>
      <c r="F49" s="214"/>
      <c r="G49" s="214"/>
      <c r="H49" s="214"/>
      <c r="I49" s="214"/>
      <c r="J49" s="214"/>
      <c r="K49" s="214"/>
      <c r="L49" s="7"/>
      <c r="M49" s="7"/>
      <c r="N49" s="7"/>
      <c r="Q49" s="7"/>
      <c r="R49" s="14"/>
    </row>
    <row r="50" spans="1:18" ht="15.75" x14ac:dyDescent="0.3">
      <c r="A50" s="57"/>
      <c r="B50" s="57"/>
      <c r="C50" s="57"/>
      <c r="D50" s="57"/>
      <c r="E50" s="214"/>
      <c r="F50" s="214"/>
      <c r="G50" s="214"/>
      <c r="H50" s="214"/>
      <c r="I50" s="214"/>
      <c r="J50" s="214"/>
      <c r="K50" s="214"/>
      <c r="L50" s="7"/>
      <c r="M50" s="7"/>
      <c r="N50" s="7"/>
    </row>
    <row r="51" spans="1:18" ht="15.75" x14ac:dyDescent="0.3">
      <c r="A51" s="57">
        <v>23</v>
      </c>
      <c r="B51" s="57"/>
      <c r="C51" s="57" t="s">
        <v>180</v>
      </c>
      <c r="D51" s="214"/>
      <c r="E51" s="237">
        <f>+Allocation!D30</f>
        <v>30166</v>
      </c>
      <c r="F51" s="214" t="s">
        <v>208</v>
      </c>
      <c r="G51" s="214"/>
      <c r="H51" s="214"/>
      <c r="I51" s="214"/>
      <c r="J51" s="214"/>
      <c r="K51" s="214"/>
      <c r="L51" s="7"/>
      <c r="M51" s="7"/>
      <c r="N51" s="7"/>
    </row>
    <row r="52" spans="1:18" ht="15.75" x14ac:dyDescent="0.3">
      <c r="A52" s="57">
        <v>24</v>
      </c>
      <c r="B52" s="57"/>
      <c r="C52" s="57" t="s">
        <v>120</v>
      </c>
      <c r="D52" s="214"/>
      <c r="E52" s="238">
        <f>+E14</f>
        <v>174373419</v>
      </c>
      <c r="F52" s="214" t="s">
        <v>209</v>
      </c>
      <c r="G52" s="214"/>
      <c r="H52" s="214"/>
      <c r="I52" s="214"/>
      <c r="J52" s="214"/>
      <c r="K52" s="214"/>
      <c r="L52" s="7"/>
      <c r="M52" s="7"/>
      <c r="N52" s="7"/>
    </row>
    <row r="53" spans="1:18" ht="15.75" x14ac:dyDescent="0.3">
      <c r="A53" s="57"/>
      <c r="B53" s="57"/>
      <c r="C53" s="57"/>
      <c r="D53" s="214"/>
      <c r="E53" s="239" t="s">
        <v>146</v>
      </c>
      <c r="F53" s="214"/>
      <c r="G53" s="214"/>
      <c r="H53" s="214"/>
      <c r="I53" s="214"/>
      <c r="J53" s="214"/>
      <c r="K53" s="214"/>
      <c r="L53" s="7"/>
      <c r="M53" s="7"/>
      <c r="N53" s="7"/>
    </row>
    <row r="54" spans="1:18" ht="15.75" x14ac:dyDescent="0.3">
      <c r="A54" s="57">
        <v>25</v>
      </c>
      <c r="B54" s="57"/>
      <c r="C54" s="57" t="s">
        <v>212</v>
      </c>
      <c r="D54" s="57"/>
      <c r="E54" s="240">
        <f>+E51/E52</f>
        <v>1.7299655058091164E-4</v>
      </c>
      <c r="F54" s="214" t="s">
        <v>162</v>
      </c>
      <c r="G54" s="214"/>
      <c r="H54" s="214"/>
      <c r="I54" s="214"/>
      <c r="J54" s="214"/>
      <c r="K54" s="214"/>
      <c r="L54" s="7"/>
      <c r="M54" s="7"/>
      <c r="N54" s="7"/>
    </row>
    <row r="55" spans="1:18" ht="15.75" x14ac:dyDescent="0.3">
      <c r="A55" s="57"/>
      <c r="B55" s="57"/>
      <c r="C55" s="57"/>
      <c r="D55" s="57"/>
      <c r="E55" s="240"/>
      <c r="F55" s="214"/>
      <c r="G55" s="214"/>
      <c r="H55" s="214"/>
      <c r="I55" s="214"/>
      <c r="J55" s="214"/>
      <c r="K55" s="214"/>
      <c r="L55" s="7"/>
      <c r="M55" s="7"/>
      <c r="N55" s="7"/>
    </row>
    <row r="56" spans="1:18" ht="15.75" x14ac:dyDescent="0.3">
      <c r="A56" s="57">
        <v>26</v>
      </c>
      <c r="B56" s="57"/>
      <c r="C56" s="57" t="s">
        <v>214</v>
      </c>
      <c r="D56" s="214"/>
      <c r="E56" s="241">
        <f>+E43</f>
        <v>25272146</v>
      </c>
      <c r="F56" s="214" t="s">
        <v>163</v>
      </c>
      <c r="G56" s="214"/>
      <c r="H56" s="214"/>
      <c r="I56" s="214"/>
      <c r="J56" s="214"/>
      <c r="K56" s="214"/>
      <c r="L56" s="7"/>
      <c r="M56" s="7"/>
      <c r="N56" s="7"/>
    </row>
    <row r="57" spans="1:18" ht="15.75" x14ac:dyDescent="0.3">
      <c r="A57" s="57">
        <v>27</v>
      </c>
      <c r="B57" s="57"/>
      <c r="C57" s="57" t="s">
        <v>216</v>
      </c>
      <c r="D57" s="214"/>
      <c r="E57" s="238">
        <f>+'4 Expense'!C30</f>
        <v>4018996</v>
      </c>
      <c r="F57" s="214" t="s">
        <v>210</v>
      </c>
      <c r="G57" s="214"/>
      <c r="H57" s="214"/>
      <c r="I57" s="214"/>
      <c r="J57" s="214"/>
      <c r="K57" s="214"/>
      <c r="L57" s="7"/>
      <c r="M57" s="7"/>
      <c r="N57" s="7"/>
    </row>
    <row r="58" spans="1:18" ht="15.75" x14ac:dyDescent="0.3">
      <c r="A58" s="57"/>
      <c r="B58" s="57"/>
      <c r="C58" s="57"/>
      <c r="D58" s="214"/>
      <c r="E58" s="239" t="s">
        <v>146</v>
      </c>
      <c r="F58" s="214"/>
      <c r="G58" s="214"/>
      <c r="H58" s="214"/>
      <c r="I58" s="214"/>
      <c r="J58" s="214"/>
      <c r="K58" s="214"/>
      <c r="L58" s="7"/>
      <c r="M58" s="7"/>
      <c r="N58" s="7"/>
    </row>
    <row r="59" spans="1:18" ht="15.75" x14ac:dyDescent="0.3">
      <c r="A59" s="57">
        <v>28</v>
      </c>
      <c r="B59" s="57"/>
      <c r="C59" s="57" t="s">
        <v>215</v>
      </c>
      <c r="D59" s="214"/>
      <c r="E59" s="241">
        <f>+E56-E57</f>
        <v>21253150</v>
      </c>
      <c r="F59" s="214" t="s">
        <v>165</v>
      </c>
      <c r="G59" s="214"/>
      <c r="H59" s="214"/>
      <c r="I59" s="214"/>
      <c r="J59" s="214"/>
      <c r="K59" s="214"/>
      <c r="L59" s="7"/>
      <c r="M59" s="7"/>
      <c r="N59" s="7"/>
    </row>
    <row r="60" spans="1:18" ht="15.75" x14ac:dyDescent="0.3">
      <c r="A60" s="57">
        <v>29</v>
      </c>
      <c r="B60" s="57"/>
      <c r="C60" s="57" t="s">
        <v>212</v>
      </c>
      <c r="D60" s="214"/>
      <c r="E60" s="240">
        <f>+E54</f>
        <v>1.7299655058091164E-4</v>
      </c>
      <c r="F60" s="214" t="s">
        <v>164</v>
      </c>
      <c r="G60" s="214"/>
      <c r="H60" s="214"/>
      <c r="I60" s="214"/>
      <c r="J60" s="214"/>
      <c r="K60" s="214"/>
      <c r="L60" s="7"/>
      <c r="M60" s="7"/>
      <c r="N60" s="7"/>
    </row>
    <row r="61" spans="1:18" ht="15.75" x14ac:dyDescent="0.3">
      <c r="A61" s="57"/>
      <c r="B61" s="57"/>
      <c r="C61" s="57"/>
      <c r="D61" s="214"/>
      <c r="E61" s="239" t="s">
        <v>146</v>
      </c>
      <c r="F61" s="214"/>
      <c r="G61" s="214"/>
      <c r="H61" s="214"/>
      <c r="I61" s="214"/>
      <c r="J61" s="214"/>
      <c r="K61" s="214"/>
      <c r="L61" s="7"/>
      <c r="M61" s="7"/>
      <c r="N61" s="7"/>
    </row>
    <row r="62" spans="1:18" ht="15.75" x14ac:dyDescent="0.3">
      <c r="A62" s="57">
        <v>30</v>
      </c>
      <c r="B62" s="57"/>
      <c r="C62" s="57" t="s">
        <v>147</v>
      </c>
      <c r="D62" s="214"/>
      <c r="E62" s="241">
        <f>+E59*E60</f>
        <v>3676.7216389787022</v>
      </c>
      <c r="F62" s="214" t="s">
        <v>166</v>
      </c>
      <c r="G62" s="214"/>
      <c r="H62" s="214"/>
      <c r="I62" s="214"/>
      <c r="J62" s="214"/>
      <c r="K62" s="214"/>
      <c r="L62" s="7"/>
      <c r="M62" s="7"/>
      <c r="N62" s="7"/>
    </row>
    <row r="63" spans="1:18" ht="15.75" x14ac:dyDescent="0.3">
      <c r="A63" s="57"/>
      <c r="B63" s="57"/>
      <c r="C63" s="57"/>
      <c r="D63" s="214"/>
      <c r="E63" s="241"/>
      <c r="F63" s="214"/>
      <c r="G63" s="214"/>
      <c r="H63" s="214"/>
      <c r="I63" s="214"/>
      <c r="J63" s="214"/>
      <c r="K63" s="214"/>
      <c r="L63" s="7"/>
      <c r="M63" s="7"/>
      <c r="N63" s="7"/>
    </row>
    <row r="64" spans="1:18" ht="15.75" x14ac:dyDescent="0.3">
      <c r="A64" s="57">
        <v>31</v>
      </c>
      <c r="B64" s="57"/>
      <c r="C64" s="57" t="s">
        <v>148</v>
      </c>
      <c r="D64" s="214"/>
      <c r="E64" s="241">
        <f>+E62/12</f>
        <v>306.39346991489185</v>
      </c>
      <c r="F64" s="214" t="s">
        <v>167</v>
      </c>
      <c r="G64" s="214"/>
      <c r="H64" s="214"/>
      <c r="I64" s="214"/>
      <c r="J64" s="214"/>
      <c r="K64" s="214"/>
      <c r="L64" s="7"/>
      <c r="M64" s="7"/>
      <c r="N64" s="7"/>
    </row>
    <row r="65" spans="1:14" ht="15.75" x14ac:dyDescent="0.3">
      <c r="A65" s="57"/>
      <c r="B65" s="57"/>
      <c r="C65" s="57"/>
      <c r="D65" s="214"/>
      <c r="E65" s="214"/>
      <c r="F65" s="214"/>
      <c r="G65" s="214"/>
      <c r="H65" s="214"/>
      <c r="I65" s="214"/>
      <c r="J65" s="214"/>
      <c r="K65" s="214"/>
      <c r="L65" s="7"/>
      <c r="M65" s="7"/>
      <c r="N65" s="7"/>
    </row>
    <row r="66" spans="1:14" ht="15.75" x14ac:dyDescent="0.3">
      <c r="A66" s="57"/>
      <c r="B66" s="57"/>
      <c r="C66" s="57" t="s">
        <v>152</v>
      </c>
      <c r="D66" s="214"/>
      <c r="E66" s="214"/>
      <c r="F66" s="214"/>
      <c r="G66" s="214"/>
      <c r="H66" s="214"/>
      <c r="I66" s="214"/>
      <c r="J66" s="214"/>
      <c r="K66" s="214"/>
      <c r="L66" s="7"/>
      <c r="M66" s="7"/>
      <c r="N66" s="7"/>
    </row>
    <row r="67" spans="1:14" ht="15.75" x14ac:dyDescent="0.3">
      <c r="A67" s="57"/>
      <c r="B67" s="57"/>
      <c r="C67" s="57" t="s">
        <v>149</v>
      </c>
      <c r="D67" s="214"/>
      <c r="E67" s="214"/>
      <c r="F67" s="214"/>
      <c r="G67" s="214"/>
      <c r="H67" s="214"/>
      <c r="I67" s="214"/>
      <c r="J67" s="214"/>
      <c r="K67" s="214"/>
      <c r="L67" s="7"/>
      <c r="M67" s="7"/>
      <c r="N67" s="7"/>
    </row>
    <row r="68" spans="1:14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4:14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4:14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4:14" x14ac:dyDescent="0.25">
      <c r="D83" s="7"/>
      <c r="E83" s="7"/>
      <c r="F83" s="7"/>
      <c r="G83" s="7"/>
      <c r="H83" s="7"/>
      <c r="I83" s="7"/>
      <c r="J83" s="7"/>
      <c r="K83" s="7">
        <v>0</v>
      </c>
      <c r="L83" s="7"/>
      <c r="M83" s="7"/>
      <c r="N83" s="7"/>
    </row>
    <row r="84" spans="4:14" x14ac:dyDescent="0.25">
      <c r="D84" s="7"/>
      <c r="E84" s="7"/>
      <c r="F84" s="7"/>
      <c r="G84" s="7"/>
      <c r="H84" s="7"/>
      <c r="I84" s="7"/>
      <c r="J84" s="7"/>
      <c r="K84" s="7">
        <f>(81081896+64932362)/2</f>
        <v>73007129</v>
      </c>
      <c r="L84" s="7"/>
      <c r="M84" s="7"/>
      <c r="N84" s="7"/>
    </row>
    <row r="85" spans="4:14" x14ac:dyDescent="0.25">
      <c r="D85" s="7"/>
      <c r="E85" s="7"/>
      <c r="F85" s="7"/>
      <c r="G85" s="7"/>
      <c r="H85" s="7"/>
      <c r="I85" s="7"/>
      <c r="J85" s="7"/>
      <c r="K85" s="7">
        <f>(-79010-103307)/2</f>
        <v>-91158.5</v>
      </c>
      <c r="L85" s="7"/>
      <c r="M85" s="7"/>
      <c r="N85" s="7"/>
    </row>
    <row r="86" spans="4:14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4:14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4:14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4:14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4:14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4:14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4:14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4:14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4:14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4:14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4:14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4:14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4:14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4:14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4:14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4:14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4:14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4:14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4:14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4:14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4:14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4:14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4:14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4:14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4:14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4:14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4:14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4:14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4:14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4:14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4:14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4:14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4:14" x14ac:dyDescent="0.25"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4:14" x14ac:dyDescent="0.25"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4:14" x14ac:dyDescent="0.25"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4:14" x14ac:dyDescent="0.25"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4:14" x14ac:dyDescent="0.25"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4:14" x14ac:dyDescent="0.25"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4:14" x14ac:dyDescent="0.25"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5:14" x14ac:dyDescent="0.25"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5:14" x14ac:dyDescent="0.25"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5:14" x14ac:dyDescent="0.25"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5:14" x14ac:dyDescent="0.25"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5:14" x14ac:dyDescent="0.25"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5:14" x14ac:dyDescent="0.25"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5:14" x14ac:dyDescent="0.25"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5:14" x14ac:dyDescent="0.25"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5:14" x14ac:dyDescent="0.25"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5:14" x14ac:dyDescent="0.25"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5:14" x14ac:dyDescent="0.25"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5:14" x14ac:dyDescent="0.25">
      <c r="E140" s="7"/>
      <c r="F140" s="7"/>
      <c r="G140" s="7"/>
      <c r="H140" s="7"/>
      <c r="I140" s="7"/>
      <c r="J140" s="7"/>
      <c r="K140" s="7"/>
      <c r="L140" s="7"/>
      <c r="M140" s="7"/>
      <c r="N140" s="7"/>
    </row>
  </sheetData>
  <customSheetViews>
    <customSheetView guid="{64F6106B-9E0C-489A-BDF0-E26F35DDE29F}" scale="90" showPageBreaks="1" showGridLines="0" fitToPage="1" printArea="1" topLeftCell="A39">
      <selection activeCell="F59" sqref="F59"/>
      <pageMargins left="0" right="0" top="0.75" bottom="0" header="0.5" footer="0.5"/>
      <pageSetup scale="69" fitToHeight="0" orientation="portrait" r:id="rId1"/>
      <headerFooter alignWithMargins="0"/>
    </customSheetView>
  </customSheetViews>
  <phoneticPr fontId="0" type="noConversion"/>
  <pageMargins left="0" right="0" top="0.75" bottom="0" header="0.5" footer="0.5"/>
  <pageSetup scale="6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46"/>
  <sheetViews>
    <sheetView showGridLines="0" zoomScale="70" zoomScaleNormal="70" workbookViewId="0">
      <selection activeCell="D44" sqref="D15:D44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0.85546875" customWidth="1"/>
    <col min="4" max="4" width="26.28515625" bestFit="1" customWidth="1"/>
  </cols>
  <sheetData>
    <row r="4" spans="1:7" ht="19.5" x14ac:dyDescent="0.35">
      <c r="A4" s="77"/>
      <c r="C4" s="43" t="s">
        <v>110</v>
      </c>
      <c r="D4" s="3"/>
      <c r="E4" s="207"/>
      <c r="F4" s="3"/>
      <c r="G4" s="3"/>
    </row>
    <row r="5" spans="1:7" ht="15" x14ac:dyDescent="0.25">
      <c r="C5" s="19" t="s">
        <v>350</v>
      </c>
      <c r="D5" s="3"/>
      <c r="E5" s="3"/>
      <c r="F5" s="3"/>
      <c r="G5" s="3"/>
    </row>
    <row r="6" spans="1:7" ht="15" x14ac:dyDescent="0.25">
      <c r="C6" s="44" t="str">
        <f>+Allocation!B6</f>
        <v>2017 FORECAST</v>
      </c>
      <c r="D6" s="3"/>
      <c r="E6" s="3"/>
      <c r="F6" s="3"/>
      <c r="G6" s="3"/>
    </row>
    <row r="7" spans="1:7" ht="15" x14ac:dyDescent="0.25">
      <c r="C7" s="44" t="str">
        <f>+Allocation!B7</f>
        <v>12-15-2016 Posting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179</v>
      </c>
      <c r="G8" s="3"/>
    </row>
    <row r="9" spans="1:7" ht="15" x14ac:dyDescent="0.25">
      <c r="C9" s="3"/>
      <c r="D9" s="3"/>
      <c r="E9" s="3"/>
      <c r="F9" s="5" t="s">
        <v>436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344</v>
      </c>
      <c r="D11" s="7" t="s">
        <v>97</v>
      </c>
      <c r="F11" s="3"/>
    </row>
    <row r="12" spans="1:7" ht="15" x14ac:dyDescent="0.25">
      <c r="A12" s="26" t="s">
        <v>70</v>
      </c>
      <c r="B12" s="3"/>
      <c r="C12" s="19" t="s">
        <v>345</v>
      </c>
      <c r="D12" s="7" t="s">
        <v>4</v>
      </c>
      <c r="F12" s="66"/>
    </row>
    <row r="13" spans="1:7" ht="15" x14ac:dyDescent="0.25">
      <c r="A13" s="26"/>
      <c r="B13" s="3"/>
      <c r="C13" s="8"/>
      <c r="D13" s="30"/>
      <c r="F13" s="66"/>
    </row>
    <row r="14" spans="1:7" ht="19.5" x14ac:dyDescent="0.35">
      <c r="A14" s="26">
        <v>1</v>
      </c>
      <c r="B14" s="81" t="s">
        <v>68</v>
      </c>
      <c r="C14" s="8"/>
      <c r="D14" s="30"/>
      <c r="F14" s="66"/>
    </row>
    <row r="15" spans="1:7" ht="15" x14ac:dyDescent="0.25">
      <c r="A15" s="82">
        <f>1+A14</f>
        <v>2</v>
      </c>
      <c r="B15" s="79" t="s">
        <v>329</v>
      </c>
      <c r="C15" s="150">
        <v>62627167.5</v>
      </c>
      <c r="D15" s="77" t="s">
        <v>582</v>
      </c>
    </row>
    <row r="16" spans="1:7" ht="15" x14ac:dyDescent="0.25">
      <c r="A16" s="82">
        <f t="shared" ref="A16:A27" si="0">1+A15</f>
        <v>3</v>
      </c>
      <c r="B16" s="80" t="s">
        <v>340</v>
      </c>
      <c r="C16" s="151">
        <v>62941426</v>
      </c>
      <c r="D16" s="77" t="s">
        <v>348</v>
      </c>
    </row>
    <row r="17" spans="1:7" ht="15" x14ac:dyDescent="0.25">
      <c r="A17" s="82">
        <f t="shared" si="0"/>
        <v>4</v>
      </c>
      <c r="B17" s="79" t="s">
        <v>330</v>
      </c>
      <c r="C17" s="151">
        <v>63255842.5</v>
      </c>
      <c r="D17" s="77" t="s">
        <v>348</v>
      </c>
    </row>
    <row r="18" spans="1:7" ht="15" x14ac:dyDescent="0.25">
      <c r="A18" s="82">
        <f t="shared" si="0"/>
        <v>5</v>
      </c>
      <c r="B18" s="79" t="s">
        <v>331</v>
      </c>
      <c r="C18" s="151">
        <v>63570417</v>
      </c>
      <c r="D18" s="77" t="s">
        <v>348</v>
      </c>
    </row>
    <row r="19" spans="1:7" ht="15" x14ac:dyDescent="0.25">
      <c r="A19" s="82">
        <f t="shared" si="0"/>
        <v>6</v>
      </c>
      <c r="B19" s="79" t="s">
        <v>332</v>
      </c>
      <c r="C19" s="151">
        <v>63865677.5</v>
      </c>
      <c r="D19" s="77" t="s">
        <v>348</v>
      </c>
    </row>
    <row r="20" spans="1:7" ht="15" x14ac:dyDescent="0.25">
      <c r="A20" s="82">
        <f t="shared" si="0"/>
        <v>7</v>
      </c>
      <c r="B20" s="79" t="s">
        <v>333</v>
      </c>
      <c r="C20" s="151">
        <v>64181723</v>
      </c>
      <c r="D20" s="77" t="s">
        <v>348</v>
      </c>
    </row>
    <row r="21" spans="1:7" ht="15" x14ac:dyDescent="0.25">
      <c r="A21" s="82">
        <f t="shared" si="0"/>
        <v>8</v>
      </c>
      <c r="B21" s="79" t="s">
        <v>334</v>
      </c>
      <c r="C21" s="151">
        <v>64498478.5</v>
      </c>
      <c r="D21" s="77" t="s">
        <v>348</v>
      </c>
    </row>
    <row r="22" spans="1:7" ht="15" x14ac:dyDescent="0.25">
      <c r="A22" s="82">
        <f t="shared" si="0"/>
        <v>9</v>
      </c>
      <c r="B22" s="79" t="s">
        <v>335</v>
      </c>
      <c r="C22" s="151">
        <v>64815902</v>
      </c>
      <c r="D22" s="77" t="s">
        <v>348</v>
      </c>
    </row>
    <row r="23" spans="1:7" ht="15" x14ac:dyDescent="0.25">
      <c r="A23" s="82">
        <f t="shared" si="0"/>
        <v>10</v>
      </c>
      <c r="B23" s="79" t="s">
        <v>336</v>
      </c>
      <c r="C23" s="151">
        <v>65133598.5</v>
      </c>
      <c r="D23" s="77" t="s">
        <v>348</v>
      </c>
    </row>
    <row r="24" spans="1:7" ht="15" x14ac:dyDescent="0.25">
      <c r="A24" s="82">
        <f t="shared" si="0"/>
        <v>11</v>
      </c>
      <c r="B24" s="79" t="s">
        <v>337</v>
      </c>
      <c r="C24" s="151">
        <v>65360427</v>
      </c>
      <c r="D24" s="77" t="s">
        <v>348</v>
      </c>
    </row>
    <row r="25" spans="1:7" ht="15" x14ac:dyDescent="0.25">
      <c r="A25" s="82">
        <f t="shared" si="0"/>
        <v>12</v>
      </c>
      <c r="B25" s="79" t="s">
        <v>338</v>
      </c>
      <c r="C25" s="151">
        <v>65360427</v>
      </c>
      <c r="D25" s="77" t="s">
        <v>348</v>
      </c>
    </row>
    <row r="26" spans="1:7" ht="15" x14ac:dyDescent="0.25">
      <c r="A26" s="82">
        <f t="shared" si="0"/>
        <v>13</v>
      </c>
      <c r="B26" s="79" t="s">
        <v>339</v>
      </c>
      <c r="C26" s="151">
        <v>65360427</v>
      </c>
      <c r="D26" s="77" t="s">
        <v>348</v>
      </c>
    </row>
    <row r="27" spans="1:7" ht="15" x14ac:dyDescent="0.25">
      <c r="A27" s="82">
        <f t="shared" si="0"/>
        <v>14</v>
      </c>
      <c r="B27" s="80" t="s">
        <v>341</v>
      </c>
      <c r="C27" s="151">
        <v>65360427</v>
      </c>
      <c r="D27" s="77" t="s">
        <v>583</v>
      </c>
    </row>
    <row r="28" spans="1:7" ht="15" x14ac:dyDescent="0.25">
      <c r="C28" s="78"/>
    </row>
    <row r="29" spans="1:7" ht="15" x14ac:dyDescent="0.25">
      <c r="A29" s="82">
        <f>1+A27</f>
        <v>15</v>
      </c>
      <c r="B29" s="79" t="s">
        <v>343</v>
      </c>
      <c r="C29" s="45">
        <f>AVERAGE(C15:C27)</f>
        <v>64333226.192307696</v>
      </c>
      <c r="G29" s="3"/>
    </row>
    <row r="30" spans="1:7" ht="15" x14ac:dyDescent="0.25">
      <c r="C30" s="78"/>
      <c r="G30" s="9"/>
    </row>
    <row r="31" spans="1:7" ht="19.5" x14ac:dyDescent="0.35">
      <c r="A31" s="26">
        <f>1+A29</f>
        <v>16</v>
      </c>
      <c r="B31" s="81" t="s">
        <v>346</v>
      </c>
      <c r="C31" s="83"/>
      <c r="D31" s="30"/>
      <c r="F31" s="66"/>
    </row>
    <row r="32" spans="1:7" ht="15" x14ac:dyDescent="0.25">
      <c r="A32" s="82">
        <f>1+A31</f>
        <v>17</v>
      </c>
      <c r="B32" s="79" t="s">
        <v>329</v>
      </c>
      <c r="C32" s="152">
        <v>33966560.640000023</v>
      </c>
      <c r="D32" s="77" t="s">
        <v>584</v>
      </c>
    </row>
    <row r="33" spans="1:4" ht="15" x14ac:dyDescent="0.25">
      <c r="A33" s="82">
        <f t="shared" ref="A33:A44" si="1">1+A32</f>
        <v>18</v>
      </c>
      <c r="B33" s="80" t="s">
        <v>340</v>
      </c>
      <c r="C33" s="153">
        <v>35156687.723333359</v>
      </c>
      <c r="D33" s="77" t="s">
        <v>348</v>
      </c>
    </row>
    <row r="34" spans="1:4" ht="15" x14ac:dyDescent="0.25">
      <c r="A34" s="82">
        <f t="shared" si="1"/>
        <v>19</v>
      </c>
      <c r="B34" s="79" t="s">
        <v>330</v>
      </c>
      <c r="C34" s="153">
        <v>36368841.806666695</v>
      </c>
      <c r="D34" s="77" t="s">
        <v>348</v>
      </c>
    </row>
    <row r="35" spans="1:4" ht="15" x14ac:dyDescent="0.25">
      <c r="A35" s="82">
        <f t="shared" si="1"/>
        <v>20</v>
      </c>
      <c r="B35" s="79" t="s">
        <v>331</v>
      </c>
      <c r="C35" s="153">
        <v>37609862.89000003</v>
      </c>
      <c r="D35" s="77" t="s">
        <v>348</v>
      </c>
    </row>
    <row r="36" spans="1:4" ht="15" x14ac:dyDescent="0.25">
      <c r="A36" s="82">
        <f t="shared" si="1"/>
        <v>21</v>
      </c>
      <c r="B36" s="79" t="s">
        <v>332</v>
      </c>
      <c r="C36" s="153">
        <v>38796914.973333366</v>
      </c>
      <c r="D36" s="77" t="s">
        <v>348</v>
      </c>
    </row>
    <row r="37" spans="1:4" ht="15" x14ac:dyDescent="0.25">
      <c r="A37" s="82">
        <f t="shared" si="1"/>
        <v>22</v>
      </c>
      <c r="B37" s="79" t="s">
        <v>333</v>
      </c>
      <c r="C37" s="153">
        <v>39986256.056666702</v>
      </c>
      <c r="D37" s="77" t="s">
        <v>348</v>
      </c>
    </row>
    <row r="38" spans="1:4" ht="15" x14ac:dyDescent="0.25">
      <c r="A38" s="82">
        <f t="shared" si="1"/>
        <v>23</v>
      </c>
      <c r="B38" s="79" t="s">
        <v>334</v>
      </c>
      <c r="C38" s="153">
        <v>41246688.14000003</v>
      </c>
      <c r="D38" s="77" t="s">
        <v>348</v>
      </c>
    </row>
    <row r="39" spans="1:4" ht="15" x14ac:dyDescent="0.25">
      <c r="A39" s="82">
        <f t="shared" si="1"/>
        <v>24</v>
      </c>
      <c r="B39" s="79" t="s">
        <v>335</v>
      </c>
      <c r="C39" s="153">
        <v>41916448.223333359</v>
      </c>
      <c r="D39" s="77" t="s">
        <v>348</v>
      </c>
    </row>
    <row r="40" spans="1:4" ht="15" x14ac:dyDescent="0.25">
      <c r="A40" s="82">
        <f t="shared" si="1"/>
        <v>25</v>
      </c>
      <c r="B40" s="79" t="s">
        <v>336</v>
      </c>
      <c r="C40" s="153">
        <v>43211697.306666687</v>
      </c>
      <c r="D40" s="77" t="s">
        <v>348</v>
      </c>
    </row>
    <row r="41" spans="1:4" ht="15" x14ac:dyDescent="0.25">
      <c r="A41" s="82">
        <f t="shared" si="1"/>
        <v>26</v>
      </c>
      <c r="B41" s="79" t="s">
        <v>337</v>
      </c>
      <c r="C41" s="153">
        <v>40756926.250000015</v>
      </c>
      <c r="D41" s="77" t="s">
        <v>348</v>
      </c>
    </row>
    <row r="42" spans="1:4" ht="15" x14ac:dyDescent="0.25">
      <c r="A42" s="82">
        <f t="shared" si="1"/>
        <v>27</v>
      </c>
      <c r="B42" s="79" t="s">
        <v>338</v>
      </c>
      <c r="C42" s="153">
        <v>40756926.250000015</v>
      </c>
      <c r="D42" s="77" t="s">
        <v>348</v>
      </c>
    </row>
    <row r="43" spans="1:4" ht="15" x14ac:dyDescent="0.25">
      <c r="A43" s="82">
        <f t="shared" si="1"/>
        <v>28</v>
      </c>
      <c r="B43" s="79" t="s">
        <v>339</v>
      </c>
      <c r="C43" s="153">
        <v>40756926.250000015</v>
      </c>
      <c r="D43" s="77" t="s">
        <v>348</v>
      </c>
    </row>
    <row r="44" spans="1:4" ht="15" x14ac:dyDescent="0.25">
      <c r="A44" s="82">
        <f t="shared" si="1"/>
        <v>29</v>
      </c>
      <c r="B44" s="80" t="s">
        <v>341</v>
      </c>
      <c r="C44" s="153">
        <v>40756926.250000015</v>
      </c>
      <c r="D44" s="77" t="s">
        <v>585</v>
      </c>
    </row>
    <row r="45" spans="1:4" ht="15" x14ac:dyDescent="0.25">
      <c r="C45" s="78"/>
    </row>
    <row r="46" spans="1:4" ht="15" x14ac:dyDescent="0.25">
      <c r="A46" s="82">
        <f>1+A44</f>
        <v>30</v>
      </c>
      <c r="B46" s="79" t="s">
        <v>347</v>
      </c>
      <c r="C46" s="45">
        <f>AVERAGE(C32:C44)</f>
        <v>39329820.212307706</v>
      </c>
    </row>
  </sheetData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122"/>
  <sheetViews>
    <sheetView showGridLines="0" zoomScale="80" zoomScaleNormal="80" workbookViewId="0">
      <selection activeCell="E15" sqref="E15:E69"/>
    </sheetView>
  </sheetViews>
  <sheetFormatPr defaultRowHeight="12.75" x14ac:dyDescent="0.2"/>
  <cols>
    <col min="1" max="1" width="7.7109375" style="77" bestFit="1" customWidth="1"/>
    <col min="2" max="2" width="39.140625" style="77" customWidth="1"/>
    <col min="3" max="3" width="44.140625" style="77" customWidth="1"/>
    <col min="4" max="4" width="18.7109375" style="77" customWidth="1"/>
    <col min="5" max="5" width="20.28515625" style="77" customWidth="1"/>
    <col min="6" max="6" width="12.85546875" style="77" bestFit="1" customWidth="1"/>
    <col min="7" max="16384" width="9.140625" style="77"/>
  </cols>
  <sheetData>
    <row r="4" spans="1:7" ht="19.5" x14ac:dyDescent="0.35">
      <c r="C4" s="43" t="s">
        <v>110</v>
      </c>
      <c r="D4" s="3"/>
      <c r="E4" s="207"/>
      <c r="F4" s="3"/>
      <c r="G4" s="3"/>
    </row>
    <row r="5" spans="1:7" ht="15" x14ac:dyDescent="0.25">
      <c r="C5" s="19" t="s">
        <v>358</v>
      </c>
      <c r="D5" s="3"/>
      <c r="E5" s="3"/>
      <c r="F5" s="3"/>
      <c r="G5" s="3"/>
    </row>
    <row r="6" spans="1:7" ht="15" x14ac:dyDescent="0.25">
      <c r="C6" s="76" t="str">
        <f>+Allocation!B6</f>
        <v>2017 FORECAST</v>
      </c>
      <c r="D6" s="3"/>
      <c r="E6" s="3"/>
      <c r="F6" s="3"/>
      <c r="G6" s="3"/>
    </row>
    <row r="7" spans="1:7" ht="15" x14ac:dyDescent="0.25">
      <c r="C7" s="76" t="str">
        <f>+Allocation!B7</f>
        <v>12-15-2016 Posting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179</v>
      </c>
      <c r="G8" s="3"/>
    </row>
    <row r="9" spans="1:7" ht="15" x14ac:dyDescent="0.25">
      <c r="C9" s="3"/>
      <c r="D9" s="3"/>
      <c r="E9" s="3"/>
      <c r="F9" s="5" t="s">
        <v>437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355</v>
      </c>
      <c r="D11" s="19" t="s">
        <v>356</v>
      </c>
      <c r="E11" s="19" t="s">
        <v>357</v>
      </c>
      <c r="F11" s="7" t="s">
        <v>97</v>
      </c>
    </row>
    <row r="12" spans="1:7" ht="15" x14ac:dyDescent="0.25">
      <c r="A12" s="26" t="s">
        <v>70</v>
      </c>
      <c r="B12" s="3"/>
      <c r="C12" s="19" t="s">
        <v>345</v>
      </c>
      <c r="D12" s="19" t="s">
        <v>345</v>
      </c>
      <c r="E12" s="19" t="s">
        <v>345</v>
      </c>
      <c r="F12" s="7" t="s">
        <v>4</v>
      </c>
    </row>
    <row r="13" spans="1:7" ht="15" x14ac:dyDescent="0.25">
      <c r="A13" s="26"/>
      <c r="B13" s="3"/>
      <c r="C13" s="3"/>
      <c r="D13" s="3"/>
      <c r="F13" s="30"/>
    </row>
    <row r="14" spans="1:7" ht="15.75" x14ac:dyDescent="0.25">
      <c r="A14" s="26">
        <v>1</v>
      </c>
      <c r="B14" s="200" t="s">
        <v>510</v>
      </c>
      <c r="C14" s="3"/>
      <c r="D14" s="3"/>
      <c r="F14" s="30"/>
    </row>
    <row r="15" spans="1:7" ht="15" x14ac:dyDescent="0.2">
      <c r="A15" s="106">
        <f>1+A14</f>
        <v>2</v>
      </c>
      <c r="B15" s="167" t="s">
        <v>467</v>
      </c>
      <c r="C15" s="168" t="s">
        <v>468</v>
      </c>
      <c r="D15" s="168"/>
      <c r="E15" s="169">
        <v>-120025752</v>
      </c>
      <c r="F15" s="166" t="s">
        <v>348</v>
      </c>
      <c r="G15" s="165"/>
    </row>
    <row r="16" spans="1:7" ht="15" x14ac:dyDescent="0.2">
      <c r="A16" s="106">
        <f t="shared" ref="A16:A80" si="0">1+A15</f>
        <v>3</v>
      </c>
      <c r="B16" s="167" t="s">
        <v>469</v>
      </c>
      <c r="C16" s="168"/>
      <c r="D16" s="168"/>
      <c r="E16" s="169"/>
      <c r="F16" s="166" t="s">
        <v>348</v>
      </c>
      <c r="G16" s="165"/>
    </row>
    <row r="17" spans="1:6" ht="15" x14ac:dyDescent="0.2">
      <c r="A17" s="106">
        <f t="shared" si="0"/>
        <v>4</v>
      </c>
      <c r="B17" s="167">
        <v>18121</v>
      </c>
      <c r="C17" s="168" t="s">
        <v>453</v>
      </c>
      <c r="D17" s="168"/>
      <c r="E17" s="169">
        <v>173877</v>
      </c>
      <c r="F17" s="166" t="s">
        <v>348</v>
      </c>
    </row>
    <row r="18" spans="1:6" ht="15" x14ac:dyDescent="0.2">
      <c r="A18" s="106">
        <f t="shared" si="0"/>
        <v>5</v>
      </c>
      <c r="B18" s="167">
        <v>18225</v>
      </c>
      <c r="C18" s="168" t="s">
        <v>470</v>
      </c>
      <c r="D18" s="168"/>
      <c r="E18" s="169">
        <v>-91918</v>
      </c>
      <c r="F18" s="166" t="s">
        <v>348</v>
      </c>
    </row>
    <row r="19" spans="1:6" ht="15" x14ac:dyDescent="0.2">
      <c r="A19" s="106">
        <f t="shared" si="0"/>
        <v>6</v>
      </c>
      <c r="B19" s="167">
        <v>18233</v>
      </c>
      <c r="C19" s="168" t="s">
        <v>565</v>
      </c>
      <c r="D19" s="168"/>
      <c r="E19" s="169">
        <v>3</v>
      </c>
      <c r="F19" s="166" t="s">
        <v>348</v>
      </c>
    </row>
    <row r="20" spans="1:6" ht="15" x14ac:dyDescent="0.2">
      <c r="A20" s="106">
        <f t="shared" si="0"/>
        <v>7</v>
      </c>
      <c r="B20" s="167">
        <v>18235</v>
      </c>
      <c r="C20" s="168" t="s">
        <v>471</v>
      </c>
      <c r="D20" s="168"/>
      <c r="E20" s="169">
        <v>-84981</v>
      </c>
      <c r="F20" s="166" t="s">
        <v>348</v>
      </c>
    </row>
    <row r="21" spans="1:6" ht="15" x14ac:dyDescent="0.2">
      <c r="A21" s="106">
        <f t="shared" si="0"/>
        <v>8</v>
      </c>
      <c r="B21" s="167">
        <v>18236</v>
      </c>
      <c r="C21" s="168" t="s">
        <v>472</v>
      </c>
      <c r="D21" s="168"/>
      <c r="E21" s="169">
        <v>-16292</v>
      </c>
      <c r="F21" s="166" t="s">
        <v>348</v>
      </c>
    </row>
    <row r="22" spans="1:6" ht="15" x14ac:dyDescent="0.2">
      <c r="A22" s="106">
        <f t="shared" si="0"/>
        <v>9</v>
      </c>
      <c r="B22" s="167">
        <v>18238</v>
      </c>
      <c r="C22" s="168" t="s">
        <v>566</v>
      </c>
      <c r="D22" s="168"/>
      <c r="E22" s="169">
        <v>-242048</v>
      </c>
      <c r="F22" s="166" t="s">
        <v>348</v>
      </c>
    </row>
    <row r="23" spans="1:6" ht="15" x14ac:dyDescent="0.2">
      <c r="A23" s="106">
        <f t="shared" si="0"/>
        <v>10</v>
      </c>
      <c r="B23" s="167">
        <v>18255</v>
      </c>
      <c r="C23" s="168" t="s">
        <v>473</v>
      </c>
      <c r="D23" s="168"/>
      <c r="E23" s="169">
        <v>227581</v>
      </c>
      <c r="F23" s="166" t="s">
        <v>348</v>
      </c>
    </row>
    <row r="24" spans="1:6" ht="15" x14ac:dyDescent="0.2">
      <c r="A24" s="106">
        <f t="shared" si="0"/>
        <v>11</v>
      </c>
      <c r="B24" s="167">
        <v>18611</v>
      </c>
      <c r="C24" s="168" t="s">
        <v>567</v>
      </c>
      <c r="D24" s="168"/>
      <c r="E24" s="170">
        <v>-36582</v>
      </c>
      <c r="F24" s="166" t="s">
        <v>348</v>
      </c>
    </row>
    <row r="25" spans="1:6" ht="15" x14ac:dyDescent="0.2">
      <c r="A25" s="106">
        <f t="shared" si="0"/>
        <v>12</v>
      </c>
      <c r="B25" s="167">
        <v>18612</v>
      </c>
      <c r="C25" s="168" t="s">
        <v>455</v>
      </c>
      <c r="D25" s="168"/>
      <c r="E25" s="169">
        <v>-101324</v>
      </c>
      <c r="F25" s="166" t="s">
        <v>348</v>
      </c>
    </row>
    <row r="26" spans="1:6" ht="15" x14ac:dyDescent="0.2">
      <c r="A26" s="106">
        <f t="shared" si="0"/>
        <v>13</v>
      </c>
      <c r="B26" s="167">
        <v>18613</v>
      </c>
      <c r="C26" s="168" t="s">
        <v>456</v>
      </c>
      <c r="D26" s="168"/>
      <c r="E26" s="169">
        <v>-1290934</v>
      </c>
      <c r="F26" s="166" t="s">
        <v>348</v>
      </c>
    </row>
    <row r="27" spans="1:6" ht="15" x14ac:dyDescent="0.2">
      <c r="A27" s="106">
        <f t="shared" si="0"/>
        <v>14</v>
      </c>
      <c r="B27" s="167">
        <v>18628</v>
      </c>
      <c r="C27" s="168" t="s">
        <v>457</v>
      </c>
      <c r="D27" s="168"/>
      <c r="E27" s="169">
        <v>-6485391</v>
      </c>
      <c r="F27" s="166" t="s">
        <v>348</v>
      </c>
    </row>
    <row r="28" spans="1:6" ht="15" x14ac:dyDescent="0.2">
      <c r="A28" s="106">
        <f t="shared" si="0"/>
        <v>15</v>
      </c>
      <c r="B28" s="167">
        <v>18647</v>
      </c>
      <c r="C28" s="168" t="s">
        <v>568</v>
      </c>
      <c r="D28" s="168"/>
      <c r="E28" s="170">
        <v>-149580</v>
      </c>
      <c r="F28" s="166" t="s">
        <v>348</v>
      </c>
    </row>
    <row r="29" spans="1:6" ht="15" x14ac:dyDescent="0.2">
      <c r="A29" s="106">
        <f t="shared" si="0"/>
        <v>16</v>
      </c>
      <c r="B29" s="167">
        <v>18651</v>
      </c>
      <c r="C29" s="168" t="s">
        <v>474</v>
      </c>
      <c r="D29" s="168"/>
      <c r="E29" s="169">
        <v>60512</v>
      </c>
      <c r="F29" s="166" t="s">
        <v>348</v>
      </c>
    </row>
    <row r="30" spans="1:6" ht="15" x14ac:dyDescent="0.2">
      <c r="A30" s="106">
        <f t="shared" si="0"/>
        <v>17</v>
      </c>
      <c r="B30" s="167" t="s">
        <v>475</v>
      </c>
      <c r="C30" s="168"/>
      <c r="D30" s="168"/>
      <c r="E30" s="169"/>
      <c r="F30" s="166" t="s">
        <v>348</v>
      </c>
    </row>
    <row r="31" spans="1:6" ht="15" x14ac:dyDescent="0.2">
      <c r="A31" s="106">
        <f t="shared" si="0"/>
        <v>18</v>
      </c>
      <c r="B31" s="167">
        <v>18230</v>
      </c>
      <c r="C31" s="168" t="s">
        <v>454</v>
      </c>
      <c r="D31" s="168"/>
      <c r="E31" s="169">
        <v>-119162</v>
      </c>
      <c r="F31" s="166" t="s">
        <v>348</v>
      </c>
    </row>
    <row r="32" spans="1:6" ht="15" x14ac:dyDescent="0.2">
      <c r="A32" s="106">
        <f t="shared" si="0"/>
        <v>19</v>
      </c>
      <c r="B32" s="167" t="s">
        <v>476</v>
      </c>
      <c r="C32" s="168"/>
      <c r="D32" s="168"/>
      <c r="E32" s="169"/>
      <c r="F32" s="166" t="s">
        <v>348</v>
      </c>
    </row>
    <row r="33" spans="1:6" ht="15" x14ac:dyDescent="0.2">
      <c r="A33" s="106">
        <f t="shared" si="0"/>
        <v>20</v>
      </c>
      <c r="B33" s="167" t="s">
        <v>477</v>
      </c>
      <c r="C33" s="168" t="s">
        <v>450</v>
      </c>
      <c r="D33" s="168"/>
      <c r="E33" s="169">
        <v>-28597</v>
      </c>
      <c r="F33" s="166" t="s">
        <v>348</v>
      </c>
    </row>
    <row r="34" spans="1:6" ht="15" x14ac:dyDescent="0.2">
      <c r="A34" s="106">
        <f t="shared" si="0"/>
        <v>21</v>
      </c>
      <c r="B34" s="167" t="s">
        <v>478</v>
      </c>
      <c r="C34" s="168"/>
      <c r="D34" s="168"/>
      <c r="E34" s="169"/>
      <c r="F34" s="166" t="s">
        <v>348</v>
      </c>
    </row>
    <row r="35" spans="1:6" ht="15" x14ac:dyDescent="0.2">
      <c r="A35" s="106">
        <f t="shared" si="0"/>
        <v>22</v>
      </c>
      <c r="B35" s="167">
        <v>23000</v>
      </c>
      <c r="C35" s="168" t="s">
        <v>447</v>
      </c>
      <c r="D35" s="168"/>
      <c r="E35" s="169">
        <v>2283638</v>
      </c>
      <c r="F35" s="166" t="s">
        <v>348</v>
      </c>
    </row>
    <row r="36" spans="1:6" ht="15" x14ac:dyDescent="0.2">
      <c r="A36" s="106">
        <f t="shared" si="0"/>
        <v>23</v>
      </c>
      <c r="B36" s="167">
        <v>23515</v>
      </c>
      <c r="C36" s="168" t="s">
        <v>448</v>
      </c>
      <c r="D36" s="168"/>
      <c r="E36" s="169">
        <v>83696</v>
      </c>
      <c r="F36" s="166" t="s">
        <v>348</v>
      </c>
    </row>
    <row r="37" spans="1:6" ht="15" x14ac:dyDescent="0.2">
      <c r="A37" s="106">
        <f t="shared" si="0"/>
        <v>24</v>
      </c>
      <c r="B37" s="167">
        <v>24206</v>
      </c>
      <c r="C37" s="168" t="s">
        <v>449</v>
      </c>
      <c r="D37" s="168"/>
      <c r="E37" s="169">
        <v>902727</v>
      </c>
      <c r="F37" s="166" t="s">
        <v>348</v>
      </c>
    </row>
    <row r="38" spans="1:6" ht="15" x14ac:dyDescent="0.2">
      <c r="A38" s="106">
        <f t="shared" si="0"/>
        <v>25</v>
      </c>
      <c r="B38" s="167">
        <v>25343</v>
      </c>
      <c r="C38" s="168" t="s">
        <v>479</v>
      </c>
      <c r="D38" s="168"/>
      <c r="E38" s="169">
        <v>0</v>
      </c>
      <c r="F38" s="166" t="s">
        <v>348</v>
      </c>
    </row>
    <row r="39" spans="1:6" ht="15" x14ac:dyDescent="0.2">
      <c r="A39" s="106">
        <f t="shared" si="0"/>
        <v>26</v>
      </c>
      <c r="B39" s="167">
        <v>25358</v>
      </c>
      <c r="C39" s="168" t="s">
        <v>569</v>
      </c>
      <c r="D39" s="168"/>
      <c r="E39" s="169">
        <v>0</v>
      </c>
      <c r="F39" s="166" t="s">
        <v>348</v>
      </c>
    </row>
    <row r="40" spans="1:6" ht="15" x14ac:dyDescent="0.2">
      <c r="A40" s="106">
        <f t="shared" si="0"/>
        <v>27</v>
      </c>
      <c r="B40" s="167">
        <v>25361</v>
      </c>
      <c r="C40" s="168" t="s">
        <v>480</v>
      </c>
      <c r="D40" s="168"/>
      <c r="E40" s="169">
        <v>279747</v>
      </c>
      <c r="F40" s="166" t="s">
        <v>348</v>
      </c>
    </row>
    <row r="41" spans="1:6" ht="15" x14ac:dyDescent="0.2">
      <c r="A41" s="106">
        <f t="shared" si="0"/>
        <v>28</v>
      </c>
      <c r="B41" s="167">
        <v>25378</v>
      </c>
      <c r="C41" s="168" t="s">
        <v>570</v>
      </c>
      <c r="D41" s="168"/>
      <c r="E41" s="169">
        <v>1074008</v>
      </c>
      <c r="F41" s="166" t="s">
        <v>348</v>
      </c>
    </row>
    <row r="42" spans="1:6" ht="15" x14ac:dyDescent="0.2">
      <c r="A42" s="106">
        <f t="shared" si="0"/>
        <v>29</v>
      </c>
      <c r="B42" s="167">
        <v>25379</v>
      </c>
      <c r="C42" s="168" t="s">
        <v>481</v>
      </c>
      <c r="D42" s="168"/>
      <c r="E42" s="169">
        <v>60788</v>
      </c>
      <c r="F42" s="166" t="s">
        <v>348</v>
      </c>
    </row>
    <row r="43" spans="1:6" ht="15" x14ac:dyDescent="0.2">
      <c r="A43" s="106">
        <f t="shared" si="0"/>
        <v>30</v>
      </c>
      <c r="B43" s="199">
        <v>25380</v>
      </c>
      <c r="C43" s="168" t="s">
        <v>482</v>
      </c>
      <c r="D43" s="168"/>
      <c r="E43" s="169">
        <v>-32</v>
      </c>
      <c r="F43" s="166" t="s">
        <v>348</v>
      </c>
    </row>
    <row r="44" spans="1:6" ht="15" x14ac:dyDescent="0.2">
      <c r="A44" s="106">
        <f t="shared" si="0"/>
        <v>31</v>
      </c>
      <c r="B44" s="199">
        <v>25381</v>
      </c>
      <c r="C44" s="168" t="s">
        <v>571</v>
      </c>
      <c r="D44" s="168"/>
      <c r="E44" s="169">
        <v>0</v>
      </c>
      <c r="F44" s="166" t="s">
        <v>348</v>
      </c>
    </row>
    <row r="45" spans="1:6" ht="15" x14ac:dyDescent="0.2">
      <c r="A45" s="106">
        <f t="shared" si="0"/>
        <v>32</v>
      </c>
      <c r="B45" s="199">
        <v>25390</v>
      </c>
      <c r="C45" s="168" t="s">
        <v>483</v>
      </c>
      <c r="D45" s="168"/>
      <c r="E45" s="169">
        <v>-77</v>
      </c>
      <c r="F45" s="166" t="s">
        <v>348</v>
      </c>
    </row>
    <row r="46" spans="1:6" ht="15" x14ac:dyDescent="0.2">
      <c r="A46" s="106">
        <f t="shared" si="0"/>
        <v>33</v>
      </c>
      <c r="B46" s="167">
        <v>25392</v>
      </c>
      <c r="C46" s="168" t="s">
        <v>572</v>
      </c>
      <c r="D46" s="168"/>
      <c r="E46" s="169">
        <v>1523209</v>
      </c>
      <c r="F46" s="166" t="s">
        <v>348</v>
      </c>
    </row>
    <row r="47" spans="1:6" ht="15" x14ac:dyDescent="0.2">
      <c r="A47" s="106">
        <f t="shared" si="0"/>
        <v>34</v>
      </c>
      <c r="B47" s="167">
        <v>25393</v>
      </c>
      <c r="C47" s="168" t="s">
        <v>451</v>
      </c>
      <c r="D47" s="168"/>
      <c r="E47" s="169">
        <v>493213</v>
      </c>
      <c r="F47" s="166" t="s">
        <v>348</v>
      </c>
    </row>
    <row r="48" spans="1:6" ht="15" x14ac:dyDescent="0.2">
      <c r="A48" s="106">
        <f t="shared" si="0"/>
        <v>35</v>
      </c>
      <c r="B48" s="167">
        <v>25397</v>
      </c>
      <c r="C48" s="168" t="s">
        <v>573</v>
      </c>
      <c r="D48" s="168"/>
      <c r="E48" s="169">
        <v>0</v>
      </c>
      <c r="F48" s="166" t="s">
        <v>348</v>
      </c>
    </row>
    <row r="49" spans="1:6" ht="15" x14ac:dyDescent="0.2">
      <c r="A49" s="106">
        <f t="shared" si="0"/>
        <v>36</v>
      </c>
      <c r="B49" s="167">
        <v>25400</v>
      </c>
      <c r="C49" s="168" t="s">
        <v>574</v>
      </c>
      <c r="D49" s="168"/>
      <c r="E49" s="169">
        <v>0</v>
      </c>
      <c r="F49" s="166" t="s">
        <v>348</v>
      </c>
    </row>
    <row r="50" spans="1:6" ht="15" x14ac:dyDescent="0.2">
      <c r="A50" s="106">
        <f t="shared" si="0"/>
        <v>37</v>
      </c>
      <c r="B50" s="167">
        <v>25402</v>
      </c>
      <c r="C50" s="168" t="s">
        <v>575</v>
      </c>
      <c r="D50" s="168"/>
      <c r="E50" s="169">
        <v>250483</v>
      </c>
      <c r="F50" s="166" t="s">
        <v>348</v>
      </c>
    </row>
    <row r="51" spans="1:6" ht="15" x14ac:dyDescent="0.2">
      <c r="A51" s="106">
        <f t="shared" si="0"/>
        <v>38</v>
      </c>
      <c r="B51" s="167" t="s">
        <v>484</v>
      </c>
      <c r="C51" s="168" t="s">
        <v>485</v>
      </c>
      <c r="D51" s="168"/>
      <c r="E51" s="169">
        <v>446860</v>
      </c>
      <c r="F51" s="166" t="s">
        <v>348</v>
      </c>
    </row>
    <row r="52" spans="1:6" ht="15" x14ac:dyDescent="0.2">
      <c r="A52" s="106">
        <f t="shared" si="0"/>
        <v>39</v>
      </c>
      <c r="B52" s="167" t="s">
        <v>486</v>
      </c>
      <c r="C52" s="168"/>
      <c r="D52" s="168"/>
      <c r="E52" s="169">
        <v>-7604207</v>
      </c>
      <c r="F52" s="166" t="s">
        <v>348</v>
      </c>
    </row>
    <row r="53" spans="1:6" ht="15" x14ac:dyDescent="0.2">
      <c r="A53" s="106">
        <f t="shared" si="0"/>
        <v>40</v>
      </c>
      <c r="B53" s="167" t="s">
        <v>487</v>
      </c>
      <c r="C53" s="168" t="s">
        <v>488</v>
      </c>
      <c r="D53" s="168"/>
      <c r="E53" s="169">
        <v>-1188539</v>
      </c>
      <c r="F53" s="166" t="s">
        <v>348</v>
      </c>
    </row>
    <row r="54" spans="1:6" ht="15" x14ac:dyDescent="0.2">
      <c r="A54" s="106">
        <f t="shared" si="0"/>
        <v>41</v>
      </c>
      <c r="B54" s="167" t="s">
        <v>489</v>
      </c>
      <c r="C54" s="168" t="s">
        <v>490</v>
      </c>
      <c r="D54" s="168"/>
      <c r="E54" s="169">
        <v>201183</v>
      </c>
      <c r="F54" s="166" t="s">
        <v>348</v>
      </c>
    </row>
    <row r="55" spans="1:6" ht="15" x14ac:dyDescent="0.2">
      <c r="A55" s="106">
        <f t="shared" si="0"/>
        <v>42</v>
      </c>
      <c r="B55" s="167" t="s">
        <v>491</v>
      </c>
      <c r="C55" s="168"/>
      <c r="D55" s="168"/>
      <c r="E55" s="169">
        <v>1477035</v>
      </c>
      <c r="F55" s="166" t="s">
        <v>348</v>
      </c>
    </row>
    <row r="56" spans="1:6" ht="15" x14ac:dyDescent="0.2">
      <c r="A56" s="106">
        <f t="shared" si="0"/>
        <v>43</v>
      </c>
      <c r="B56" s="167" t="s">
        <v>492</v>
      </c>
      <c r="C56" s="168"/>
      <c r="D56" s="168"/>
      <c r="E56" s="169">
        <v>-5772123</v>
      </c>
      <c r="F56" s="166" t="s">
        <v>348</v>
      </c>
    </row>
    <row r="57" spans="1:6" ht="15" x14ac:dyDescent="0.2">
      <c r="A57" s="106">
        <f t="shared" si="0"/>
        <v>44</v>
      </c>
      <c r="B57" s="167" t="s">
        <v>493</v>
      </c>
      <c r="C57" s="168" t="s">
        <v>494</v>
      </c>
      <c r="D57" s="168"/>
      <c r="E57" s="169">
        <v>-591959</v>
      </c>
      <c r="F57" s="166" t="s">
        <v>348</v>
      </c>
    </row>
    <row r="58" spans="1:6" ht="15" x14ac:dyDescent="0.2">
      <c r="A58" s="106">
        <f t="shared" si="0"/>
        <v>45</v>
      </c>
      <c r="B58" s="167" t="s">
        <v>495</v>
      </c>
      <c r="C58" s="168" t="s">
        <v>496</v>
      </c>
      <c r="D58" s="168"/>
      <c r="E58" s="169">
        <v>-290208963</v>
      </c>
      <c r="F58" s="166" t="s">
        <v>348</v>
      </c>
    </row>
    <row r="59" spans="1:6" ht="15" x14ac:dyDescent="0.2">
      <c r="A59" s="106">
        <f t="shared" si="0"/>
        <v>46</v>
      </c>
      <c r="B59" s="167" t="s">
        <v>564</v>
      </c>
      <c r="C59" s="168" t="s">
        <v>497</v>
      </c>
      <c r="D59" s="168"/>
      <c r="E59" s="169"/>
      <c r="F59" s="166" t="s">
        <v>348</v>
      </c>
    </row>
    <row r="60" spans="1:6" ht="15" x14ac:dyDescent="0.2">
      <c r="A60" s="106">
        <f t="shared" si="0"/>
        <v>47</v>
      </c>
      <c r="B60" s="167" t="s">
        <v>498</v>
      </c>
      <c r="C60" s="168" t="s">
        <v>499</v>
      </c>
      <c r="D60" s="168"/>
      <c r="E60" s="169">
        <v>52752245</v>
      </c>
      <c r="F60" s="166" t="s">
        <v>348</v>
      </c>
    </row>
    <row r="61" spans="1:6" ht="15" x14ac:dyDescent="0.2">
      <c r="A61" s="106">
        <f t="shared" si="0"/>
        <v>48</v>
      </c>
      <c r="B61" s="167">
        <v>25394</v>
      </c>
      <c r="C61" s="168" t="s">
        <v>452</v>
      </c>
      <c r="D61" s="168"/>
      <c r="E61" s="169">
        <v>9115885</v>
      </c>
      <c r="F61" s="166" t="s">
        <v>348</v>
      </c>
    </row>
    <row r="62" spans="1:6" ht="15" x14ac:dyDescent="0.2">
      <c r="A62" s="106">
        <f t="shared" si="0"/>
        <v>49</v>
      </c>
      <c r="B62" s="167" t="s">
        <v>500</v>
      </c>
      <c r="C62" s="168" t="s">
        <v>501</v>
      </c>
      <c r="D62" s="168"/>
      <c r="E62" s="169">
        <v>18670348</v>
      </c>
      <c r="F62" s="166" t="s">
        <v>348</v>
      </c>
    </row>
    <row r="63" spans="1:6" ht="15" x14ac:dyDescent="0.2">
      <c r="A63" s="106">
        <f t="shared" si="0"/>
        <v>50</v>
      </c>
      <c r="B63" s="167">
        <v>18250</v>
      </c>
      <c r="C63" s="168" t="s">
        <v>502</v>
      </c>
      <c r="D63" s="168"/>
      <c r="E63" s="169">
        <v>-1361821</v>
      </c>
      <c r="F63" s="166" t="s">
        <v>348</v>
      </c>
    </row>
    <row r="64" spans="1:6" ht="15" x14ac:dyDescent="0.2">
      <c r="A64" s="106">
        <f t="shared" si="0"/>
        <v>51</v>
      </c>
      <c r="B64" s="167" t="s">
        <v>503</v>
      </c>
      <c r="C64" s="168"/>
      <c r="D64" s="168"/>
      <c r="E64" s="169">
        <v>1282643</v>
      </c>
      <c r="F64" s="166" t="s">
        <v>348</v>
      </c>
    </row>
    <row r="65" spans="1:6" ht="15" x14ac:dyDescent="0.2">
      <c r="A65" s="106">
        <f t="shared" si="0"/>
        <v>52</v>
      </c>
      <c r="B65" s="167" t="s">
        <v>504</v>
      </c>
      <c r="C65" s="168" t="s">
        <v>504</v>
      </c>
      <c r="D65" s="168"/>
      <c r="E65" s="169">
        <v>114208</v>
      </c>
      <c r="F65" s="166" t="s">
        <v>348</v>
      </c>
    </row>
    <row r="66" spans="1:6" ht="15" x14ac:dyDescent="0.2">
      <c r="A66" s="106">
        <f t="shared" si="0"/>
        <v>53</v>
      </c>
      <c r="B66" s="171" t="s">
        <v>505</v>
      </c>
      <c r="C66" s="168" t="s">
        <v>506</v>
      </c>
      <c r="D66" s="168"/>
      <c r="E66" s="169">
        <v>549011</v>
      </c>
      <c r="F66" s="166" t="s">
        <v>348</v>
      </c>
    </row>
    <row r="67" spans="1:6" ht="15" x14ac:dyDescent="0.2">
      <c r="A67" s="106">
        <f t="shared" si="0"/>
        <v>54</v>
      </c>
      <c r="B67" s="167">
        <v>20</v>
      </c>
      <c r="C67" s="168" t="s">
        <v>507</v>
      </c>
      <c r="D67" s="168"/>
      <c r="E67" s="169">
        <v>2632</v>
      </c>
      <c r="F67" s="166" t="s">
        <v>348</v>
      </c>
    </row>
    <row r="68" spans="1:6" ht="15" x14ac:dyDescent="0.2">
      <c r="A68" s="106">
        <f t="shared" si="0"/>
        <v>55</v>
      </c>
      <c r="B68" s="171"/>
      <c r="C68" s="168"/>
      <c r="D68" s="168"/>
      <c r="E68" s="169"/>
      <c r="F68" s="166" t="s">
        <v>348</v>
      </c>
    </row>
    <row r="69" spans="1:6" ht="15" x14ac:dyDescent="0.2">
      <c r="A69" s="106">
        <f t="shared" si="0"/>
        <v>56</v>
      </c>
      <c r="B69" s="77" t="s">
        <v>508</v>
      </c>
      <c r="C69" s="168"/>
      <c r="D69" s="168"/>
      <c r="E69" s="169">
        <v>-916275</v>
      </c>
      <c r="F69" s="166" t="s">
        <v>348</v>
      </c>
    </row>
    <row r="70" spans="1:6" ht="15" x14ac:dyDescent="0.2">
      <c r="A70" s="106">
        <f t="shared" si="0"/>
        <v>57</v>
      </c>
      <c r="B70" s="167"/>
      <c r="C70" s="168"/>
      <c r="D70" s="168"/>
      <c r="E70" s="169"/>
      <c r="F70" s="166" t="s">
        <v>348</v>
      </c>
    </row>
    <row r="71" spans="1:6" ht="15" x14ac:dyDescent="0.2">
      <c r="A71" s="106">
        <f t="shared" si="0"/>
        <v>58</v>
      </c>
      <c r="B71" s="167"/>
      <c r="C71" s="168"/>
      <c r="D71" s="168"/>
      <c r="E71" s="169"/>
      <c r="F71" s="166" t="s">
        <v>348</v>
      </c>
    </row>
    <row r="72" spans="1:6" ht="15" x14ac:dyDescent="0.2">
      <c r="A72" s="106">
        <f t="shared" si="0"/>
        <v>59</v>
      </c>
      <c r="B72" s="167"/>
      <c r="C72" s="168"/>
      <c r="D72" s="168"/>
      <c r="E72" s="169"/>
      <c r="F72" s="166" t="s">
        <v>348</v>
      </c>
    </row>
    <row r="73" spans="1:6" ht="15" x14ac:dyDescent="0.2">
      <c r="A73" s="106">
        <f t="shared" si="0"/>
        <v>60</v>
      </c>
      <c r="B73" s="167"/>
      <c r="C73" s="168"/>
      <c r="D73" s="168"/>
      <c r="E73" s="169"/>
      <c r="F73" s="166" t="s">
        <v>348</v>
      </c>
    </row>
    <row r="74" spans="1:6" ht="15" x14ac:dyDescent="0.2">
      <c r="A74" s="106">
        <f t="shared" si="0"/>
        <v>61</v>
      </c>
      <c r="B74" s="167"/>
      <c r="C74" s="168"/>
      <c r="D74" s="168"/>
      <c r="E74" s="169"/>
      <c r="F74" s="166" t="s">
        <v>348</v>
      </c>
    </row>
    <row r="75" spans="1:6" ht="15" x14ac:dyDescent="0.2">
      <c r="A75" s="106">
        <f t="shared" si="0"/>
        <v>62</v>
      </c>
      <c r="B75" s="167"/>
      <c r="C75" s="168"/>
      <c r="D75" s="168"/>
      <c r="E75" s="169"/>
      <c r="F75" s="166" t="s">
        <v>348</v>
      </c>
    </row>
    <row r="76" spans="1:6" ht="15" x14ac:dyDescent="0.2">
      <c r="A76" s="106">
        <f t="shared" si="0"/>
        <v>63</v>
      </c>
      <c r="B76" s="167"/>
      <c r="C76" s="168"/>
      <c r="D76" s="168"/>
      <c r="E76" s="169"/>
      <c r="F76" s="166" t="s">
        <v>348</v>
      </c>
    </row>
    <row r="77" spans="1:6" ht="15" x14ac:dyDescent="0.2">
      <c r="A77" s="106">
        <f t="shared" si="0"/>
        <v>64</v>
      </c>
      <c r="B77" s="167"/>
      <c r="C77" s="168"/>
      <c r="D77" s="168"/>
      <c r="E77" s="169"/>
      <c r="F77" s="166" t="s">
        <v>348</v>
      </c>
    </row>
    <row r="78" spans="1:6" ht="15" x14ac:dyDescent="0.2">
      <c r="A78" s="106">
        <f t="shared" si="0"/>
        <v>65</v>
      </c>
      <c r="B78" s="167"/>
      <c r="C78" s="168"/>
      <c r="D78" s="168"/>
      <c r="E78" s="169"/>
      <c r="F78" s="166" t="s">
        <v>348</v>
      </c>
    </row>
    <row r="79" spans="1:6" ht="15" x14ac:dyDescent="0.2">
      <c r="A79" s="106">
        <f t="shared" si="0"/>
        <v>66</v>
      </c>
      <c r="B79" s="167"/>
      <c r="C79" s="168"/>
      <c r="D79" s="168"/>
      <c r="E79" s="169"/>
      <c r="F79" s="166" t="s">
        <v>348</v>
      </c>
    </row>
    <row r="80" spans="1:6" ht="15" x14ac:dyDescent="0.2">
      <c r="A80" s="106">
        <f t="shared" si="0"/>
        <v>67</v>
      </c>
      <c r="B80" s="167"/>
      <c r="C80" s="168"/>
      <c r="D80" s="168"/>
      <c r="E80" s="169"/>
      <c r="F80" s="166" t="s">
        <v>348</v>
      </c>
    </row>
    <row r="81" spans="1:7" ht="15" x14ac:dyDescent="0.2">
      <c r="B81" s="167"/>
      <c r="C81" s="168"/>
      <c r="D81" s="168"/>
      <c r="E81" s="169"/>
      <c r="F81" s="166" t="s">
        <v>348</v>
      </c>
      <c r="G81" s="165"/>
    </row>
    <row r="82" spans="1:7" ht="15" x14ac:dyDescent="0.2">
      <c r="A82" s="106">
        <f>1+A80</f>
        <v>68</v>
      </c>
      <c r="B82" s="167"/>
      <c r="C82" s="168"/>
      <c r="D82" s="168"/>
      <c r="E82" s="169"/>
      <c r="F82" s="166" t="s">
        <v>348</v>
      </c>
      <c r="G82" s="165"/>
    </row>
    <row r="83" spans="1:7" ht="15" x14ac:dyDescent="0.2">
      <c r="B83" s="167"/>
      <c r="C83" s="168"/>
      <c r="D83" s="168"/>
      <c r="E83" s="169"/>
      <c r="F83" s="166" t="s">
        <v>348</v>
      </c>
      <c r="G83" s="165"/>
    </row>
    <row r="84" spans="1:7" ht="15.75" x14ac:dyDescent="0.25">
      <c r="A84" s="26">
        <f>1+A82</f>
        <v>69</v>
      </c>
      <c r="B84" s="167"/>
      <c r="C84" s="168"/>
      <c r="D84" s="168"/>
      <c r="E84" s="169"/>
      <c r="F84" s="166" t="s">
        <v>348</v>
      </c>
      <c r="G84" s="165"/>
    </row>
    <row r="85" spans="1:7" ht="15" x14ac:dyDescent="0.2">
      <c r="A85" s="106">
        <f>1+A84</f>
        <v>70</v>
      </c>
      <c r="B85" s="167"/>
      <c r="C85" s="168"/>
      <c r="D85" s="168"/>
      <c r="E85" s="169"/>
      <c r="F85" s="166" t="s">
        <v>348</v>
      </c>
      <c r="G85" s="165"/>
    </row>
    <row r="86" spans="1:7" ht="15" x14ac:dyDescent="0.2">
      <c r="A86" s="106">
        <f>1+A85</f>
        <v>71</v>
      </c>
      <c r="B86" s="171"/>
      <c r="C86" s="168"/>
      <c r="D86" s="168"/>
      <c r="E86" s="172"/>
      <c r="F86" s="166" t="s">
        <v>348</v>
      </c>
      <c r="G86" s="165"/>
    </row>
    <row r="87" spans="1:7" x14ac:dyDescent="0.2">
      <c r="C87" s="106"/>
      <c r="D87" s="106"/>
      <c r="E87" s="106"/>
    </row>
    <row r="88" spans="1:7" ht="16.5" thickBot="1" x14ac:dyDescent="0.3">
      <c r="A88" s="106">
        <f>1+A86</f>
        <v>72</v>
      </c>
      <c r="B88" s="198" t="s">
        <v>509</v>
      </c>
      <c r="C88" s="179"/>
      <c r="D88" s="179"/>
      <c r="E88" s="201">
        <f>SUM(E15:E87)</f>
        <v>-344291025</v>
      </c>
      <c r="F88" s="203" t="s">
        <v>563</v>
      </c>
    </row>
    <row r="89" spans="1:7" ht="15.75" thickTop="1" x14ac:dyDescent="0.25">
      <c r="C89" s="106"/>
      <c r="D89" s="106"/>
      <c r="E89" s="106"/>
      <c r="F89" s="202" t="s">
        <v>511</v>
      </c>
    </row>
    <row r="90" spans="1:7" ht="19.5" x14ac:dyDescent="0.35">
      <c r="A90" s="173">
        <v>75</v>
      </c>
      <c r="B90" s="176" t="s">
        <v>352</v>
      </c>
      <c r="C90" s="63"/>
      <c r="D90" s="63"/>
      <c r="E90" s="165"/>
      <c r="G90" s="165"/>
    </row>
    <row r="91" spans="1:7" ht="15" x14ac:dyDescent="0.25">
      <c r="A91" s="177">
        <v>76</v>
      </c>
      <c r="B91" s="79"/>
      <c r="C91" s="178"/>
      <c r="D91" s="178"/>
      <c r="E91" s="175"/>
      <c r="F91" s="166" t="s">
        <v>348</v>
      </c>
      <c r="G91" s="165"/>
    </row>
    <row r="92" spans="1:7" ht="15" x14ac:dyDescent="0.25">
      <c r="A92" s="177">
        <v>77</v>
      </c>
      <c r="B92" s="80"/>
      <c r="C92" s="178"/>
      <c r="D92" s="178"/>
      <c r="E92" s="145"/>
      <c r="F92" s="166" t="s">
        <v>348</v>
      </c>
      <c r="G92" s="165"/>
    </row>
    <row r="93" spans="1:7" ht="15" x14ac:dyDescent="0.25">
      <c r="A93" s="177">
        <v>78</v>
      </c>
      <c r="B93" s="79"/>
      <c r="C93" s="178"/>
      <c r="D93" s="178"/>
      <c r="E93" s="145"/>
      <c r="F93" s="166" t="s">
        <v>348</v>
      </c>
      <c r="G93" s="165"/>
    </row>
    <row r="94" spans="1:7" ht="15" x14ac:dyDescent="0.25">
      <c r="A94" s="177">
        <v>79</v>
      </c>
      <c r="B94" s="79"/>
      <c r="C94" s="178"/>
      <c r="D94" s="178"/>
      <c r="E94" s="145"/>
      <c r="F94" s="166" t="s">
        <v>348</v>
      </c>
      <c r="G94" s="165"/>
    </row>
    <row r="95" spans="1:7" ht="15" x14ac:dyDescent="0.25">
      <c r="A95" s="177">
        <v>80</v>
      </c>
      <c r="B95" s="79"/>
      <c r="C95" s="178"/>
      <c r="D95" s="178"/>
      <c r="E95" s="145"/>
      <c r="F95" s="166" t="s">
        <v>348</v>
      </c>
      <c r="G95" s="165"/>
    </row>
    <row r="96" spans="1:7" ht="15" x14ac:dyDescent="0.25">
      <c r="A96" s="177">
        <v>81</v>
      </c>
      <c r="B96" s="79"/>
      <c r="C96" s="178"/>
      <c r="D96" s="178"/>
      <c r="E96" s="145"/>
      <c r="F96" s="166" t="s">
        <v>348</v>
      </c>
      <c r="G96" s="165"/>
    </row>
    <row r="97" spans="1:6" ht="15" x14ac:dyDescent="0.25">
      <c r="A97" s="177">
        <v>82</v>
      </c>
      <c r="B97" s="79"/>
      <c r="C97" s="178"/>
      <c r="D97" s="178"/>
      <c r="E97" s="145"/>
      <c r="F97" s="166" t="s">
        <v>348</v>
      </c>
    </row>
    <row r="98" spans="1:6" ht="15" x14ac:dyDescent="0.25">
      <c r="A98" s="177">
        <v>83</v>
      </c>
      <c r="B98" s="79"/>
      <c r="C98" s="178"/>
      <c r="D98" s="178"/>
      <c r="E98" s="145"/>
      <c r="F98" s="166" t="s">
        <v>348</v>
      </c>
    </row>
    <row r="99" spans="1:6" ht="15" x14ac:dyDescent="0.25">
      <c r="A99" s="177">
        <v>84</v>
      </c>
      <c r="B99" s="79"/>
      <c r="C99" s="178"/>
      <c r="D99" s="178"/>
      <c r="E99" s="145"/>
      <c r="F99" s="166" t="s">
        <v>348</v>
      </c>
    </row>
    <row r="100" spans="1:6" ht="15" x14ac:dyDescent="0.25">
      <c r="A100" s="177">
        <v>85</v>
      </c>
      <c r="B100" s="79"/>
      <c r="C100" s="178"/>
      <c r="D100" s="178"/>
      <c r="E100" s="145"/>
      <c r="F100" s="166" t="s">
        <v>348</v>
      </c>
    </row>
    <row r="101" spans="1:6" ht="15" x14ac:dyDescent="0.25">
      <c r="A101" s="177">
        <v>86</v>
      </c>
      <c r="B101" s="79"/>
      <c r="C101" s="178"/>
      <c r="D101" s="178"/>
      <c r="E101" s="145"/>
      <c r="F101" s="166" t="s">
        <v>348</v>
      </c>
    </row>
    <row r="102" spans="1:6" ht="15" x14ac:dyDescent="0.25">
      <c r="A102" s="177">
        <v>87</v>
      </c>
      <c r="B102" s="79"/>
      <c r="C102" s="178"/>
      <c r="D102" s="178"/>
      <c r="E102" s="145"/>
      <c r="F102" s="166" t="s">
        <v>348</v>
      </c>
    </row>
    <row r="103" spans="1:6" ht="15" x14ac:dyDescent="0.25">
      <c r="A103" s="177">
        <v>88</v>
      </c>
      <c r="B103" s="80"/>
      <c r="C103" s="178"/>
      <c r="D103" s="178"/>
      <c r="E103" s="145"/>
      <c r="F103" s="166" t="s">
        <v>348</v>
      </c>
    </row>
    <row r="104" spans="1:6" x14ac:dyDescent="0.2">
      <c r="C104" s="106"/>
      <c r="D104" s="106"/>
      <c r="E104" s="106"/>
    </row>
    <row r="105" spans="1:6" ht="15" x14ac:dyDescent="0.25">
      <c r="A105" s="177">
        <v>89</v>
      </c>
      <c r="B105" s="79" t="s">
        <v>353</v>
      </c>
      <c r="C105" s="180"/>
      <c r="D105" s="180"/>
      <c r="E105" s="182"/>
      <c r="F105" s="63" t="s">
        <v>586</v>
      </c>
    </row>
    <row r="106" spans="1:6" ht="15" x14ac:dyDescent="0.25">
      <c r="A106" s="165"/>
      <c r="B106" s="165"/>
      <c r="C106" s="165"/>
      <c r="D106" s="165"/>
      <c r="E106" s="165"/>
      <c r="F106" s="63"/>
    </row>
    <row r="107" spans="1:6" ht="19.5" x14ac:dyDescent="0.35">
      <c r="A107" s="173">
        <v>90</v>
      </c>
      <c r="B107" s="176" t="s">
        <v>354</v>
      </c>
      <c r="C107" s="63"/>
      <c r="D107" s="63"/>
      <c r="E107" s="165"/>
      <c r="F107" s="174"/>
    </row>
    <row r="108" spans="1:6" ht="15" x14ac:dyDescent="0.25">
      <c r="A108" s="177">
        <v>91</v>
      </c>
      <c r="B108" s="79"/>
      <c r="C108" s="178"/>
      <c r="D108" s="178"/>
      <c r="E108" s="175"/>
      <c r="F108" s="166" t="s">
        <v>348</v>
      </c>
    </row>
    <row r="109" spans="1:6" ht="15" x14ac:dyDescent="0.25">
      <c r="A109" s="177">
        <v>92</v>
      </c>
      <c r="B109" s="80"/>
      <c r="C109" s="178"/>
      <c r="D109" s="178"/>
      <c r="E109" s="145"/>
      <c r="F109" s="166" t="s">
        <v>348</v>
      </c>
    </row>
    <row r="110" spans="1:6" ht="15" x14ac:dyDescent="0.25">
      <c r="A110" s="177">
        <v>93</v>
      </c>
      <c r="B110" s="79"/>
      <c r="C110" s="178"/>
      <c r="D110" s="178"/>
      <c r="E110" s="145"/>
      <c r="F110" s="166" t="s">
        <v>348</v>
      </c>
    </row>
    <row r="111" spans="1:6" ht="15" x14ac:dyDescent="0.25">
      <c r="A111" s="177">
        <v>94</v>
      </c>
      <c r="B111" s="79"/>
      <c r="C111" s="178"/>
      <c r="D111" s="178"/>
      <c r="E111" s="145"/>
      <c r="F111" s="166" t="s">
        <v>348</v>
      </c>
    </row>
    <row r="112" spans="1:6" ht="15" x14ac:dyDescent="0.25">
      <c r="A112" s="177">
        <v>95</v>
      </c>
      <c r="B112" s="79"/>
      <c r="C112" s="178"/>
      <c r="D112" s="178"/>
      <c r="E112" s="145"/>
      <c r="F112" s="166" t="s">
        <v>348</v>
      </c>
    </row>
    <row r="113" spans="1:6" ht="15" x14ac:dyDescent="0.25">
      <c r="A113" s="177">
        <v>96</v>
      </c>
      <c r="B113" s="79"/>
      <c r="C113" s="178"/>
      <c r="D113" s="178"/>
      <c r="E113" s="145"/>
      <c r="F113" s="166" t="s">
        <v>348</v>
      </c>
    </row>
    <row r="114" spans="1:6" ht="15" x14ac:dyDescent="0.25">
      <c r="A114" s="177">
        <v>97</v>
      </c>
      <c r="B114" s="79"/>
      <c r="C114" s="178"/>
      <c r="D114" s="178"/>
      <c r="E114" s="145"/>
      <c r="F114" s="166" t="s">
        <v>348</v>
      </c>
    </row>
    <row r="115" spans="1:6" ht="15" x14ac:dyDescent="0.25">
      <c r="A115" s="177">
        <v>98</v>
      </c>
      <c r="B115" s="79"/>
      <c r="C115" s="178"/>
      <c r="D115" s="178"/>
      <c r="E115" s="145"/>
      <c r="F115" s="166" t="s">
        <v>348</v>
      </c>
    </row>
    <row r="116" spans="1:6" ht="15" x14ac:dyDescent="0.25">
      <c r="A116" s="177">
        <v>99</v>
      </c>
      <c r="B116" s="79"/>
      <c r="C116" s="178"/>
      <c r="D116" s="178"/>
      <c r="E116" s="145"/>
      <c r="F116" s="166" t="s">
        <v>348</v>
      </c>
    </row>
    <row r="117" spans="1:6" ht="15" x14ac:dyDescent="0.25">
      <c r="A117" s="177">
        <v>100</v>
      </c>
      <c r="B117" s="79"/>
      <c r="C117" s="178"/>
      <c r="D117" s="178"/>
      <c r="E117" s="145"/>
      <c r="F117" s="166" t="s">
        <v>348</v>
      </c>
    </row>
    <row r="118" spans="1:6" ht="15" x14ac:dyDescent="0.25">
      <c r="A118" s="177">
        <v>101</v>
      </c>
      <c r="B118" s="79"/>
      <c r="C118" s="178"/>
      <c r="D118" s="178"/>
      <c r="E118" s="145"/>
      <c r="F118" s="166" t="s">
        <v>348</v>
      </c>
    </row>
    <row r="119" spans="1:6" ht="15" x14ac:dyDescent="0.25">
      <c r="A119" s="177">
        <v>102</v>
      </c>
      <c r="B119" s="79"/>
      <c r="C119" s="178"/>
      <c r="D119" s="178"/>
      <c r="E119" s="145"/>
      <c r="F119" s="166" t="s">
        <v>348</v>
      </c>
    </row>
    <row r="120" spans="1:6" ht="15" x14ac:dyDescent="0.25">
      <c r="A120" s="177">
        <v>103</v>
      </c>
      <c r="B120" s="80"/>
      <c r="C120" s="178"/>
      <c r="D120" s="178"/>
      <c r="E120" s="145"/>
      <c r="F120" s="166" t="s">
        <v>348</v>
      </c>
    </row>
    <row r="122" spans="1:6" ht="15" x14ac:dyDescent="0.25">
      <c r="A122" s="177">
        <v>104</v>
      </c>
      <c r="B122" s="79" t="s">
        <v>347</v>
      </c>
      <c r="C122" s="180"/>
      <c r="D122" s="180"/>
      <c r="E122" s="182"/>
      <c r="F122" s="63" t="s">
        <v>587</v>
      </c>
    </row>
  </sheetData>
  <pageMargins left="0.7" right="0.7" top="0.75" bottom="0.75" header="0.3" footer="0.3"/>
  <pageSetup scale="3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7"/>
  <sheetViews>
    <sheetView showGridLines="0" zoomScaleNormal="100" workbookViewId="0">
      <selection activeCell="F34" sqref="F34"/>
    </sheetView>
  </sheetViews>
  <sheetFormatPr defaultRowHeight="12.75" x14ac:dyDescent="0.2"/>
  <cols>
    <col min="1" max="1" width="7.7109375" style="77" bestFit="1" customWidth="1"/>
    <col min="2" max="2" width="49.28515625" style="77" customWidth="1"/>
    <col min="3" max="5" width="18.7109375" style="77" customWidth="1"/>
    <col min="6" max="16384" width="9.140625" style="77"/>
  </cols>
  <sheetData>
    <row r="4" spans="1:7" ht="19.5" x14ac:dyDescent="0.35">
      <c r="C4" s="43" t="s">
        <v>110</v>
      </c>
      <c r="D4" s="3"/>
      <c r="E4" s="207"/>
      <c r="F4" s="3"/>
      <c r="G4" s="3"/>
    </row>
    <row r="5" spans="1:7" ht="15" x14ac:dyDescent="0.25">
      <c r="C5" s="19" t="s">
        <v>359</v>
      </c>
      <c r="D5" s="3"/>
      <c r="E5" s="3"/>
      <c r="F5" s="3"/>
      <c r="G5" s="3"/>
    </row>
    <row r="6" spans="1:7" ht="15" x14ac:dyDescent="0.25">
      <c r="C6" s="76" t="str">
        <f>+Allocation!B6</f>
        <v>2017 FORECAST</v>
      </c>
      <c r="D6" s="3"/>
      <c r="E6" s="3"/>
      <c r="F6" s="3"/>
      <c r="G6" s="3"/>
    </row>
    <row r="7" spans="1:7" ht="15" x14ac:dyDescent="0.25">
      <c r="C7" s="76" t="str">
        <f>+Allocation!B7</f>
        <v>12-15-2016 Posting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179</v>
      </c>
      <c r="G8" s="3"/>
    </row>
    <row r="9" spans="1:7" ht="15" x14ac:dyDescent="0.25">
      <c r="C9" s="3"/>
      <c r="D9" s="3"/>
      <c r="E9" s="3"/>
      <c r="F9" s="5" t="s">
        <v>439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355</v>
      </c>
      <c r="D11" s="19" t="s">
        <v>356</v>
      </c>
      <c r="E11" s="19" t="s">
        <v>357</v>
      </c>
      <c r="F11" s="7" t="s">
        <v>97</v>
      </c>
    </row>
    <row r="12" spans="1:7" ht="15" x14ac:dyDescent="0.25">
      <c r="A12" s="26" t="s">
        <v>70</v>
      </c>
      <c r="B12" s="3"/>
      <c r="C12" s="19" t="s">
        <v>345</v>
      </c>
      <c r="D12" s="19" t="s">
        <v>345</v>
      </c>
      <c r="E12" s="19" t="s">
        <v>345</v>
      </c>
      <c r="F12" s="7" t="s">
        <v>4</v>
      </c>
    </row>
    <row r="13" spans="1:7" ht="15" x14ac:dyDescent="0.25">
      <c r="A13" s="26"/>
      <c r="B13" s="3"/>
      <c r="C13" s="3"/>
      <c r="D13" s="3"/>
      <c r="F13" s="30"/>
    </row>
    <row r="14" spans="1:7" ht="19.5" x14ac:dyDescent="0.35">
      <c r="A14" s="26">
        <v>1</v>
      </c>
      <c r="B14" s="81" t="s">
        <v>360</v>
      </c>
      <c r="C14" s="3"/>
      <c r="D14" s="3"/>
      <c r="F14" s="30"/>
    </row>
    <row r="15" spans="1:7" ht="15" x14ac:dyDescent="0.25">
      <c r="A15" s="106">
        <f>1+A14</f>
        <v>2</v>
      </c>
      <c r="B15" s="79" t="s">
        <v>552</v>
      </c>
      <c r="C15" s="148">
        <v>706521.11</v>
      </c>
      <c r="D15" s="45">
        <f>+C15</f>
        <v>706521.11</v>
      </c>
      <c r="E15" s="45">
        <f>AVERAGE(C15:D15)</f>
        <v>706521.11</v>
      </c>
      <c r="F15" s="77" t="s">
        <v>348</v>
      </c>
    </row>
    <row r="16" spans="1:7" ht="15" x14ac:dyDescent="0.25">
      <c r="A16" s="106">
        <f t="shared" ref="A16:A32" si="0">1+A15</f>
        <v>3</v>
      </c>
      <c r="B16" s="80" t="s">
        <v>553</v>
      </c>
      <c r="C16" s="149">
        <v>-408813.66769230767</v>
      </c>
      <c r="D16" s="45">
        <f t="shared" ref="D16:D32" si="1">+C16</f>
        <v>-408813.66769230767</v>
      </c>
      <c r="E16" s="78">
        <f>AVERAGE(C16:D16)</f>
        <v>-408813.66769230767</v>
      </c>
      <c r="F16" s="77" t="s">
        <v>348</v>
      </c>
    </row>
    <row r="17" spans="1:6" ht="15" x14ac:dyDescent="0.25">
      <c r="A17" s="106">
        <f t="shared" si="0"/>
        <v>4</v>
      </c>
      <c r="B17" s="79" t="s">
        <v>554</v>
      </c>
      <c r="C17" s="149">
        <v>0</v>
      </c>
      <c r="D17" s="45">
        <f t="shared" si="1"/>
        <v>0</v>
      </c>
      <c r="E17" s="78">
        <f t="shared" ref="E17:E32" si="2">AVERAGE(C17:D17)</f>
        <v>0</v>
      </c>
      <c r="F17" s="77" t="s">
        <v>348</v>
      </c>
    </row>
    <row r="18" spans="1:6" ht="15" x14ac:dyDescent="0.25">
      <c r="A18" s="106">
        <f t="shared" si="0"/>
        <v>5</v>
      </c>
      <c r="B18" s="79" t="s">
        <v>555</v>
      </c>
      <c r="C18" s="149">
        <v>93889.183846153857</v>
      </c>
      <c r="D18" s="45">
        <f t="shared" si="1"/>
        <v>93889.183846153857</v>
      </c>
      <c r="E18" s="78">
        <f t="shared" si="2"/>
        <v>93889.183846153857</v>
      </c>
      <c r="F18" s="77" t="s">
        <v>348</v>
      </c>
    </row>
    <row r="19" spans="1:6" ht="15" x14ac:dyDescent="0.25">
      <c r="A19" s="106">
        <f t="shared" si="0"/>
        <v>6</v>
      </c>
      <c r="B19" s="79" t="s">
        <v>556</v>
      </c>
      <c r="C19" s="149">
        <v>44019.892307692309</v>
      </c>
      <c r="D19" s="45">
        <f t="shared" si="1"/>
        <v>44019.892307692309</v>
      </c>
      <c r="E19" s="78">
        <f t="shared" si="2"/>
        <v>44019.892307692309</v>
      </c>
      <c r="F19" s="77" t="s">
        <v>348</v>
      </c>
    </row>
    <row r="20" spans="1:6" ht="15" x14ac:dyDescent="0.25">
      <c r="A20" s="106">
        <f t="shared" si="0"/>
        <v>7</v>
      </c>
      <c r="B20" s="79" t="s">
        <v>557</v>
      </c>
      <c r="C20" s="149">
        <v>401104.79076923081</v>
      </c>
      <c r="D20" s="45">
        <f t="shared" si="1"/>
        <v>401104.79076923081</v>
      </c>
      <c r="E20" s="78">
        <f t="shared" si="2"/>
        <v>401104.79076923081</v>
      </c>
      <c r="F20" s="77" t="s">
        <v>348</v>
      </c>
    </row>
    <row r="21" spans="1:6" ht="15" x14ac:dyDescent="0.25">
      <c r="A21" s="106">
        <f t="shared" si="0"/>
        <v>8</v>
      </c>
      <c r="B21" s="79" t="s">
        <v>558</v>
      </c>
      <c r="C21" s="149">
        <v>322661.75307692308</v>
      </c>
      <c r="D21" s="45">
        <f t="shared" si="1"/>
        <v>322661.75307692308</v>
      </c>
      <c r="E21" s="78">
        <f t="shared" si="2"/>
        <v>322661.75307692308</v>
      </c>
      <c r="F21" s="77" t="s">
        <v>348</v>
      </c>
    </row>
    <row r="22" spans="1:6" ht="15" x14ac:dyDescent="0.25">
      <c r="A22" s="106">
        <f t="shared" si="0"/>
        <v>9</v>
      </c>
      <c r="B22" s="79" t="s">
        <v>559</v>
      </c>
      <c r="C22" s="149">
        <v>516601.34153846151</v>
      </c>
      <c r="D22" s="45">
        <f t="shared" si="1"/>
        <v>516601.34153846151</v>
      </c>
      <c r="E22" s="78">
        <f t="shared" si="2"/>
        <v>516601.34153846151</v>
      </c>
      <c r="F22" s="77" t="s">
        <v>348</v>
      </c>
    </row>
    <row r="23" spans="1:6" ht="15" x14ac:dyDescent="0.25">
      <c r="A23" s="106">
        <f t="shared" si="0"/>
        <v>10</v>
      </c>
      <c r="B23" s="79" t="s">
        <v>560</v>
      </c>
      <c r="C23" s="149">
        <v>126254.07692307692</v>
      </c>
      <c r="D23" s="45">
        <f t="shared" si="1"/>
        <v>126254.07692307692</v>
      </c>
      <c r="E23" s="78">
        <f t="shared" si="2"/>
        <v>126254.07692307692</v>
      </c>
      <c r="F23" s="77" t="s">
        <v>348</v>
      </c>
    </row>
    <row r="24" spans="1:6" ht="15" x14ac:dyDescent="0.25">
      <c r="A24" s="106">
        <f t="shared" si="0"/>
        <v>11</v>
      </c>
      <c r="B24" s="79" t="s">
        <v>561</v>
      </c>
      <c r="C24" s="149">
        <v>2036109.4769230769</v>
      </c>
      <c r="D24" s="45">
        <f t="shared" si="1"/>
        <v>2036109.4769230769</v>
      </c>
      <c r="E24" s="78">
        <f t="shared" si="2"/>
        <v>2036109.4769230769</v>
      </c>
      <c r="F24" s="77" t="s">
        <v>348</v>
      </c>
    </row>
    <row r="25" spans="1:6" ht="15" x14ac:dyDescent="0.25">
      <c r="A25" s="106">
        <f t="shared" si="0"/>
        <v>12</v>
      </c>
      <c r="B25" s="79" t="s">
        <v>562</v>
      </c>
      <c r="C25" s="149">
        <v>-275351.7192307692</v>
      </c>
      <c r="D25" s="45">
        <f t="shared" si="1"/>
        <v>-275351.7192307692</v>
      </c>
      <c r="E25" s="78">
        <f t="shared" si="2"/>
        <v>-275351.7192307692</v>
      </c>
      <c r="F25" s="77" t="s">
        <v>348</v>
      </c>
    </row>
    <row r="26" spans="1:6" ht="15" x14ac:dyDescent="0.25">
      <c r="A26" s="106">
        <f t="shared" si="0"/>
        <v>13</v>
      </c>
      <c r="B26" s="79" t="s">
        <v>361</v>
      </c>
      <c r="C26" s="149">
        <v>0</v>
      </c>
      <c r="D26" s="45">
        <f t="shared" si="1"/>
        <v>0</v>
      </c>
      <c r="E26" s="78">
        <f t="shared" si="2"/>
        <v>0</v>
      </c>
      <c r="F26" s="77" t="s">
        <v>348</v>
      </c>
    </row>
    <row r="27" spans="1:6" ht="15" x14ac:dyDescent="0.25">
      <c r="A27" s="106">
        <f t="shared" si="0"/>
        <v>14</v>
      </c>
      <c r="B27" s="79" t="s">
        <v>362</v>
      </c>
      <c r="C27" s="149">
        <v>0</v>
      </c>
      <c r="D27" s="45">
        <f t="shared" si="1"/>
        <v>0</v>
      </c>
      <c r="E27" s="78">
        <f t="shared" si="2"/>
        <v>0</v>
      </c>
      <c r="F27" s="77" t="s">
        <v>348</v>
      </c>
    </row>
    <row r="28" spans="1:6" ht="15" x14ac:dyDescent="0.25">
      <c r="A28" s="106">
        <f t="shared" si="0"/>
        <v>15</v>
      </c>
      <c r="B28" s="79" t="s">
        <v>459</v>
      </c>
      <c r="C28" s="149">
        <v>4235.5384615384619</v>
      </c>
      <c r="D28" s="45">
        <f t="shared" si="1"/>
        <v>4235.5384615384619</v>
      </c>
      <c r="E28" s="78">
        <f t="shared" si="2"/>
        <v>4235.5384615384619</v>
      </c>
      <c r="F28" s="77" t="s">
        <v>348</v>
      </c>
    </row>
    <row r="29" spans="1:6" ht="15" x14ac:dyDescent="0.25">
      <c r="A29" s="106">
        <f t="shared" si="0"/>
        <v>16</v>
      </c>
      <c r="B29" s="79" t="s">
        <v>363</v>
      </c>
      <c r="C29" s="149">
        <v>949410.90153846156</v>
      </c>
      <c r="D29" s="45">
        <f t="shared" si="1"/>
        <v>949410.90153846156</v>
      </c>
      <c r="E29" s="78">
        <f t="shared" si="2"/>
        <v>949410.90153846156</v>
      </c>
      <c r="F29" s="77" t="s">
        <v>348</v>
      </c>
    </row>
    <row r="30" spans="1:6" ht="15" x14ac:dyDescent="0.25">
      <c r="A30" s="106">
        <f t="shared" si="0"/>
        <v>17</v>
      </c>
      <c r="B30" s="79" t="s">
        <v>364</v>
      </c>
      <c r="C30" s="149">
        <v>26240241.86230769</v>
      </c>
      <c r="D30" s="45">
        <f t="shared" si="1"/>
        <v>26240241.86230769</v>
      </c>
      <c r="E30" s="78">
        <f t="shared" si="2"/>
        <v>26240241.86230769</v>
      </c>
      <c r="F30" s="77" t="s">
        <v>348</v>
      </c>
    </row>
    <row r="31" spans="1:6" ht="15" x14ac:dyDescent="0.25">
      <c r="A31" s="106">
        <f t="shared" si="0"/>
        <v>18</v>
      </c>
      <c r="B31" s="79" t="s">
        <v>365</v>
      </c>
      <c r="C31" s="149">
        <v>0</v>
      </c>
      <c r="D31" s="45">
        <f t="shared" si="1"/>
        <v>0</v>
      </c>
      <c r="E31" s="78">
        <f t="shared" si="2"/>
        <v>0</v>
      </c>
      <c r="F31" s="77" t="s">
        <v>348</v>
      </c>
    </row>
    <row r="32" spans="1:6" ht="15" x14ac:dyDescent="0.25">
      <c r="A32" s="106">
        <f t="shared" si="0"/>
        <v>19</v>
      </c>
      <c r="B32" s="79" t="s">
        <v>366</v>
      </c>
      <c r="C32" s="149">
        <v>-22912808.996923074</v>
      </c>
      <c r="D32" s="45">
        <f t="shared" si="1"/>
        <v>-22912808.996923074</v>
      </c>
      <c r="E32" s="78">
        <f t="shared" si="2"/>
        <v>-22912808.996923074</v>
      </c>
      <c r="F32" s="77" t="s">
        <v>348</v>
      </c>
    </row>
    <row r="33" spans="1:7" ht="15" x14ac:dyDescent="0.25">
      <c r="C33" s="3"/>
      <c r="D33" s="3"/>
      <c r="E33" s="3"/>
    </row>
    <row r="34" spans="1:7" ht="15.75" x14ac:dyDescent="0.3">
      <c r="A34" s="106">
        <f>1+A32</f>
        <v>20</v>
      </c>
      <c r="B34" s="79" t="s">
        <v>367</v>
      </c>
      <c r="C34" s="45">
        <f>SUM(C15:C32)</f>
        <v>7844075.5438461527</v>
      </c>
      <c r="D34" s="45">
        <f>SUM(D15:D32)</f>
        <v>7844075.5438461527</v>
      </c>
      <c r="E34" s="45">
        <f>SUM(E15:E32)</f>
        <v>7844075.5438461527</v>
      </c>
      <c r="F34" s="3" t="s">
        <v>593</v>
      </c>
      <c r="G34" s="3"/>
    </row>
    <row r="35" spans="1:7" ht="15" x14ac:dyDescent="0.25">
      <c r="G35" s="26"/>
    </row>
    <row r="37" spans="1:7" ht="15" x14ac:dyDescent="0.25">
      <c r="B37" s="79"/>
      <c r="C37" s="149"/>
      <c r="D37" s="45"/>
      <c r="E37" s="78"/>
    </row>
  </sheetData>
  <pageMargins left="0.7" right="0.7" top="0.75" bottom="0.75" header="0.3" footer="0.3"/>
  <pageSetup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showGridLines="0" topLeftCell="A16" zoomScaleNormal="100" workbookViewId="0">
      <selection activeCell="E48" sqref="E48"/>
    </sheetView>
  </sheetViews>
  <sheetFormatPr defaultRowHeight="12.75" x14ac:dyDescent="0.2"/>
  <cols>
    <col min="1" max="1" width="5.140625" style="77" customWidth="1"/>
    <col min="2" max="2" width="21" style="77" customWidth="1"/>
    <col min="3" max="3" width="25.42578125" style="77" customWidth="1"/>
    <col min="4" max="4" width="23.85546875" style="77" customWidth="1"/>
    <col min="5" max="6" width="21" style="77" customWidth="1"/>
    <col min="7" max="7" width="19.140625" style="77" customWidth="1"/>
    <col min="8" max="8" width="32" style="77" customWidth="1"/>
    <col min="9" max="11" width="9.140625" style="77"/>
    <col min="12" max="12" width="21.7109375" style="77" bestFit="1" customWidth="1"/>
    <col min="13" max="16384" width="9.140625" style="77"/>
  </cols>
  <sheetData>
    <row r="5" spans="1:9" ht="19.5" x14ac:dyDescent="0.35">
      <c r="B5" s="87"/>
      <c r="C5" s="43" t="s">
        <v>110</v>
      </c>
      <c r="D5" s="87"/>
      <c r="E5" s="87"/>
      <c r="F5" s="5" t="s">
        <v>111</v>
      </c>
      <c r="G5" s="87"/>
      <c r="H5" s="87"/>
    </row>
    <row r="6" spans="1:9" ht="16.5" x14ac:dyDescent="0.3">
      <c r="B6" s="87"/>
      <c r="C6" s="119" t="s">
        <v>445</v>
      </c>
      <c r="D6" s="87"/>
      <c r="E6" s="207"/>
      <c r="F6" s="5" t="s">
        <v>179</v>
      </c>
      <c r="G6" s="87"/>
      <c r="H6" s="87"/>
    </row>
    <row r="7" spans="1:9" ht="15.75" x14ac:dyDescent="0.25">
      <c r="B7" s="87"/>
      <c r="C7" s="19" t="str">
        <f>+Allocation!B6</f>
        <v>2017 FORECAST</v>
      </c>
      <c r="D7" s="87"/>
      <c r="E7" s="87"/>
      <c r="F7" s="5" t="s">
        <v>438</v>
      </c>
      <c r="G7" s="87"/>
      <c r="H7" s="87"/>
    </row>
    <row r="8" spans="1:9" ht="15.75" x14ac:dyDescent="0.25">
      <c r="B8" s="87"/>
      <c r="C8" s="19" t="str">
        <f>+Allocation!B7</f>
        <v>12-15-2016 Posting</v>
      </c>
      <c r="D8" s="87"/>
      <c r="E8" s="87"/>
      <c r="G8" s="87"/>
      <c r="H8" s="87"/>
    </row>
    <row r="9" spans="1:9" ht="15.75" x14ac:dyDescent="0.25">
      <c r="B9" s="87"/>
      <c r="C9" s="87"/>
      <c r="D9" s="87"/>
      <c r="E9" s="87"/>
      <c r="G9" s="87"/>
      <c r="H9" s="87"/>
    </row>
    <row r="10" spans="1:9" ht="15.75" x14ac:dyDescent="0.25">
      <c r="B10" s="87"/>
      <c r="C10" s="87"/>
      <c r="D10" s="87"/>
      <c r="E10" s="87"/>
      <c r="F10" s="5"/>
      <c r="G10" s="87"/>
      <c r="H10" s="87"/>
    </row>
    <row r="11" spans="1:9" ht="15" x14ac:dyDescent="0.25">
      <c r="A11" s="3"/>
      <c r="B11" s="3"/>
      <c r="C11" s="25" t="s">
        <v>23</v>
      </c>
      <c r="D11" s="25" t="s">
        <v>25</v>
      </c>
      <c r="E11" s="25" t="s">
        <v>174</v>
      </c>
      <c r="F11" s="101"/>
      <c r="G11" s="3"/>
      <c r="H11" s="3"/>
      <c r="I11" s="3"/>
    </row>
    <row r="12" spans="1:9" ht="15" x14ac:dyDescent="0.25">
      <c r="A12" s="3"/>
      <c r="B12" s="3"/>
      <c r="C12" s="19" t="s">
        <v>392</v>
      </c>
      <c r="D12" s="19" t="s">
        <v>393</v>
      </c>
      <c r="E12" s="19" t="s">
        <v>394</v>
      </c>
      <c r="F12" s="101"/>
      <c r="G12" s="3"/>
      <c r="H12" s="3"/>
      <c r="I12" s="3"/>
    </row>
    <row r="13" spans="1:9" ht="15" x14ac:dyDescent="0.25">
      <c r="A13" s="3"/>
      <c r="B13" s="3"/>
      <c r="C13" s="19" t="s">
        <v>68</v>
      </c>
      <c r="D13" s="19" t="s">
        <v>68</v>
      </c>
      <c r="E13" s="19" t="s">
        <v>68</v>
      </c>
      <c r="F13" s="101"/>
      <c r="G13" s="3"/>
      <c r="H13" s="3"/>
      <c r="I13" s="3"/>
    </row>
    <row r="14" spans="1:9" ht="15" x14ac:dyDescent="0.25">
      <c r="A14" s="3"/>
      <c r="B14" s="3"/>
      <c r="C14" s="19" t="s">
        <v>395</v>
      </c>
      <c r="D14" s="19" t="s">
        <v>396</v>
      </c>
      <c r="E14" s="19" t="s">
        <v>397</v>
      </c>
      <c r="F14" s="101"/>
      <c r="G14" s="3"/>
      <c r="H14" s="3"/>
      <c r="I14" s="3"/>
    </row>
    <row r="15" spans="1:9" ht="15" x14ac:dyDescent="0.25">
      <c r="A15" s="3"/>
      <c r="B15" s="3"/>
      <c r="C15" s="19" t="s">
        <v>398</v>
      </c>
      <c r="D15" s="19" t="s">
        <v>399</v>
      </c>
      <c r="E15" s="19" t="s">
        <v>400</v>
      </c>
      <c r="F15" s="101"/>
      <c r="G15" s="3"/>
      <c r="H15" s="3"/>
      <c r="I15" s="3"/>
    </row>
    <row r="16" spans="1:9" ht="15" x14ac:dyDescent="0.25">
      <c r="A16" s="3"/>
      <c r="B16" s="3"/>
      <c r="C16" s="3"/>
      <c r="D16" s="19"/>
      <c r="E16" s="19"/>
      <c r="F16" s="101"/>
      <c r="G16" s="3"/>
      <c r="H16" s="3"/>
      <c r="I16" s="3"/>
    </row>
    <row r="17" spans="1:12" ht="15.75" x14ac:dyDescent="0.25">
      <c r="A17" s="19">
        <v>1</v>
      </c>
      <c r="B17" s="91" t="s">
        <v>548</v>
      </c>
      <c r="C17" s="117">
        <f>+'1 ATRR'!E43</f>
        <v>25272146</v>
      </c>
      <c r="D17" s="141">
        <v>812382</v>
      </c>
      <c r="E17" s="109">
        <f t="shared" ref="E17:E28" si="0">ROUND(+C17/D17/12,2)</f>
        <v>2.59</v>
      </c>
      <c r="F17" s="101" t="s">
        <v>403</v>
      </c>
      <c r="G17" s="94"/>
      <c r="H17" s="95"/>
      <c r="I17" s="107"/>
      <c r="J17" s="88"/>
      <c r="K17" s="89"/>
      <c r="L17" s="90"/>
    </row>
    <row r="18" spans="1:12" ht="15.75" x14ac:dyDescent="0.25">
      <c r="A18" s="19">
        <f>1+A17</f>
        <v>2</v>
      </c>
      <c r="B18" s="91" t="s">
        <v>401</v>
      </c>
      <c r="C18" s="108">
        <f>C$17</f>
        <v>25272146</v>
      </c>
      <c r="D18" s="141">
        <v>794180</v>
      </c>
      <c r="E18" s="110">
        <f t="shared" si="0"/>
        <v>2.65</v>
      </c>
      <c r="F18" s="101" t="s">
        <v>403</v>
      </c>
      <c r="G18" s="94"/>
      <c r="H18" s="95"/>
      <c r="I18" s="107"/>
      <c r="J18" s="88"/>
      <c r="K18" s="89"/>
      <c r="L18" s="90"/>
    </row>
    <row r="19" spans="1:12" ht="15.75" x14ac:dyDescent="0.25">
      <c r="A19" s="19">
        <f t="shared" ref="A19:A28" si="1">1+A18</f>
        <v>3</v>
      </c>
      <c r="B19" s="91" t="s">
        <v>331</v>
      </c>
      <c r="C19" s="108">
        <f t="shared" ref="C19:C28" si="2">C$17</f>
        <v>25272146</v>
      </c>
      <c r="D19" s="141">
        <v>648718</v>
      </c>
      <c r="E19" s="110">
        <f t="shared" si="0"/>
        <v>3.25</v>
      </c>
      <c r="F19" s="101" t="s">
        <v>403</v>
      </c>
      <c r="G19" s="94"/>
      <c r="H19" s="95"/>
      <c r="I19" s="107"/>
      <c r="J19" s="88"/>
      <c r="K19" s="89"/>
      <c r="L19" s="90"/>
    </row>
    <row r="20" spans="1:12" ht="15.75" x14ac:dyDescent="0.25">
      <c r="A20" s="19">
        <f t="shared" si="1"/>
        <v>4</v>
      </c>
      <c r="B20" s="91" t="s">
        <v>332</v>
      </c>
      <c r="C20" s="108">
        <f t="shared" si="2"/>
        <v>25272146</v>
      </c>
      <c r="D20" s="141">
        <v>658267</v>
      </c>
      <c r="E20" s="110">
        <f t="shared" si="0"/>
        <v>3.2</v>
      </c>
      <c r="F20" s="101" t="s">
        <v>403</v>
      </c>
      <c r="G20" s="94"/>
      <c r="H20" s="95"/>
      <c r="I20" s="107"/>
      <c r="J20" s="88"/>
      <c r="K20" s="89"/>
      <c r="L20" s="90"/>
    </row>
    <row r="21" spans="1:12" ht="15.75" x14ac:dyDescent="0.25">
      <c r="A21" s="19">
        <f t="shared" si="1"/>
        <v>5</v>
      </c>
      <c r="B21" s="91" t="s">
        <v>402</v>
      </c>
      <c r="C21" s="108">
        <f t="shared" si="2"/>
        <v>25272146</v>
      </c>
      <c r="D21" s="141">
        <v>653568</v>
      </c>
      <c r="E21" s="110">
        <f t="shared" si="0"/>
        <v>3.22</v>
      </c>
      <c r="F21" s="101" t="s">
        <v>403</v>
      </c>
      <c r="G21" s="94"/>
      <c r="H21" s="95"/>
      <c r="I21" s="107"/>
      <c r="J21" s="88"/>
      <c r="K21" s="89"/>
      <c r="L21" s="90"/>
    </row>
    <row r="22" spans="1:12" ht="15.75" x14ac:dyDescent="0.25">
      <c r="A22" s="19">
        <f t="shared" si="1"/>
        <v>6</v>
      </c>
      <c r="B22" s="91" t="s">
        <v>334</v>
      </c>
      <c r="C22" s="108">
        <f t="shared" si="2"/>
        <v>25272146</v>
      </c>
      <c r="D22" s="141">
        <v>695519</v>
      </c>
      <c r="E22" s="110">
        <f t="shared" si="0"/>
        <v>3.03</v>
      </c>
      <c r="F22" s="101" t="s">
        <v>403</v>
      </c>
      <c r="G22" s="94"/>
      <c r="H22" s="95"/>
      <c r="I22" s="107"/>
      <c r="J22" s="88"/>
      <c r="K22" s="89"/>
      <c r="L22" s="90"/>
    </row>
    <row r="23" spans="1:12" ht="15.75" x14ac:dyDescent="0.25">
      <c r="A23" s="19">
        <f t="shared" si="1"/>
        <v>7</v>
      </c>
      <c r="B23" s="91" t="s">
        <v>335</v>
      </c>
      <c r="C23" s="108">
        <f t="shared" si="2"/>
        <v>25272146</v>
      </c>
      <c r="D23" s="141">
        <v>737859</v>
      </c>
      <c r="E23" s="110">
        <f t="shared" si="0"/>
        <v>2.85</v>
      </c>
      <c r="F23" s="101" t="s">
        <v>403</v>
      </c>
      <c r="G23" s="94"/>
      <c r="H23" s="95"/>
      <c r="I23" s="107"/>
      <c r="J23" s="88"/>
      <c r="K23" s="89"/>
      <c r="L23" s="90"/>
    </row>
    <row r="24" spans="1:12" ht="15.75" x14ac:dyDescent="0.25">
      <c r="A24" s="19">
        <f t="shared" si="1"/>
        <v>8</v>
      </c>
      <c r="B24" s="91" t="s">
        <v>336</v>
      </c>
      <c r="C24" s="108">
        <f t="shared" si="2"/>
        <v>25272146</v>
      </c>
      <c r="D24" s="141">
        <v>771388</v>
      </c>
      <c r="E24" s="110">
        <f t="shared" si="0"/>
        <v>2.73</v>
      </c>
      <c r="F24" s="101" t="s">
        <v>403</v>
      </c>
      <c r="G24" s="94"/>
      <c r="H24" s="95"/>
      <c r="I24" s="107"/>
      <c r="J24" s="88"/>
      <c r="K24" s="89"/>
      <c r="L24" s="90"/>
    </row>
    <row r="25" spans="1:12" ht="15.75" x14ac:dyDescent="0.25">
      <c r="A25" s="19">
        <f t="shared" si="1"/>
        <v>9</v>
      </c>
      <c r="B25" s="91" t="s">
        <v>547</v>
      </c>
      <c r="C25" s="108">
        <f t="shared" si="2"/>
        <v>25272146</v>
      </c>
      <c r="D25" s="141">
        <v>768489</v>
      </c>
      <c r="E25" s="110">
        <f t="shared" si="0"/>
        <v>2.74</v>
      </c>
      <c r="F25" s="101" t="s">
        <v>403</v>
      </c>
      <c r="G25" s="94"/>
      <c r="H25" s="96"/>
      <c r="I25" s="107"/>
      <c r="J25" s="88"/>
      <c r="K25" s="89"/>
      <c r="L25" s="90"/>
    </row>
    <row r="26" spans="1:12" ht="15.75" x14ac:dyDescent="0.25">
      <c r="A26" s="19">
        <f t="shared" si="1"/>
        <v>10</v>
      </c>
      <c r="B26" s="91" t="s">
        <v>338</v>
      </c>
      <c r="C26" s="108">
        <f t="shared" si="2"/>
        <v>25272146</v>
      </c>
      <c r="D26" s="141">
        <v>647456</v>
      </c>
      <c r="E26" s="110">
        <f t="shared" si="0"/>
        <v>3.25</v>
      </c>
      <c r="F26" s="101" t="s">
        <v>403</v>
      </c>
      <c r="G26" s="94"/>
      <c r="H26" s="95"/>
      <c r="I26" s="107"/>
      <c r="J26" s="88"/>
      <c r="K26" s="89"/>
      <c r="L26" s="90"/>
    </row>
    <row r="27" spans="1:12" ht="15.75" x14ac:dyDescent="0.25">
      <c r="A27" s="19">
        <f t="shared" si="1"/>
        <v>11</v>
      </c>
      <c r="B27" s="91" t="s">
        <v>339</v>
      </c>
      <c r="C27" s="108">
        <f t="shared" si="2"/>
        <v>25272146</v>
      </c>
      <c r="D27" s="141">
        <v>719559</v>
      </c>
      <c r="E27" s="110">
        <f t="shared" si="0"/>
        <v>2.93</v>
      </c>
      <c r="F27" s="101" t="s">
        <v>403</v>
      </c>
      <c r="G27" s="94"/>
      <c r="H27" s="95"/>
      <c r="I27" s="107"/>
      <c r="J27" s="88"/>
      <c r="K27" s="89"/>
      <c r="L27" s="90"/>
    </row>
    <row r="28" spans="1:12" ht="15.75" x14ac:dyDescent="0.25">
      <c r="A28" s="19">
        <f t="shared" si="1"/>
        <v>12</v>
      </c>
      <c r="B28" s="91" t="s">
        <v>341</v>
      </c>
      <c r="C28" s="108">
        <f t="shared" si="2"/>
        <v>25272146</v>
      </c>
      <c r="D28" s="141">
        <v>787074</v>
      </c>
      <c r="E28" s="110">
        <f t="shared" si="0"/>
        <v>2.68</v>
      </c>
      <c r="F28" s="101" t="s">
        <v>403</v>
      </c>
      <c r="G28" s="94"/>
      <c r="H28" s="95"/>
      <c r="I28" s="107"/>
      <c r="J28" s="88"/>
      <c r="K28" s="89"/>
      <c r="L28" s="90"/>
    </row>
    <row r="29" spans="1:12" ht="15.75" x14ac:dyDescent="0.25">
      <c r="A29" s="19"/>
      <c r="B29" s="3"/>
      <c r="C29" s="3"/>
      <c r="D29" s="78">
        <f>SUM(D17:D28)/12</f>
        <v>724538.25</v>
      </c>
      <c r="E29" s="3"/>
      <c r="F29" s="101"/>
      <c r="G29" s="94"/>
      <c r="H29" s="95"/>
      <c r="I29" s="107"/>
      <c r="J29" s="88"/>
      <c r="K29" s="89"/>
      <c r="L29" s="90"/>
    </row>
    <row r="30" spans="1:12" ht="15.75" x14ac:dyDescent="0.25">
      <c r="A30" s="19">
        <f>1+A28</f>
        <v>13</v>
      </c>
      <c r="B30" s="3" t="s">
        <v>461</v>
      </c>
      <c r="C30" s="3"/>
      <c r="D30" s="3"/>
      <c r="E30" s="3"/>
      <c r="F30" s="101"/>
      <c r="G30" s="94"/>
      <c r="H30" s="95"/>
      <c r="I30" s="107"/>
      <c r="J30" s="88"/>
      <c r="K30" s="89"/>
      <c r="L30" s="89"/>
    </row>
    <row r="31" spans="1:12" ht="15.75" x14ac:dyDescent="0.25">
      <c r="A31" s="19">
        <f>1+A30</f>
        <v>14</v>
      </c>
      <c r="B31" s="3" t="s">
        <v>404</v>
      </c>
      <c r="C31" s="3"/>
      <c r="D31" s="23"/>
      <c r="E31" s="3"/>
      <c r="F31" s="101"/>
      <c r="G31" s="94"/>
      <c r="H31" s="95"/>
      <c r="I31" s="107"/>
      <c r="J31" s="88"/>
      <c r="K31" s="89"/>
      <c r="L31" s="89"/>
    </row>
    <row r="32" spans="1:12" ht="15.75" x14ac:dyDescent="0.25">
      <c r="A32" s="3"/>
      <c r="B32" s="3"/>
      <c r="C32" s="3"/>
      <c r="D32" s="3"/>
      <c r="E32" s="3"/>
      <c r="F32" s="101"/>
      <c r="G32" s="94"/>
      <c r="H32" s="95"/>
      <c r="I32" s="107"/>
      <c r="J32" s="88"/>
      <c r="K32" s="89"/>
      <c r="L32" s="89"/>
    </row>
    <row r="33" spans="1:12" ht="15.75" x14ac:dyDescent="0.25">
      <c r="A33" s="3"/>
      <c r="B33" s="3"/>
      <c r="C33" s="3"/>
      <c r="D33" s="3"/>
      <c r="E33" s="3"/>
      <c r="F33" s="101"/>
      <c r="G33" s="94"/>
      <c r="H33" s="95"/>
      <c r="I33" s="107"/>
      <c r="J33" s="88"/>
      <c r="K33" s="89"/>
      <c r="L33" s="89"/>
    </row>
    <row r="34" spans="1:12" ht="15.75" x14ac:dyDescent="0.25">
      <c r="A34" s="3">
        <v>15</v>
      </c>
      <c r="B34" s="11" t="s">
        <v>412</v>
      </c>
      <c r="C34" s="3"/>
      <c r="D34" s="3"/>
      <c r="E34" s="3"/>
      <c r="F34" s="101"/>
      <c r="G34" s="94"/>
      <c r="H34" s="95"/>
      <c r="I34" s="107"/>
      <c r="J34" s="88"/>
      <c r="K34" s="89"/>
      <c r="L34" s="89"/>
    </row>
    <row r="35" spans="1:12" ht="15.75" x14ac:dyDescent="0.25">
      <c r="A35" s="3"/>
      <c r="B35" s="3"/>
      <c r="C35" s="3"/>
      <c r="D35" s="3"/>
      <c r="E35" s="3"/>
      <c r="F35" s="101"/>
      <c r="G35" s="94"/>
      <c r="H35" s="95"/>
      <c r="I35" s="107"/>
      <c r="J35" s="88"/>
      <c r="K35" s="89"/>
      <c r="L35" s="89"/>
    </row>
    <row r="36" spans="1:12" ht="15.75" x14ac:dyDescent="0.25">
      <c r="A36" s="3">
        <f>1+A34</f>
        <v>16</v>
      </c>
      <c r="B36" s="3" t="s">
        <v>409</v>
      </c>
      <c r="C36" s="3"/>
      <c r="D36" s="3"/>
      <c r="E36" s="142">
        <v>144459</v>
      </c>
      <c r="F36" s="3" t="s">
        <v>589</v>
      </c>
      <c r="G36" s="94"/>
      <c r="H36" s="95"/>
      <c r="I36" s="107"/>
      <c r="J36" s="88"/>
      <c r="K36" s="89"/>
      <c r="L36" s="89"/>
    </row>
    <row r="37" spans="1:12" ht="15.75" x14ac:dyDescent="0.25">
      <c r="A37" s="3">
        <f>1+A36</f>
        <v>17</v>
      </c>
      <c r="B37" s="3" t="s">
        <v>410</v>
      </c>
      <c r="C37" s="3"/>
      <c r="D37" s="3"/>
      <c r="E37" s="143">
        <v>0</v>
      </c>
      <c r="F37" s="3" t="s">
        <v>414</v>
      </c>
      <c r="G37" s="94"/>
      <c r="H37" s="95"/>
      <c r="I37" s="107"/>
      <c r="J37" s="88"/>
      <c r="K37" s="89"/>
      <c r="L37" s="89"/>
    </row>
    <row r="38" spans="1:12" ht="15.75" x14ac:dyDescent="0.25">
      <c r="A38" s="3">
        <f>1+A37</f>
        <v>18</v>
      </c>
      <c r="B38" s="3" t="s">
        <v>411</v>
      </c>
      <c r="C38" s="3"/>
      <c r="D38" s="3"/>
      <c r="E38" s="143">
        <v>0</v>
      </c>
      <c r="F38" s="3" t="s">
        <v>415</v>
      </c>
      <c r="G38" s="94"/>
      <c r="H38" s="95"/>
      <c r="I38" s="107"/>
      <c r="J38" s="88"/>
      <c r="K38" s="89"/>
      <c r="L38" s="89"/>
    </row>
    <row r="39" spans="1:12" ht="16.5" x14ac:dyDescent="0.3">
      <c r="A39" s="3">
        <f>1+A38</f>
        <v>19</v>
      </c>
      <c r="B39" s="3" t="s">
        <v>444</v>
      </c>
      <c r="C39" s="3"/>
      <c r="D39" s="3"/>
      <c r="E39" s="144">
        <v>2390865</v>
      </c>
      <c r="F39" s="3" t="s">
        <v>590</v>
      </c>
      <c r="G39" s="94"/>
      <c r="H39" s="95"/>
      <c r="I39" s="107"/>
      <c r="J39" s="88"/>
      <c r="K39" s="89"/>
      <c r="L39" s="89"/>
    </row>
    <row r="40" spans="1:12" ht="15.75" x14ac:dyDescent="0.25">
      <c r="A40" s="3"/>
      <c r="B40" s="3"/>
      <c r="C40" s="3"/>
      <c r="D40" s="3"/>
      <c r="E40" s="102"/>
      <c r="F40" s="101"/>
      <c r="G40" s="94"/>
      <c r="H40" s="95"/>
      <c r="I40" s="107"/>
      <c r="J40" s="88"/>
      <c r="K40" s="89"/>
      <c r="L40" s="89"/>
    </row>
    <row r="41" spans="1:12" ht="15.75" x14ac:dyDescent="0.25">
      <c r="A41" s="3">
        <f>1+A39</f>
        <v>20</v>
      </c>
      <c r="B41" s="3" t="s">
        <v>416</v>
      </c>
      <c r="C41" s="3"/>
      <c r="D41" s="3"/>
      <c r="E41" s="103">
        <f>SUM(E36:E39)</f>
        <v>2535324</v>
      </c>
      <c r="F41" s="101"/>
      <c r="G41" s="94"/>
      <c r="H41" s="95"/>
      <c r="I41" s="107"/>
      <c r="J41" s="88"/>
      <c r="K41" s="89"/>
      <c r="L41" s="89"/>
    </row>
    <row r="42" spans="1:12" ht="15.75" x14ac:dyDescent="0.25">
      <c r="A42" s="3"/>
      <c r="B42" s="3"/>
      <c r="C42" s="3"/>
      <c r="D42" s="3"/>
      <c r="E42" s="102"/>
      <c r="F42" s="101"/>
      <c r="G42" s="94"/>
      <c r="H42" s="95"/>
      <c r="I42" s="107"/>
      <c r="J42" s="88"/>
      <c r="K42" s="89"/>
      <c r="L42" s="89"/>
    </row>
    <row r="43" spans="1:12" ht="15.75" x14ac:dyDescent="0.25">
      <c r="A43" s="3">
        <f>1+A41</f>
        <v>21</v>
      </c>
      <c r="B43" s="3" t="s">
        <v>407</v>
      </c>
      <c r="C43" s="3"/>
      <c r="D43" s="3"/>
      <c r="E43" s="204">
        <f>+D29</f>
        <v>724538.25</v>
      </c>
      <c r="F43" s="101" t="s">
        <v>417</v>
      </c>
      <c r="G43" s="94"/>
      <c r="H43" s="95"/>
      <c r="I43" s="107"/>
      <c r="J43" s="88"/>
      <c r="K43" s="89"/>
      <c r="L43" s="89"/>
    </row>
    <row r="44" spans="1:12" ht="15.75" x14ac:dyDescent="0.25">
      <c r="A44" s="3">
        <f>1+A43</f>
        <v>22</v>
      </c>
      <c r="B44" s="3" t="s">
        <v>408</v>
      </c>
      <c r="C44" s="3"/>
      <c r="D44" s="3"/>
      <c r="E44" s="205">
        <v>10000</v>
      </c>
      <c r="F44" s="101" t="s">
        <v>417</v>
      </c>
      <c r="G44" s="94"/>
      <c r="H44" s="95"/>
      <c r="I44" s="107"/>
      <c r="J44" s="88"/>
      <c r="K44" s="89"/>
      <c r="L44" s="89"/>
    </row>
    <row r="45" spans="1:12" ht="15.75" x14ac:dyDescent="0.25">
      <c r="A45" s="3"/>
      <c r="B45" s="3"/>
      <c r="C45" s="3"/>
      <c r="D45" s="3"/>
      <c r="E45" s="19"/>
      <c r="F45" s="101"/>
      <c r="G45" s="94"/>
      <c r="H45" s="95"/>
      <c r="I45" s="107"/>
      <c r="J45" s="88"/>
      <c r="K45" s="89"/>
      <c r="L45" s="89"/>
    </row>
    <row r="46" spans="1:12" ht="15.75" x14ac:dyDescent="0.25">
      <c r="A46" s="3">
        <f>1+A44</f>
        <v>23</v>
      </c>
      <c r="B46" s="3" t="s">
        <v>418</v>
      </c>
      <c r="C46" s="3"/>
      <c r="D46" s="3"/>
      <c r="E46" s="102">
        <f>+E43+E44</f>
        <v>734538.25</v>
      </c>
      <c r="F46" s="101"/>
      <c r="G46" s="94"/>
      <c r="H46" s="95"/>
      <c r="I46" s="107"/>
      <c r="J46" s="88"/>
      <c r="K46" s="89"/>
      <c r="L46" s="89"/>
    </row>
    <row r="47" spans="1:12" ht="15.75" x14ac:dyDescent="0.25">
      <c r="A47" s="3"/>
      <c r="B47" s="3"/>
      <c r="C47" s="3"/>
      <c r="D47" s="3"/>
      <c r="E47" s="19"/>
      <c r="F47" s="101"/>
      <c r="G47" s="94"/>
      <c r="H47" s="95"/>
      <c r="I47" s="107"/>
      <c r="J47" s="88"/>
      <c r="K47" s="89"/>
      <c r="L47" s="89"/>
    </row>
    <row r="48" spans="1:12" ht="15.75" x14ac:dyDescent="0.25">
      <c r="A48" s="3">
        <f>1+A46</f>
        <v>24</v>
      </c>
      <c r="B48" s="3" t="s">
        <v>413</v>
      </c>
      <c r="C48" s="3"/>
      <c r="D48" s="3"/>
      <c r="E48" s="118">
        <f>ROUND(+E41/E46/12,4)</f>
        <v>0.28760000000000002</v>
      </c>
      <c r="F48" s="101" t="s">
        <v>419</v>
      </c>
      <c r="G48" s="94"/>
      <c r="H48" s="95"/>
      <c r="I48" s="107"/>
      <c r="J48" s="88"/>
      <c r="K48" s="89"/>
      <c r="L48" s="89"/>
    </row>
    <row r="49" spans="1:12" ht="15.75" x14ac:dyDescent="0.25">
      <c r="A49" s="3"/>
      <c r="B49" s="3"/>
      <c r="C49" s="3"/>
      <c r="D49" s="3"/>
      <c r="E49" s="3"/>
      <c r="F49" s="101"/>
      <c r="G49" s="94"/>
      <c r="H49" s="95"/>
      <c r="I49" s="107"/>
      <c r="J49" s="88"/>
      <c r="K49" s="89"/>
      <c r="L49" s="89"/>
    </row>
    <row r="50" spans="1:12" ht="15" x14ac:dyDescent="0.25">
      <c r="A50" s="3"/>
      <c r="B50" s="3"/>
      <c r="C50" s="36"/>
      <c r="D50" s="3"/>
      <c r="E50" s="189"/>
      <c r="F50" s="97"/>
      <c r="G50" s="3"/>
      <c r="H50" s="3"/>
      <c r="I50" s="3"/>
    </row>
    <row r="51" spans="1:12" ht="15" x14ac:dyDescent="0.25">
      <c r="A51" s="19">
        <v>25</v>
      </c>
      <c r="B51" s="11" t="s">
        <v>405</v>
      </c>
      <c r="C51" s="36"/>
      <c r="D51" s="3"/>
      <c r="E51" s="189"/>
      <c r="F51" s="97"/>
      <c r="G51" s="3"/>
      <c r="H51" s="3"/>
      <c r="I51" s="3"/>
    </row>
    <row r="52" spans="1:12" ht="15" x14ac:dyDescent="0.25">
      <c r="A52" s="19">
        <v>26</v>
      </c>
      <c r="B52" s="98" t="s">
        <v>592</v>
      </c>
      <c r="C52" s="98"/>
      <c r="D52" s="98"/>
      <c r="E52" s="36"/>
      <c r="F52" s="97"/>
      <c r="G52" s="36"/>
      <c r="H52" s="92"/>
      <c r="I52" s="3"/>
    </row>
    <row r="53" spans="1:12" ht="15" x14ac:dyDescent="0.25">
      <c r="A53" s="19"/>
      <c r="B53" s="3"/>
      <c r="C53" s="3"/>
      <c r="D53" s="3"/>
      <c r="E53" s="36"/>
      <c r="F53" s="97"/>
      <c r="G53" s="36"/>
      <c r="H53" s="92"/>
      <c r="I53" s="3"/>
    </row>
    <row r="54" spans="1:12" ht="15" x14ac:dyDescent="0.25">
      <c r="A54" s="19">
        <v>27</v>
      </c>
      <c r="B54" s="3" t="s">
        <v>512</v>
      </c>
      <c r="C54" s="36"/>
      <c r="D54" s="3"/>
      <c r="E54" s="3"/>
      <c r="F54" s="99">
        <f>+'1 ATRR'!E43</f>
        <v>25272146</v>
      </c>
      <c r="G54" s="97" t="s">
        <v>163</v>
      </c>
      <c r="H54" s="93"/>
      <c r="I54" s="3"/>
    </row>
    <row r="55" spans="1:12" ht="15" x14ac:dyDescent="0.25">
      <c r="A55" s="19"/>
      <c r="B55" s="3"/>
      <c r="C55" s="36"/>
      <c r="D55" s="3"/>
      <c r="E55" s="3"/>
      <c r="F55" s="36"/>
      <c r="G55" s="97"/>
      <c r="H55" s="93"/>
      <c r="I55" s="3"/>
    </row>
    <row r="56" spans="1:12" ht="15" x14ac:dyDescent="0.25">
      <c r="A56" s="19">
        <f>1+A54</f>
        <v>28</v>
      </c>
      <c r="B56" s="3" t="s">
        <v>513</v>
      </c>
      <c r="C56" s="36"/>
      <c r="D56" s="3"/>
      <c r="E56" s="3"/>
      <c r="F56" s="181">
        <f>MAX(D17:D28)</f>
        <v>812382</v>
      </c>
      <c r="G56" s="97" t="s">
        <v>462</v>
      </c>
      <c r="H56" s="93"/>
      <c r="I56" s="3"/>
    </row>
    <row r="57" spans="1:12" ht="15" x14ac:dyDescent="0.25">
      <c r="A57" s="19"/>
      <c r="B57" s="3"/>
      <c r="C57" s="3"/>
      <c r="D57" s="3"/>
      <c r="E57" s="3"/>
      <c r="F57" s="36"/>
      <c r="G57" s="97"/>
      <c r="H57" s="93"/>
      <c r="I57" s="3"/>
    </row>
    <row r="58" spans="1:12" ht="15" x14ac:dyDescent="0.25">
      <c r="A58" s="19">
        <f>1+A56</f>
        <v>29</v>
      </c>
      <c r="B58" s="3" t="s">
        <v>377</v>
      </c>
      <c r="C58" s="3"/>
      <c r="D58" s="92"/>
      <c r="E58" s="3"/>
      <c r="F58" s="3"/>
      <c r="G58" s="3"/>
      <c r="H58" s="3"/>
      <c r="I58" s="3"/>
    </row>
    <row r="59" spans="1:12" ht="15" x14ac:dyDescent="0.25">
      <c r="A59" s="19"/>
      <c r="B59" s="3"/>
      <c r="C59" s="3"/>
      <c r="D59" s="92"/>
      <c r="E59" s="3"/>
      <c r="F59" s="92"/>
      <c r="G59" s="36"/>
      <c r="H59" s="3"/>
      <c r="I59" s="3"/>
    </row>
    <row r="60" spans="1:12" ht="15" x14ac:dyDescent="0.25">
      <c r="A60" s="19">
        <f>1+A58</f>
        <v>30</v>
      </c>
      <c r="B60" s="3"/>
      <c r="C60" s="3" t="s">
        <v>378</v>
      </c>
      <c r="D60" s="92"/>
      <c r="E60" s="3"/>
      <c r="F60" s="92">
        <f>F54/F56/12</f>
        <v>2.5923914693662176</v>
      </c>
      <c r="G60" s="36" t="s">
        <v>379</v>
      </c>
      <c r="H60" s="3" t="s">
        <v>420</v>
      </c>
      <c r="I60" s="3"/>
    </row>
    <row r="61" spans="1:12" ht="15" x14ac:dyDescent="0.25">
      <c r="A61" s="19"/>
      <c r="B61" s="3"/>
      <c r="C61" s="3"/>
      <c r="D61" s="92"/>
      <c r="E61" s="3"/>
      <c r="F61" s="92"/>
      <c r="G61" s="36"/>
      <c r="H61" s="3"/>
      <c r="I61" s="3"/>
    </row>
    <row r="62" spans="1:12" ht="15" x14ac:dyDescent="0.25">
      <c r="A62" s="19">
        <f>1+A60</f>
        <v>31</v>
      </c>
      <c r="B62" s="3"/>
      <c r="C62" s="3" t="s">
        <v>380</v>
      </c>
      <c r="D62" s="92"/>
      <c r="E62" s="3"/>
      <c r="F62" s="93">
        <f>F60</f>
        <v>2.5923914693662176</v>
      </c>
      <c r="G62" s="36" t="s">
        <v>379</v>
      </c>
      <c r="H62" s="3" t="s">
        <v>420</v>
      </c>
      <c r="I62" s="3"/>
    </row>
    <row r="63" spans="1:12" ht="15" x14ac:dyDescent="0.25">
      <c r="A63" s="19"/>
      <c r="B63" s="3"/>
      <c r="C63" s="3"/>
      <c r="D63" s="92"/>
      <c r="E63" s="3"/>
      <c r="F63" s="92"/>
      <c r="G63" s="36"/>
      <c r="H63" s="3"/>
      <c r="I63" s="3"/>
    </row>
    <row r="64" spans="1:12" ht="15" x14ac:dyDescent="0.25">
      <c r="A64" s="19">
        <f>1+A62</f>
        <v>32</v>
      </c>
      <c r="B64" s="3"/>
      <c r="C64" s="3" t="s">
        <v>381</v>
      </c>
      <c r="D64" s="92"/>
      <c r="E64" s="3"/>
      <c r="F64" s="100">
        <f>F54/F56/52</f>
        <v>0.59824418523835798</v>
      </c>
      <c r="G64" s="36" t="s">
        <v>382</v>
      </c>
      <c r="H64" s="3" t="s">
        <v>421</v>
      </c>
      <c r="I64" s="3"/>
    </row>
    <row r="65" spans="1:9" ht="15" x14ac:dyDescent="0.25">
      <c r="A65" s="19"/>
      <c r="B65" s="3"/>
      <c r="C65" s="3"/>
      <c r="D65" s="92"/>
      <c r="E65" s="3"/>
      <c r="F65" s="100"/>
      <c r="G65" s="36"/>
      <c r="H65" s="3"/>
      <c r="I65" s="3"/>
    </row>
    <row r="66" spans="1:9" ht="15" x14ac:dyDescent="0.25">
      <c r="A66" s="19">
        <f>1+A64</f>
        <v>33</v>
      </c>
      <c r="B66" s="3"/>
      <c r="C66" s="3" t="s">
        <v>383</v>
      </c>
      <c r="D66" s="92"/>
      <c r="E66" s="3"/>
      <c r="F66" s="100">
        <f>F54/F56/260</f>
        <v>0.11964883704767158</v>
      </c>
      <c r="G66" s="36" t="s">
        <v>384</v>
      </c>
      <c r="H66" s="3" t="s">
        <v>422</v>
      </c>
      <c r="I66" s="3"/>
    </row>
    <row r="67" spans="1:9" ht="15" x14ac:dyDescent="0.25">
      <c r="A67" s="19">
        <f>1+A66</f>
        <v>34</v>
      </c>
      <c r="B67" s="3"/>
      <c r="C67" s="3" t="s">
        <v>385</v>
      </c>
      <c r="D67" s="92"/>
      <c r="E67" s="3"/>
      <c r="F67" s="100">
        <f>F54/F56/365</f>
        <v>8.5229308581903043E-2</v>
      </c>
      <c r="G67" s="36" t="s">
        <v>384</v>
      </c>
      <c r="H67" s="3" t="s">
        <v>423</v>
      </c>
      <c r="I67" s="3"/>
    </row>
    <row r="68" spans="1:9" ht="15" x14ac:dyDescent="0.25">
      <c r="A68" s="3"/>
      <c r="B68" s="3"/>
      <c r="C68" s="3"/>
      <c r="D68" s="92"/>
      <c r="E68" s="3"/>
      <c r="F68" s="92"/>
      <c r="G68" s="36"/>
      <c r="H68" s="3"/>
      <c r="I68" s="3"/>
    </row>
    <row r="69" spans="1:9" ht="15" x14ac:dyDescent="0.25">
      <c r="A69" s="19"/>
      <c r="B69" s="3"/>
      <c r="C69" s="3"/>
      <c r="D69" s="92"/>
      <c r="E69" s="3"/>
      <c r="F69" s="92"/>
      <c r="G69" s="36"/>
      <c r="H69" s="3"/>
      <c r="I69" s="3"/>
    </row>
    <row r="70" spans="1:9" ht="15" x14ac:dyDescent="0.25">
      <c r="A70" s="19">
        <f>1+A67</f>
        <v>35</v>
      </c>
      <c r="B70" s="11" t="s">
        <v>406</v>
      </c>
      <c r="C70" s="3"/>
      <c r="D70" s="3"/>
      <c r="E70" s="3"/>
      <c r="F70" s="97"/>
      <c r="G70" s="3"/>
      <c r="H70" s="3"/>
      <c r="I70" s="3"/>
    </row>
    <row r="71" spans="1:9" ht="15" x14ac:dyDescent="0.25">
      <c r="A71" s="19">
        <f>1+A70</f>
        <v>36</v>
      </c>
      <c r="B71" s="98" t="str">
        <f>+B52</f>
        <v>Rates effective June 1, 2017</v>
      </c>
      <c r="C71" s="98"/>
      <c r="D71" s="98"/>
      <c r="E71" s="3"/>
      <c r="F71" s="3"/>
      <c r="G71" s="3"/>
      <c r="H71" s="3"/>
      <c r="I71" s="3"/>
    </row>
    <row r="72" spans="1:9" ht="15" x14ac:dyDescent="0.25">
      <c r="A72" s="3"/>
      <c r="B72" s="3"/>
      <c r="C72" s="3"/>
      <c r="D72" s="92"/>
      <c r="E72" s="3"/>
      <c r="F72" s="92"/>
      <c r="G72" s="36"/>
      <c r="H72" s="3"/>
      <c r="I72" s="3"/>
    </row>
    <row r="73" spans="1:9" ht="15" x14ac:dyDescent="0.25">
      <c r="A73" s="19">
        <f>1+A71</f>
        <v>37</v>
      </c>
      <c r="B73" s="3"/>
      <c r="C73" s="3" t="s">
        <v>386</v>
      </c>
      <c r="D73" s="92"/>
      <c r="E73" s="3"/>
      <c r="F73" s="92">
        <f>F54/F56/12</f>
        <v>2.5923914693662176</v>
      </c>
      <c r="G73" s="36" t="s">
        <v>379</v>
      </c>
      <c r="H73" s="3" t="s">
        <v>420</v>
      </c>
      <c r="I73" s="3"/>
    </row>
    <row r="74" spans="1:9" ht="15" x14ac:dyDescent="0.25">
      <c r="A74" s="19"/>
      <c r="B74" s="3"/>
      <c r="C74" s="3"/>
      <c r="D74" s="92"/>
      <c r="E74" s="3"/>
      <c r="F74" s="92"/>
      <c r="G74" s="36"/>
      <c r="H74" s="3"/>
      <c r="I74" s="3"/>
    </row>
    <row r="75" spans="1:9" ht="15" x14ac:dyDescent="0.25">
      <c r="A75" s="19">
        <f>1+A73</f>
        <v>38</v>
      </c>
      <c r="B75" s="3"/>
      <c r="C75" s="3" t="s">
        <v>387</v>
      </c>
      <c r="D75" s="92"/>
      <c r="E75" s="3"/>
      <c r="F75" s="100">
        <f>F54/F56/52</f>
        <v>0.59824418523835798</v>
      </c>
      <c r="G75" s="36" t="s">
        <v>382</v>
      </c>
      <c r="H75" s="3" t="s">
        <v>421</v>
      </c>
      <c r="I75" s="3"/>
    </row>
    <row r="76" spans="1:9" ht="15" x14ac:dyDescent="0.25">
      <c r="A76" s="19"/>
      <c r="B76" s="3"/>
      <c r="C76" s="3"/>
      <c r="D76" s="92"/>
      <c r="E76" s="3"/>
      <c r="F76" s="100"/>
      <c r="G76" s="36"/>
      <c r="H76" s="3"/>
      <c r="I76" s="3"/>
    </row>
    <row r="77" spans="1:9" ht="15" x14ac:dyDescent="0.25">
      <c r="A77" s="19">
        <f>1+A75</f>
        <v>39</v>
      </c>
      <c r="B77" s="3"/>
      <c r="C77" s="3" t="s">
        <v>388</v>
      </c>
      <c r="D77" s="92"/>
      <c r="E77" s="3"/>
      <c r="F77" s="100">
        <f>F54/F56/260</f>
        <v>0.11964883704767158</v>
      </c>
      <c r="G77" s="36" t="s">
        <v>384</v>
      </c>
      <c r="H77" s="3" t="s">
        <v>422</v>
      </c>
      <c r="I77" s="3"/>
    </row>
    <row r="78" spans="1:9" ht="15" x14ac:dyDescent="0.25">
      <c r="A78" s="19">
        <f>1+A77</f>
        <v>40</v>
      </c>
      <c r="B78" s="3"/>
      <c r="C78" s="3" t="s">
        <v>385</v>
      </c>
      <c r="D78" s="92"/>
      <c r="E78" s="3"/>
      <c r="F78" s="100">
        <f>F54/F56/365</f>
        <v>8.5229308581903043E-2</v>
      </c>
      <c r="G78" s="36" t="s">
        <v>384</v>
      </c>
      <c r="H78" s="3" t="s">
        <v>423</v>
      </c>
      <c r="I78" s="3"/>
    </row>
    <row r="79" spans="1:9" ht="15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ht="15" x14ac:dyDescent="0.25">
      <c r="A80" s="19">
        <f>1+A78</f>
        <v>41</v>
      </c>
      <c r="B80" s="3"/>
      <c r="C80" s="3" t="s">
        <v>389</v>
      </c>
      <c r="D80" s="92"/>
      <c r="E80" s="3"/>
      <c r="F80" s="100">
        <f>F54/F56/4160</f>
        <v>7.4780523154794739E-3</v>
      </c>
      <c r="G80" s="36" t="s">
        <v>390</v>
      </c>
      <c r="H80" s="3" t="s">
        <v>424</v>
      </c>
      <c r="I80" s="3"/>
    </row>
    <row r="81" spans="1:9" ht="15" x14ac:dyDescent="0.25">
      <c r="A81" s="19">
        <f>1+A80</f>
        <v>42</v>
      </c>
      <c r="B81" s="3"/>
      <c r="C81" s="3" t="s">
        <v>391</v>
      </c>
      <c r="D81" s="92"/>
      <c r="E81" s="3"/>
      <c r="F81" s="100">
        <f>F54/F56/8760</f>
        <v>3.5512211909126271E-3</v>
      </c>
      <c r="G81" s="36" t="s">
        <v>390</v>
      </c>
      <c r="H81" s="3" t="s">
        <v>425</v>
      </c>
      <c r="I81" s="3"/>
    </row>
    <row r="82" spans="1:9" ht="15" x14ac:dyDescent="0.25">
      <c r="A82" s="19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106"/>
    </row>
    <row r="84" spans="1:9" x14ac:dyDescent="0.2">
      <c r="A84" s="106"/>
    </row>
    <row r="85" spans="1:9" x14ac:dyDescent="0.2">
      <c r="A85" s="106"/>
    </row>
  </sheetData>
  <pageMargins left="0.7" right="0.7" top="0.75" bottom="0.75" header="0.3" footer="0.3"/>
  <pageSetup scale="54" orientation="portrait" r:id="rId1"/>
  <ignoredErrors>
    <ignoredError sqref="F5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showGridLines="0" zoomScale="70" zoomScaleNormal="70" workbookViewId="0">
      <selection activeCell="A5" sqref="A5:T92"/>
    </sheetView>
  </sheetViews>
  <sheetFormatPr defaultColWidth="7.85546875" defaultRowHeight="15" x14ac:dyDescent="0.25"/>
  <cols>
    <col min="1" max="1" width="4" style="3" bestFit="1" customWidth="1"/>
    <col min="2" max="2" width="7.140625" style="3" customWidth="1"/>
    <col min="3" max="3" width="40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3.5703125" style="3" bestFit="1" customWidth="1"/>
    <col min="12" max="12" width="2.7109375" style="3" customWidth="1"/>
    <col min="13" max="13" width="4.140625" style="3" customWidth="1"/>
    <col min="14" max="14" width="17" style="3" customWidth="1"/>
    <col min="15" max="15" width="4.140625" style="3" customWidth="1"/>
    <col min="16" max="16" width="11" style="3" customWidth="1"/>
    <col min="17" max="17" width="1.85546875" style="3" customWidth="1"/>
    <col min="18" max="18" width="14.28515625" style="3" customWidth="1"/>
    <col min="19" max="19" width="1.85546875" style="3" customWidth="1"/>
    <col min="20" max="20" width="10.28515625" style="3" customWidth="1"/>
    <col min="21" max="16384" width="7.85546875" style="3"/>
  </cols>
  <sheetData>
    <row r="1" spans="1:20" x14ac:dyDescent="0.25">
      <c r="A1" s="2"/>
    </row>
    <row r="2" spans="1:20" x14ac:dyDescent="0.25">
      <c r="F2" s="44"/>
      <c r="G2" s="44"/>
      <c r="H2" s="44"/>
      <c r="I2" s="44"/>
      <c r="J2" s="44"/>
      <c r="K2" s="44"/>
      <c r="L2" s="44"/>
      <c r="T2" s="5"/>
    </row>
    <row r="3" spans="1:20" x14ac:dyDescent="0.25">
      <c r="F3" s="19"/>
      <c r="G3" s="19"/>
      <c r="H3" s="19"/>
      <c r="I3" s="19"/>
      <c r="J3" s="19"/>
      <c r="K3" s="19"/>
      <c r="L3" s="19"/>
      <c r="T3" s="5"/>
    </row>
    <row r="4" spans="1:20" x14ac:dyDescent="0.25">
      <c r="F4" s="19"/>
      <c r="G4" s="19"/>
      <c r="H4" s="19"/>
      <c r="I4" s="19"/>
      <c r="J4" s="19"/>
      <c r="K4" s="19"/>
      <c r="L4" s="19"/>
    </row>
    <row r="5" spans="1:20" ht="19.5" x14ac:dyDescent="0.35">
      <c r="A5" s="57"/>
      <c r="B5" s="57"/>
      <c r="C5" s="57"/>
      <c r="D5" s="57"/>
      <c r="E5" s="43" t="s">
        <v>110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216" t="s">
        <v>111</v>
      </c>
    </row>
    <row r="6" spans="1:20" ht="15.75" x14ac:dyDescent="0.3">
      <c r="A6" s="57"/>
      <c r="B6" s="57"/>
      <c r="C6" s="57"/>
      <c r="D6" s="58"/>
      <c r="E6" s="242" t="str">
        <f>+Allocation!B6</f>
        <v>2017 FORECAST</v>
      </c>
      <c r="F6" s="58"/>
      <c r="G6" s="21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216" t="s">
        <v>179</v>
      </c>
    </row>
    <row r="7" spans="1:20" ht="15.75" x14ac:dyDescent="0.3">
      <c r="A7" s="57"/>
      <c r="B7" s="57"/>
      <c r="C7" s="57"/>
      <c r="D7" s="57"/>
      <c r="E7" s="242" t="str">
        <f>+Allocation!B7</f>
        <v>12-15-2016 Posting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216" t="s">
        <v>430</v>
      </c>
    </row>
    <row r="8" spans="1:20" ht="15.75" x14ac:dyDescent="0.3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5.75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 t="s">
        <v>139</v>
      </c>
      <c r="O9" s="57"/>
      <c r="P9" s="57"/>
      <c r="Q9" s="57"/>
      <c r="R9" s="57"/>
      <c r="S9" s="57"/>
      <c r="T9" s="57"/>
    </row>
    <row r="10" spans="1:20" ht="15.75" x14ac:dyDescent="0.3">
      <c r="A10" s="57">
        <v>1</v>
      </c>
      <c r="B10" s="57"/>
      <c r="C10" s="57"/>
      <c r="D10" s="243"/>
      <c r="E10" s="119" t="s">
        <v>34</v>
      </c>
      <c r="F10" s="119"/>
      <c r="G10" s="119"/>
      <c r="H10" s="119"/>
      <c r="I10" s="119"/>
      <c r="J10" s="119"/>
      <c r="K10" s="119"/>
      <c r="L10" s="119"/>
      <c r="M10" s="57"/>
      <c r="N10" s="119" t="s">
        <v>34</v>
      </c>
      <c r="O10" s="57"/>
      <c r="P10" s="119" t="s">
        <v>35</v>
      </c>
      <c r="Q10" s="57"/>
      <c r="R10" s="119" t="s">
        <v>35</v>
      </c>
      <c r="S10" s="57"/>
      <c r="T10" s="119" t="s">
        <v>36</v>
      </c>
    </row>
    <row r="11" spans="1:20" ht="15.75" x14ac:dyDescent="0.3">
      <c r="A11" s="57">
        <f>1+A10</f>
        <v>2</v>
      </c>
      <c r="B11" s="57"/>
      <c r="C11" s="57"/>
      <c r="D11" s="57"/>
      <c r="E11" s="244"/>
      <c r="F11" s="245"/>
      <c r="G11" s="245"/>
      <c r="H11" s="245"/>
      <c r="I11" s="245"/>
      <c r="J11" s="245"/>
      <c r="K11" s="245"/>
      <c r="L11" s="245"/>
      <c r="M11" s="57"/>
      <c r="N11" s="246" t="s">
        <v>37</v>
      </c>
      <c r="O11" s="57"/>
      <c r="P11" s="246" t="s">
        <v>38</v>
      </c>
      <c r="Q11" s="57"/>
      <c r="R11" s="246" t="s">
        <v>38</v>
      </c>
      <c r="S11" s="57"/>
      <c r="T11" s="246" t="s">
        <v>39</v>
      </c>
    </row>
    <row r="12" spans="1:20" ht="15.75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.75" x14ac:dyDescent="0.3">
      <c r="A13" s="57">
        <v>3</v>
      </c>
      <c r="B13" s="219" t="s">
        <v>40</v>
      </c>
      <c r="C13" s="57"/>
      <c r="D13" s="216" t="s">
        <v>41</v>
      </c>
      <c r="E13" s="247">
        <f>+K58</f>
        <v>668220046</v>
      </c>
      <c r="F13" s="57"/>
      <c r="G13" s="57"/>
      <c r="H13" s="57"/>
      <c r="I13" s="57"/>
      <c r="J13" s="57"/>
      <c r="K13" s="57"/>
      <c r="L13" s="57"/>
      <c r="M13" s="119"/>
      <c r="N13" s="232">
        <f>ROUND(E13/$E$17,4)</f>
        <v>0.49990000000000001</v>
      </c>
      <c r="O13" s="232"/>
      <c r="P13" s="248">
        <f>+K71/K64</f>
        <v>5.4674361399366288E-2</v>
      </c>
      <c r="Q13" s="232"/>
      <c r="R13" s="232">
        <f>ROUND(N13*P13,4)</f>
        <v>2.7300000000000001E-2</v>
      </c>
      <c r="S13" s="232"/>
      <c r="T13" s="232"/>
    </row>
    <row r="14" spans="1:20" ht="15.75" x14ac:dyDescent="0.3">
      <c r="A14" s="57">
        <f>1+A13</f>
        <v>4</v>
      </c>
      <c r="B14" s="219" t="s">
        <v>42</v>
      </c>
      <c r="C14" s="57"/>
      <c r="D14" s="57"/>
      <c r="E14" s="247">
        <f>+K79</f>
        <v>0</v>
      </c>
      <c r="F14" s="57"/>
      <c r="G14" s="57"/>
      <c r="H14" s="57"/>
      <c r="I14" s="57"/>
      <c r="J14" s="57"/>
      <c r="K14" s="57"/>
      <c r="L14" s="57"/>
      <c r="M14" s="119"/>
      <c r="N14" s="232">
        <f>ROUND(E14/$E$17,4)</f>
        <v>0</v>
      </c>
      <c r="O14" s="232"/>
      <c r="P14" s="248">
        <f>IF(K79=0,0,+K80/K79)</f>
        <v>0</v>
      </c>
      <c r="Q14" s="232"/>
      <c r="R14" s="232">
        <f>ROUND(N14*P14,4)</f>
        <v>0</v>
      </c>
      <c r="S14" s="232"/>
      <c r="T14" s="232">
        <f>R14</f>
        <v>0</v>
      </c>
    </row>
    <row r="15" spans="1:20" ht="15.75" x14ac:dyDescent="0.3">
      <c r="A15" s="57">
        <f>1+A14</f>
        <v>5</v>
      </c>
      <c r="B15" s="219" t="s">
        <v>43</v>
      </c>
      <c r="C15" s="57"/>
      <c r="D15" s="57"/>
      <c r="E15" s="249">
        <f>+K86</f>
        <v>668540299.5</v>
      </c>
      <c r="F15" s="57"/>
      <c r="G15" s="57"/>
      <c r="H15" s="57"/>
      <c r="I15" s="57"/>
      <c r="J15" s="57"/>
      <c r="K15" s="57"/>
      <c r="L15" s="57"/>
      <c r="M15" s="119"/>
      <c r="N15" s="250">
        <f>ROUND(E15/$E$17,4)</f>
        <v>0.50009999999999999</v>
      </c>
      <c r="O15" s="232"/>
      <c r="P15" s="251">
        <f>+I90</f>
        <v>0.1057</v>
      </c>
      <c r="Q15" s="232"/>
      <c r="R15" s="250">
        <f>ROUND(N15*P15,4)</f>
        <v>5.2900000000000003E-2</v>
      </c>
      <c r="S15" s="232"/>
      <c r="T15" s="250">
        <f>R15</f>
        <v>5.2900000000000003E-2</v>
      </c>
    </row>
    <row r="16" spans="1:20" ht="15.75" x14ac:dyDescent="0.3">
      <c r="A16" s="57"/>
      <c r="B16" s="57"/>
      <c r="C16" s="57"/>
      <c r="D16" s="57"/>
      <c r="E16" s="119"/>
      <c r="F16" s="57"/>
      <c r="G16" s="57"/>
      <c r="H16" s="57"/>
      <c r="I16" s="57"/>
      <c r="J16" s="57"/>
      <c r="K16" s="57"/>
      <c r="L16" s="57"/>
      <c r="M16" s="57"/>
      <c r="N16" s="232"/>
      <c r="O16" s="232"/>
      <c r="P16" s="232"/>
      <c r="Q16" s="232"/>
      <c r="R16" s="232"/>
      <c r="S16" s="232"/>
      <c r="T16" s="232"/>
    </row>
    <row r="17" spans="1:20" ht="16.5" thickBot="1" x14ac:dyDescent="0.35">
      <c r="A17" s="57">
        <v>6</v>
      </c>
      <c r="B17" s="219" t="s">
        <v>44</v>
      </c>
      <c r="C17" s="57"/>
      <c r="D17" s="216" t="s">
        <v>41</v>
      </c>
      <c r="E17" s="252">
        <f>SUM(E13:E15)</f>
        <v>1336760345.5</v>
      </c>
      <c r="F17" s="253"/>
      <c r="G17" s="253"/>
      <c r="H17" s="253"/>
      <c r="I17" s="253"/>
      <c r="J17" s="253"/>
      <c r="K17" s="253"/>
      <c r="L17" s="253"/>
      <c r="M17" s="57"/>
      <c r="N17" s="254">
        <f>SUM(N13:N15)</f>
        <v>1</v>
      </c>
      <c r="O17" s="232"/>
      <c r="P17" s="232"/>
      <c r="Q17" s="232"/>
      <c r="R17" s="254">
        <f>SUM(R13:R15)</f>
        <v>8.0200000000000007E-2</v>
      </c>
      <c r="S17" s="232"/>
      <c r="T17" s="254">
        <f>SUM(T13:T15)</f>
        <v>5.2900000000000003E-2</v>
      </c>
    </row>
    <row r="18" spans="1:20" ht="16.5" thickTop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32"/>
      <c r="O18" s="232"/>
      <c r="P18" s="232"/>
      <c r="Q18" s="232"/>
      <c r="R18" s="232"/>
      <c r="S18" s="232"/>
      <c r="T18" s="232"/>
    </row>
    <row r="19" spans="1:20" ht="15.75" x14ac:dyDescent="0.3">
      <c r="A19" s="57">
        <v>7</v>
      </c>
      <c r="B19" s="57" t="s">
        <v>45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15.75" x14ac:dyDescent="0.3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16.5" thickBot="1" x14ac:dyDescent="0.35">
      <c r="A21" s="57">
        <v>8</v>
      </c>
      <c r="B21" s="255" t="s">
        <v>46</v>
      </c>
      <c r="C21" s="57"/>
      <c r="D21" s="255"/>
      <c r="E21" s="256">
        <f>+R17</f>
        <v>8.0200000000000007E-2</v>
      </c>
      <c r="F21" s="257"/>
      <c r="G21" s="257"/>
      <c r="H21" s="257"/>
      <c r="I21" s="257"/>
      <c r="J21" s="257"/>
      <c r="K21" s="257"/>
      <c r="L21" s="257"/>
      <c r="M21" s="57"/>
      <c r="N21" s="57"/>
      <c r="O21" s="57"/>
      <c r="P21" s="57"/>
      <c r="Q21" s="57"/>
      <c r="R21" s="57"/>
      <c r="S21" s="57"/>
      <c r="T21" s="57"/>
    </row>
    <row r="22" spans="1:20" ht="16.5" thickTop="1" x14ac:dyDescent="0.3">
      <c r="A22" s="57"/>
      <c r="B22" s="255"/>
      <c r="C22" s="57"/>
      <c r="D22" s="255"/>
      <c r="E22" s="257"/>
      <c r="F22" s="257"/>
      <c r="G22" s="257"/>
      <c r="H22" s="257"/>
      <c r="I22" s="257"/>
      <c r="J22" s="257"/>
      <c r="K22" s="257"/>
      <c r="L22" s="257"/>
      <c r="M22" s="57"/>
      <c r="N22" s="57"/>
      <c r="O22" s="57"/>
      <c r="P22" s="57"/>
      <c r="Q22" s="57"/>
      <c r="R22" s="57"/>
      <c r="S22" s="57"/>
      <c r="T22" s="57"/>
    </row>
    <row r="23" spans="1:20" ht="15.75" x14ac:dyDescent="0.3">
      <c r="A23" s="57">
        <v>9</v>
      </c>
      <c r="B23" s="57"/>
      <c r="C23" s="57"/>
      <c r="D23" s="57"/>
      <c r="E23" s="57"/>
      <c r="F23" s="57"/>
      <c r="G23" s="119" t="s">
        <v>201</v>
      </c>
      <c r="H23" s="57"/>
      <c r="I23" s="258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ht="15.75" x14ac:dyDescent="0.3">
      <c r="A24" s="57">
        <f>1+A23</f>
        <v>10</v>
      </c>
      <c r="B24" s="255" t="s">
        <v>47</v>
      </c>
      <c r="C24" s="57"/>
      <c r="D24" s="255" t="s">
        <v>48</v>
      </c>
      <c r="E24" s="259" t="s">
        <v>103</v>
      </c>
      <c r="F24" s="217" t="s">
        <v>49</v>
      </c>
      <c r="G24" s="260" t="s">
        <v>202</v>
      </c>
      <c r="H24" s="261"/>
      <c r="I24" s="261"/>
      <c r="J24" s="262" t="s">
        <v>204</v>
      </c>
      <c r="K24" s="263" t="s">
        <v>203</v>
      </c>
      <c r="L24" s="263"/>
      <c r="M24" s="259" t="s">
        <v>51</v>
      </c>
      <c r="N24" s="264" t="s">
        <v>52</v>
      </c>
      <c r="O24" s="264"/>
      <c r="P24" s="264"/>
      <c r="Q24" s="255" t="s">
        <v>53</v>
      </c>
      <c r="R24" s="57"/>
      <c r="S24" s="57"/>
      <c r="T24" s="57"/>
    </row>
    <row r="25" spans="1:20" ht="15.75" x14ac:dyDescent="0.3">
      <c r="A25" s="57">
        <f>1+A24</f>
        <v>11</v>
      </c>
      <c r="B25" s="57"/>
      <c r="C25" s="57"/>
      <c r="D25" s="265" t="s">
        <v>49</v>
      </c>
      <c r="E25" s="119"/>
      <c r="F25" s="119"/>
      <c r="G25" s="119"/>
      <c r="H25" s="119"/>
      <c r="I25" s="119"/>
      <c r="J25" s="119"/>
      <c r="K25" s="119"/>
      <c r="L25" s="119"/>
      <c r="M25" s="266" t="s">
        <v>54</v>
      </c>
      <c r="N25" s="267" t="s">
        <v>52</v>
      </c>
      <c r="O25" s="268"/>
      <c r="P25" s="268"/>
      <c r="Q25" s="255" t="s">
        <v>53</v>
      </c>
      <c r="R25" s="57"/>
      <c r="S25" s="57"/>
      <c r="T25" s="57"/>
    </row>
    <row r="26" spans="1:20" ht="15.75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ht="15.75" x14ac:dyDescent="0.3">
      <c r="A27" s="57">
        <v>12</v>
      </c>
      <c r="B27" s="57"/>
      <c r="C27" s="57"/>
      <c r="D27" s="255" t="s">
        <v>48</v>
      </c>
      <c r="E27" s="269">
        <f>+T17</f>
        <v>5.2900000000000003E-2</v>
      </c>
      <c r="F27" s="270" t="s">
        <v>55</v>
      </c>
      <c r="G27" s="263">
        <f>+'4 Expense'!F21</f>
        <v>26537</v>
      </c>
      <c r="H27" s="261"/>
      <c r="I27" s="271"/>
      <c r="J27" s="261" t="s">
        <v>140</v>
      </c>
      <c r="K27" s="263">
        <f>+'1 ATRR'!E26</f>
        <v>92296075.5</v>
      </c>
      <c r="L27" s="262" t="s">
        <v>53</v>
      </c>
      <c r="M27" s="259" t="s">
        <v>51</v>
      </c>
      <c r="N27" s="272">
        <v>0.35</v>
      </c>
      <c r="O27" s="273"/>
      <c r="P27" s="274"/>
      <c r="Q27" s="255" t="s">
        <v>53</v>
      </c>
      <c r="R27" s="57"/>
      <c r="S27" s="57"/>
      <c r="T27" s="57"/>
    </row>
    <row r="28" spans="1:20" ht="15.75" x14ac:dyDescent="0.3">
      <c r="A28" s="57">
        <f>1+A27</f>
        <v>13</v>
      </c>
      <c r="B28" s="57"/>
      <c r="C28" s="57"/>
      <c r="D28" s="265" t="s">
        <v>49</v>
      </c>
      <c r="E28" s="119">
        <v>1</v>
      </c>
      <c r="F28" s="119"/>
      <c r="G28" s="119"/>
      <c r="H28" s="119"/>
      <c r="I28" s="119"/>
      <c r="J28" s="119"/>
      <c r="K28" s="119"/>
      <c r="L28" s="119"/>
      <c r="M28" s="119" t="s">
        <v>54</v>
      </c>
      <c r="N28" s="216">
        <f>+N27</f>
        <v>0.35</v>
      </c>
      <c r="O28" s="216"/>
      <c r="P28" s="216"/>
      <c r="Q28" s="255" t="s">
        <v>53</v>
      </c>
      <c r="R28" s="57"/>
      <c r="S28" s="57"/>
      <c r="T28" s="57"/>
    </row>
    <row r="29" spans="1:20" ht="15.75" x14ac:dyDescent="0.3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6.5" thickBot="1" x14ac:dyDescent="0.35">
      <c r="A30" s="57">
        <v>14</v>
      </c>
      <c r="B30" s="57"/>
      <c r="C30" s="57"/>
      <c r="D30" s="255" t="s">
        <v>0</v>
      </c>
      <c r="E30" s="275">
        <f>ROUND(((+E27+((G27)/K27))*N27)/(E28-N28),7)</f>
        <v>2.8639399999999999E-2</v>
      </c>
      <c r="F30" s="276"/>
      <c r="G30" s="276"/>
      <c r="H30" s="276"/>
      <c r="I30" s="276"/>
      <c r="J30" s="276"/>
      <c r="K30" s="276"/>
      <c r="L30" s="276"/>
      <c r="M30" s="57"/>
      <c r="N30" s="57"/>
      <c r="O30" s="57"/>
      <c r="P30" s="57"/>
      <c r="Q30" s="57"/>
      <c r="R30" s="57"/>
      <c r="S30" s="57"/>
      <c r="T30" s="57"/>
    </row>
    <row r="31" spans="1:20" ht="16.5" thickTop="1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ht="15.75" x14ac:dyDescent="0.3">
      <c r="A32" s="57">
        <v>15</v>
      </c>
      <c r="B32" s="57"/>
      <c r="C32" s="57"/>
      <c r="D32" s="57"/>
      <c r="E32" s="245"/>
      <c r="F32" s="57"/>
      <c r="G32" s="119" t="s">
        <v>201</v>
      </c>
      <c r="H32" s="57"/>
      <c r="I32" s="258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ht="15.75" x14ac:dyDescent="0.3">
      <c r="A33" s="57">
        <f>1+A32</f>
        <v>16</v>
      </c>
      <c r="B33" s="255" t="s">
        <v>56</v>
      </c>
      <c r="C33" s="57"/>
      <c r="D33" s="255" t="s">
        <v>48</v>
      </c>
      <c r="E33" s="259" t="s">
        <v>103</v>
      </c>
      <c r="F33" s="217" t="s">
        <v>49</v>
      </c>
      <c r="G33" s="260" t="s">
        <v>202</v>
      </c>
      <c r="H33" s="261"/>
      <c r="I33" s="261"/>
      <c r="J33" s="262" t="s">
        <v>204</v>
      </c>
      <c r="K33" s="263" t="s">
        <v>203</v>
      </c>
      <c r="L33" s="277"/>
      <c r="M33" s="217" t="s">
        <v>50</v>
      </c>
      <c r="N33" s="264" t="s">
        <v>57</v>
      </c>
      <c r="O33" s="264"/>
      <c r="P33" s="264"/>
      <c r="Q33" s="278" t="s">
        <v>58</v>
      </c>
      <c r="R33" s="277" t="s">
        <v>59</v>
      </c>
      <c r="S33" s="277"/>
      <c r="T33" s="277"/>
    </row>
    <row r="34" spans="1:20" ht="15.75" x14ac:dyDescent="0.3">
      <c r="A34" s="57">
        <f>1+A33</f>
        <v>17</v>
      </c>
      <c r="B34" s="57"/>
      <c r="C34" s="57"/>
      <c r="D34" s="265"/>
      <c r="E34" s="119">
        <v>1</v>
      </c>
      <c r="F34" s="119"/>
      <c r="G34" s="119"/>
      <c r="H34" s="119"/>
      <c r="I34" s="119"/>
      <c r="J34" s="119"/>
      <c r="K34" s="119"/>
      <c r="L34" s="119"/>
      <c r="M34" s="266" t="s">
        <v>54</v>
      </c>
      <c r="N34" s="267" t="s">
        <v>59</v>
      </c>
      <c r="O34" s="268"/>
      <c r="P34" s="268"/>
      <c r="Q34" s="279" t="s">
        <v>53</v>
      </c>
      <c r="R34" s="57"/>
      <c r="S34" s="57"/>
      <c r="T34" s="57"/>
    </row>
    <row r="35" spans="1:20" ht="15.75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ht="15.75" x14ac:dyDescent="0.3">
      <c r="A36" s="57">
        <v>18</v>
      </c>
      <c r="B36" s="57"/>
      <c r="C36" s="57"/>
      <c r="D36" s="255" t="s">
        <v>48</v>
      </c>
      <c r="E36" s="269">
        <f>+T17</f>
        <v>5.2900000000000003E-2</v>
      </c>
      <c r="F36" s="270" t="s">
        <v>55</v>
      </c>
      <c r="G36" s="263">
        <f>+G27</f>
        <v>26537</v>
      </c>
      <c r="H36" s="261"/>
      <c r="I36" s="280"/>
      <c r="J36" s="262" t="s">
        <v>141</v>
      </c>
      <c r="K36" s="263">
        <f>+K27</f>
        <v>92296075.5</v>
      </c>
      <c r="L36" s="262" t="s">
        <v>53</v>
      </c>
      <c r="M36" s="217" t="s">
        <v>50</v>
      </c>
      <c r="N36" s="281">
        <f>+E30</f>
        <v>2.8639399999999999E-2</v>
      </c>
      <c r="O36" s="264"/>
      <c r="P36" s="264"/>
      <c r="Q36" s="278" t="s">
        <v>58</v>
      </c>
      <c r="R36" s="272">
        <v>8.5000000000000006E-2</v>
      </c>
      <c r="S36" s="282"/>
      <c r="T36" s="282"/>
    </row>
    <row r="37" spans="1:20" ht="15.75" x14ac:dyDescent="0.3">
      <c r="A37" s="57">
        <f>1+A36</f>
        <v>19</v>
      </c>
      <c r="B37" s="57"/>
      <c r="C37" s="57"/>
      <c r="D37" s="265" t="s">
        <v>49</v>
      </c>
      <c r="E37" s="119">
        <v>1</v>
      </c>
      <c r="F37" s="119"/>
      <c r="G37" s="119"/>
      <c r="H37" s="119"/>
      <c r="I37" s="119"/>
      <c r="J37" s="119"/>
      <c r="K37" s="119"/>
      <c r="L37" s="119"/>
      <c r="M37" s="119" t="s">
        <v>54</v>
      </c>
      <c r="N37" s="216">
        <f>+R36</f>
        <v>8.5000000000000006E-2</v>
      </c>
      <c r="O37" s="216"/>
      <c r="P37" s="216"/>
      <c r="Q37" s="255" t="s">
        <v>53</v>
      </c>
      <c r="R37" s="57"/>
      <c r="S37" s="57"/>
      <c r="T37" s="57"/>
    </row>
    <row r="38" spans="1:20" ht="15.75" x14ac:dyDescent="0.3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ht="16.5" thickBot="1" x14ac:dyDescent="0.35">
      <c r="A39" s="57">
        <v>20</v>
      </c>
      <c r="B39" s="57"/>
      <c r="C39" s="57"/>
      <c r="D39" s="255" t="s">
        <v>0</v>
      </c>
      <c r="E39" s="275">
        <f>ROUND((((+E36+((G36)/K36))+N36)*R36)/(E37-N37),7)</f>
        <v>7.6014000000000003E-3</v>
      </c>
      <c r="F39" s="276"/>
      <c r="G39" s="276"/>
      <c r="H39" s="276"/>
      <c r="I39" s="276"/>
      <c r="J39" s="276"/>
      <c r="K39" s="276"/>
      <c r="L39" s="276"/>
      <c r="M39" s="57"/>
      <c r="N39" s="57"/>
      <c r="O39" s="57"/>
      <c r="P39" s="57"/>
      <c r="Q39" s="57"/>
      <c r="R39" s="57"/>
      <c r="S39" s="57"/>
      <c r="T39" s="57"/>
    </row>
    <row r="40" spans="1:20" ht="16.5" thickTop="1" x14ac:dyDescent="0.3">
      <c r="A40" s="57"/>
      <c r="B40" s="255"/>
      <c r="C40" s="57"/>
      <c r="D40" s="255"/>
      <c r="E40" s="283"/>
      <c r="F40" s="283"/>
      <c r="G40" s="283"/>
      <c r="H40" s="283"/>
      <c r="I40" s="283"/>
      <c r="J40" s="283"/>
      <c r="K40" s="283"/>
      <c r="L40" s="283"/>
      <c r="M40" s="57"/>
      <c r="N40" s="57"/>
      <c r="O40" s="57"/>
      <c r="P40" s="57"/>
      <c r="Q40" s="57"/>
      <c r="R40" s="57"/>
      <c r="S40" s="57"/>
      <c r="T40" s="57"/>
    </row>
    <row r="41" spans="1:20" ht="15.75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6.5" thickBot="1" x14ac:dyDescent="0.35">
      <c r="A42" s="57">
        <v>21</v>
      </c>
      <c r="B42" s="255" t="s">
        <v>109</v>
      </c>
      <c r="C42" s="57"/>
      <c r="D42" s="255" t="s">
        <v>0</v>
      </c>
      <c r="E42" s="275">
        <f>+E21+E30+E39</f>
        <v>0.1164408</v>
      </c>
      <c r="F42" s="276"/>
      <c r="G42" s="276"/>
      <c r="H42" s="276"/>
      <c r="I42" s="276"/>
      <c r="J42" s="276"/>
      <c r="K42" s="276"/>
      <c r="L42" s="276"/>
      <c r="M42" s="57"/>
      <c r="N42" s="57"/>
      <c r="O42" s="57"/>
      <c r="P42" s="57"/>
      <c r="Q42" s="57"/>
      <c r="R42" s="57"/>
      <c r="S42" s="57"/>
      <c r="T42" s="57"/>
    </row>
    <row r="43" spans="1:20" ht="16.5" thickTop="1" x14ac:dyDescent="0.3">
      <c r="A43" s="57"/>
      <c r="B43" s="255"/>
      <c r="C43" s="57"/>
      <c r="D43" s="255"/>
      <c r="E43" s="283"/>
      <c r="F43" s="283"/>
      <c r="G43" s="283"/>
      <c r="H43" s="283"/>
      <c r="I43" s="283"/>
      <c r="J43" s="283"/>
      <c r="K43" s="283"/>
      <c r="L43" s="283"/>
      <c r="M43" s="57"/>
      <c r="N43" s="57"/>
      <c r="O43" s="57"/>
      <c r="P43" s="57"/>
      <c r="Q43" s="57"/>
      <c r="R43" s="57"/>
      <c r="S43" s="57"/>
      <c r="T43" s="57"/>
    </row>
    <row r="44" spans="1:20" ht="15.75" x14ac:dyDescent="0.3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214"/>
      <c r="N44" s="214"/>
      <c r="O44" s="57"/>
      <c r="P44" s="57"/>
      <c r="Q44" s="57"/>
      <c r="R44" s="57"/>
      <c r="S44" s="57"/>
      <c r="T44" s="57"/>
    </row>
    <row r="45" spans="1:20" ht="15.75" x14ac:dyDescent="0.3">
      <c r="A45" s="57">
        <v>22</v>
      </c>
      <c r="B45" s="219" t="s">
        <v>7</v>
      </c>
      <c r="C45" s="57"/>
      <c r="D45" s="216" t="s">
        <v>41</v>
      </c>
      <c r="E45" s="284">
        <f>+'1 ATRR'!E26</f>
        <v>92296075.5</v>
      </c>
      <c r="F45" s="284"/>
      <c r="G45" s="219" t="s">
        <v>307</v>
      </c>
      <c r="H45" s="284"/>
      <c r="I45" s="284"/>
      <c r="J45" s="284"/>
      <c r="K45" s="284"/>
      <c r="L45" s="284"/>
      <c r="M45" s="231"/>
      <c r="N45" s="253"/>
      <c r="O45" s="57"/>
      <c r="P45" s="57"/>
      <c r="Q45" s="57"/>
      <c r="R45" s="57"/>
      <c r="S45" s="57"/>
      <c r="T45" s="57"/>
    </row>
    <row r="46" spans="1:20" ht="15.75" x14ac:dyDescent="0.3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214"/>
      <c r="N46" s="214"/>
      <c r="O46" s="57"/>
      <c r="P46" s="57"/>
      <c r="Q46" s="57"/>
      <c r="R46" s="57"/>
      <c r="S46" s="57"/>
      <c r="T46" s="57"/>
    </row>
    <row r="47" spans="1:20" ht="15.75" x14ac:dyDescent="0.3">
      <c r="A47" s="57">
        <v>23</v>
      </c>
      <c r="B47" s="255" t="s">
        <v>60</v>
      </c>
      <c r="C47" s="57"/>
      <c r="D47" s="57"/>
      <c r="E47" s="285">
        <f>+E42</f>
        <v>0.1164408</v>
      </c>
      <c r="F47" s="285"/>
      <c r="G47" s="57"/>
      <c r="H47" s="285"/>
      <c r="I47" s="285"/>
      <c r="J47" s="285"/>
      <c r="K47" s="285"/>
      <c r="L47" s="285"/>
      <c r="M47" s="214"/>
      <c r="N47" s="276"/>
      <c r="O47" s="57"/>
      <c r="P47" s="57"/>
      <c r="Q47" s="57"/>
      <c r="R47" s="57"/>
      <c r="S47" s="57"/>
      <c r="T47" s="57"/>
    </row>
    <row r="48" spans="1:20" ht="15.7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214"/>
      <c r="N48" s="214"/>
      <c r="O48" s="57"/>
      <c r="P48" s="57"/>
      <c r="Q48" s="57"/>
      <c r="R48" s="57"/>
      <c r="S48" s="57"/>
      <c r="T48" s="57"/>
    </row>
    <row r="49" spans="1:20" ht="16.5" thickBot="1" x14ac:dyDescent="0.35">
      <c r="A49" s="57">
        <v>24</v>
      </c>
      <c r="B49" s="255" t="s">
        <v>61</v>
      </c>
      <c r="C49" s="57"/>
      <c r="D49" s="57"/>
      <c r="E49" s="286">
        <f>ROUND(+E45*E47,0)</f>
        <v>10747029</v>
      </c>
      <c r="F49" s="229"/>
      <c r="G49" s="219" t="s">
        <v>308</v>
      </c>
      <c r="H49" s="229"/>
      <c r="I49" s="229"/>
      <c r="J49" s="229"/>
      <c r="K49" s="229"/>
      <c r="L49" s="229"/>
      <c r="M49" s="214"/>
      <c r="N49" s="229"/>
      <c r="O49" s="57"/>
      <c r="P49" s="57"/>
      <c r="Q49" s="57"/>
      <c r="R49" s="57"/>
      <c r="S49" s="57"/>
      <c r="T49" s="57"/>
    </row>
    <row r="50" spans="1:20" ht="16.5" thickTop="1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5.75" x14ac:dyDescent="0.3">
      <c r="A51" s="57">
        <v>25</v>
      </c>
      <c r="B51" s="287"/>
      <c r="C51" s="70" t="s">
        <v>274</v>
      </c>
      <c r="D51" s="72"/>
      <c r="E51" s="72"/>
      <c r="F51" s="72"/>
      <c r="G51" s="288"/>
      <c r="H51" s="57"/>
      <c r="I51" s="214"/>
      <c r="J51" s="57"/>
      <c r="K51" s="73" t="s">
        <v>5</v>
      </c>
      <c r="L51" s="72" t="s">
        <v>4</v>
      </c>
      <c r="M51" s="277"/>
      <c r="N51" s="277"/>
      <c r="O51" s="57"/>
      <c r="P51" s="57"/>
      <c r="Q51" s="57"/>
      <c r="R51" s="57"/>
      <c r="S51" s="57"/>
      <c r="T51" s="57"/>
    </row>
    <row r="52" spans="1:20" ht="15.75" x14ac:dyDescent="0.3">
      <c r="A52" s="57"/>
      <c r="B52" s="287"/>
      <c r="C52" s="288"/>
      <c r="D52" s="288"/>
      <c r="E52" s="288"/>
      <c r="F52" s="288"/>
      <c r="G52" s="288"/>
      <c r="H52" s="57"/>
      <c r="I52" s="289"/>
      <c r="J52" s="57"/>
      <c r="K52" s="288"/>
      <c r="L52" s="288"/>
      <c r="M52" s="57"/>
      <c r="N52" s="57"/>
      <c r="O52" s="57"/>
      <c r="P52" s="57"/>
      <c r="Q52" s="57"/>
      <c r="R52" s="57"/>
      <c r="S52" s="57"/>
      <c r="T52" s="57"/>
    </row>
    <row r="53" spans="1:20" ht="15.75" x14ac:dyDescent="0.3">
      <c r="A53" s="57">
        <v>26</v>
      </c>
      <c r="B53" s="287"/>
      <c r="C53" s="287" t="s">
        <v>594</v>
      </c>
      <c r="D53" s="287"/>
      <c r="E53" s="287"/>
      <c r="F53" s="287"/>
      <c r="G53" s="288"/>
      <c r="H53" s="57"/>
      <c r="I53" s="290"/>
      <c r="J53" s="57"/>
      <c r="K53" s="291"/>
      <c r="L53" s="288"/>
      <c r="M53" s="57"/>
      <c r="N53" s="57"/>
      <c r="O53" s="57"/>
      <c r="P53" s="292"/>
      <c r="Q53" s="57"/>
      <c r="R53" s="57"/>
      <c r="S53" s="57"/>
      <c r="T53" s="57"/>
    </row>
    <row r="54" spans="1:20" ht="15.75" x14ac:dyDescent="0.3">
      <c r="A54" s="57">
        <f t="shared" ref="A54:A75" si="0">1+A53</f>
        <v>27</v>
      </c>
      <c r="B54" s="287"/>
      <c r="C54" s="288"/>
      <c r="D54" s="288" t="s">
        <v>275</v>
      </c>
      <c r="E54" s="288"/>
      <c r="F54" s="288"/>
      <c r="G54" s="288"/>
      <c r="H54" s="57"/>
      <c r="I54" s="290"/>
      <c r="J54" s="57"/>
      <c r="K54" s="293">
        <v>668220046</v>
      </c>
      <c r="L54" s="288" t="s">
        <v>514</v>
      </c>
      <c r="M54" s="57"/>
      <c r="N54" s="57"/>
      <c r="O54" s="57"/>
      <c r="P54" s="292"/>
      <c r="Q54" s="57"/>
      <c r="R54" s="57"/>
      <c r="S54" s="57"/>
      <c r="T54" s="57"/>
    </row>
    <row r="55" spans="1:20" ht="15.75" x14ac:dyDescent="0.3">
      <c r="A55" s="57">
        <f t="shared" si="0"/>
        <v>28</v>
      </c>
      <c r="B55" s="287"/>
      <c r="C55" s="288"/>
      <c r="D55" s="288"/>
      <c r="E55" s="288" t="s">
        <v>276</v>
      </c>
      <c r="F55" s="288"/>
      <c r="G55" s="288"/>
      <c r="H55" s="57"/>
      <c r="I55" s="290"/>
      <c r="J55" s="57"/>
      <c r="K55" s="294">
        <v>0</v>
      </c>
      <c r="L55" s="288" t="s">
        <v>515</v>
      </c>
      <c r="M55" s="57"/>
      <c r="N55" s="57"/>
      <c r="O55" s="57"/>
      <c r="P55" s="57"/>
      <c r="Q55" s="57"/>
      <c r="R55" s="57"/>
      <c r="S55" s="57"/>
      <c r="T55" s="57"/>
    </row>
    <row r="56" spans="1:20" ht="15.75" x14ac:dyDescent="0.3">
      <c r="A56" s="57">
        <f t="shared" si="0"/>
        <v>29</v>
      </c>
      <c r="B56" s="287"/>
      <c r="C56" s="288"/>
      <c r="D56" s="288" t="s">
        <v>277</v>
      </c>
      <c r="E56" s="295"/>
      <c r="F56" s="295"/>
      <c r="G56" s="288"/>
      <c r="H56" s="57"/>
      <c r="I56" s="290"/>
      <c r="J56" s="57"/>
      <c r="K56" s="294">
        <v>0</v>
      </c>
      <c r="L56" s="288" t="s">
        <v>516</v>
      </c>
      <c r="M56" s="57"/>
      <c r="N56" s="57"/>
      <c r="O56" s="57"/>
      <c r="P56" s="57"/>
      <c r="Q56" s="57"/>
      <c r="R56" s="57"/>
      <c r="S56" s="57"/>
      <c r="T56" s="57"/>
    </row>
    <row r="57" spans="1:20" ht="15.75" x14ac:dyDescent="0.3">
      <c r="A57" s="57">
        <f t="shared" si="0"/>
        <v>30</v>
      </c>
      <c r="B57" s="287"/>
      <c r="C57" s="288"/>
      <c r="D57" s="288" t="s">
        <v>278</v>
      </c>
      <c r="E57" s="288"/>
      <c r="F57" s="288"/>
      <c r="G57" s="288"/>
      <c r="H57" s="57"/>
      <c r="I57" s="290"/>
      <c r="J57" s="57"/>
      <c r="K57" s="294">
        <v>0</v>
      </c>
      <c r="L57" s="288" t="s">
        <v>517</v>
      </c>
      <c r="M57" s="57"/>
      <c r="N57" s="57"/>
      <c r="O57" s="57"/>
      <c r="P57" s="57"/>
      <c r="Q57" s="57"/>
      <c r="R57" s="57"/>
      <c r="S57" s="57"/>
      <c r="T57" s="57"/>
    </row>
    <row r="58" spans="1:20" ht="15.75" x14ac:dyDescent="0.3">
      <c r="A58" s="57">
        <f t="shared" si="0"/>
        <v>31</v>
      </c>
      <c r="B58" s="287"/>
      <c r="C58" s="288"/>
      <c r="D58" s="296" t="s">
        <v>279</v>
      </c>
      <c r="E58" s="288"/>
      <c r="F58" s="288"/>
      <c r="G58" s="288"/>
      <c r="H58" s="57"/>
      <c r="I58" s="290"/>
      <c r="J58" s="57"/>
      <c r="K58" s="297">
        <f>SUM(K54:K57)</f>
        <v>668220046</v>
      </c>
      <c r="L58" s="288" t="s">
        <v>310</v>
      </c>
      <c r="M58" s="57"/>
      <c r="N58" s="57"/>
      <c r="O58" s="57"/>
      <c r="P58" s="57"/>
      <c r="Q58" s="57"/>
      <c r="R58" s="57"/>
      <c r="S58" s="57"/>
      <c r="T58" s="57"/>
    </row>
    <row r="59" spans="1:20" ht="15.75" x14ac:dyDescent="0.3">
      <c r="A59" s="57">
        <f t="shared" si="0"/>
        <v>32</v>
      </c>
      <c r="B59" s="287"/>
      <c r="C59" s="288"/>
      <c r="D59" s="288"/>
      <c r="E59" s="288" t="s">
        <v>280</v>
      </c>
      <c r="F59" s="288"/>
      <c r="G59" s="288"/>
      <c r="H59" s="57"/>
      <c r="I59" s="290"/>
      <c r="J59" s="57"/>
      <c r="K59" s="294">
        <v>0</v>
      </c>
      <c r="L59" s="288" t="s">
        <v>518</v>
      </c>
      <c r="M59" s="57"/>
      <c r="N59" s="57"/>
      <c r="O59" s="57"/>
      <c r="P59" s="57"/>
      <c r="Q59" s="57"/>
      <c r="R59" s="57"/>
      <c r="S59" s="57"/>
      <c r="T59" s="57"/>
    </row>
    <row r="60" spans="1:20" ht="15.75" x14ac:dyDescent="0.3">
      <c r="A60" s="57">
        <f t="shared" si="0"/>
        <v>33</v>
      </c>
      <c r="B60" s="287"/>
      <c r="C60" s="288"/>
      <c r="D60" s="288"/>
      <c r="E60" s="288" t="s">
        <v>281</v>
      </c>
      <c r="F60" s="288"/>
      <c r="G60" s="288"/>
      <c r="H60" s="57"/>
      <c r="I60" s="290"/>
      <c r="J60" s="57"/>
      <c r="K60" s="293">
        <v>-5106000</v>
      </c>
      <c r="L60" s="288" t="s">
        <v>550</v>
      </c>
      <c r="M60" s="57"/>
      <c r="N60" s="57"/>
      <c r="O60" s="57"/>
      <c r="P60" s="57"/>
      <c r="Q60" s="57"/>
      <c r="R60" s="57"/>
      <c r="S60" s="57"/>
      <c r="T60" s="57"/>
    </row>
    <row r="61" spans="1:20" ht="15.75" x14ac:dyDescent="0.3">
      <c r="A61" s="57">
        <f t="shared" si="0"/>
        <v>34</v>
      </c>
      <c r="B61" s="287"/>
      <c r="C61" s="288"/>
      <c r="D61" s="288"/>
      <c r="E61" s="288" t="s">
        <v>282</v>
      </c>
      <c r="F61" s="288"/>
      <c r="G61" s="288"/>
      <c r="H61" s="57"/>
      <c r="I61" s="290"/>
      <c r="J61" s="57"/>
      <c r="K61" s="294">
        <v>0</v>
      </c>
      <c r="L61" s="288" t="s">
        <v>519</v>
      </c>
      <c r="M61" s="57"/>
      <c r="N61" s="57"/>
      <c r="O61" s="57"/>
      <c r="P61" s="57"/>
      <c r="Q61" s="57"/>
      <c r="R61" s="57"/>
      <c r="S61" s="57"/>
      <c r="T61" s="57"/>
    </row>
    <row r="62" spans="1:20" ht="15.75" x14ac:dyDescent="0.3">
      <c r="A62" s="57">
        <f t="shared" si="0"/>
        <v>35</v>
      </c>
      <c r="B62" s="287"/>
      <c r="C62" s="288"/>
      <c r="D62" s="288"/>
      <c r="E62" s="288" t="s">
        <v>283</v>
      </c>
      <c r="F62" s="288"/>
      <c r="G62" s="288"/>
      <c r="H62" s="57"/>
      <c r="I62" s="290"/>
      <c r="J62" s="57"/>
      <c r="K62" s="294">
        <v>0</v>
      </c>
      <c r="L62" s="288" t="s">
        <v>520</v>
      </c>
      <c r="M62" s="57"/>
      <c r="N62" s="57"/>
      <c r="O62" s="57"/>
      <c r="P62" s="57"/>
      <c r="Q62" s="57"/>
      <c r="R62" s="57"/>
      <c r="S62" s="57"/>
      <c r="T62" s="57"/>
    </row>
    <row r="63" spans="1:20" ht="15.75" x14ac:dyDescent="0.3">
      <c r="A63" s="57">
        <f t="shared" si="0"/>
        <v>36</v>
      </c>
      <c r="B63" s="287"/>
      <c r="C63" s="288"/>
      <c r="D63" s="288"/>
      <c r="E63" s="288" t="s">
        <v>284</v>
      </c>
      <c r="F63" s="288"/>
      <c r="G63" s="288"/>
      <c r="H63" s="57"/>
      <c r="I63" s="290"/>
      <c r="J63" s="57"/>
      <c r="K63" s="294">
        <v>0</v>
      </c>
      <c r="L63" s="288" t="s">
        <v>521</v>
      </c>
      <c r="M63" s="57"/>
      <c r="N63" s="57"/>
      <c r="O63" s="57"/>
      <c r="P63" s="57"/>
      <c r="Q63" s="57"/>
      <c r="R63" s="57"/>
      <c r="S63" s="57"/>
      <c r="T63" s="57"/>
    </row>
    <row r="64" spans="1:20" ht="15.75" x14ac:dyDescent="0.3">
      <c r="A64" s="57">
        <f t="shared" si="0"/>
        <v>37</v>
      </c>
      <c r="B64" s="287"/>
      <c r="C64" s="288"/>
      <c r="D64" s="296" t="s">
        <v>285</v>
      </c>
      <c r="E64" s="288"/>
      <c r="F64" s="288"/>
      <c r="G64" s="288"/>
      <c r="H64" s="57"/>
      <c r="I64" s="290"/>
      <c r="J64" s="57"/>
      <c r="K64" s="298">
        <f>SUM(K58:K63)</f>
        <v>663114046</v>
      </c>
      <c r="L64" s="288" t="s">
        <v>311</v>
      </c>
      <c r="M64" s="57"/>
      <c r="N64" s="57"/>
      <c r="O64" s="57"/>
      <c r="P64" s="57"/>
      <c r="Q64" s="57"/>
      <c r="R64" s="57"/>
      <c r="S64" s="57"/>
      <c r="T64" s="57"/>
    </row>
    <row r="65" spans="1:20" ht="15.75" x14ac:dyDescent="0.3">
      <c r="A65" s="57">
        <f t="shared" si="0"/>
        <v>38</v>
      </c>
      <c r="B65" s="287"/>
      <c r="C65" s="287" t="s">
        <v>595</v>
      </c>
      <c r="D65" s="288"/>
      <c r="E65" s="288"/>
      <c r="F65" s="288"/>
      <c r="G65" s="288"/>
      <c r="H65" s="57"/>
      <c r="I65" s="290"/>
      <c r="J65" s="57"/>
      <c r="K65" s="299"/>
      <c r="L65" s="289"/>
      <c r="M65" s="57"/>
      <c r="N65" s="57"/>
      <c r="O65" s="57"/>
      <c r="P65" s="57"/>
      <c r="Q65" s="57"/>
      <c r="R65" s="57"/>
      <c r="S65" s="57"/>
      <c r="T65" s="57"/>
    </row>
    <row r="66" spans="1:20" ht="15.75" x14ac:dyDescent="0.3">
      <c r="A66" s="57">
        <f t="shared" si="0"/>
        <v>39</v>
      </c>
      <c r="B66" s="287"/>
      <c r="C66" s="288"/>
      <c r="D66" s="288" t="s">
        <v>286</v>
      </c>
      <c r="E66" s="288"/>
      <c r="F66" s="288"/>
      <c r="G66" s="288"/>
      <c r="H66" s="57"/>
      <c r="I66" s="290"/>
      <c r="J66" s="57"/>
      <c r="K66" s="293">
        <v>35808000</v>
      </c>
      <c r="L66" s="288" t="s">
        <v>522</v>
      </c>
      <c r="M66" s="57"/>
      <c r="N66" s="57"/>
      <c r="O66" s="57"/>
      <c r="P66" s="57"/>
      <c r="Q66" s="57"/>
      <c r="R66" s="57"/>
      <c r="S66" s="57"/>
      <c r="T66" s="57"/>
    </row>
    <row r="67" spans="1:20" ht="15.75" x14ac:dyDescent="0.3">
      <c r="A67" s="57">
        <f t="shared" si="0"/>
        <v>40</v>
      </c>
      <c r="B67" s="287"/>
      <c r="C67" s="288"/>
      <c r="D67" s="288" t="s">
        <v>287</v>
      </c>
      <c r="E67" s="288"/>
      <c r="F67" s="288"/>
      <c r="G67" s="288"/>
      <c r="H67" s="57"/>
      <c r="I67" s="290"/>
      <c r="J67" s="57"/>
      <c r="K67" s="293">
        <v>447337</v>
      </c>
      <c r="L67" s="288" t="s">
        <v>551</v>
      </c>
      <c r="M67" s="57"/>
      <c r="N67" s="57"/>
      <c r="O67" s="57"/>
      <c r="P67" s="57"/>
      <c r="Q67" s="57"/>
      <c r="R67" s="57"/>
      <c r="S67" s="57"/>
      <c r="T67" s="57"/>
    </row>
    <row r="68" spans="1:20" ht="15.75" x14ac:dyDescent="0.3">
      <c r="A68" s="57">
        <f t="shared" si="0"/>
        <v>41</v>
      </c>
      <c r="B68" s="287"/>
      <c r="C68" s="288"/>
      <c r="D68" s="288" t="s">
        <v>288</v>
      </c>
      <c r="E68" s="288"/>
      <c r="F68" s="288"/>
      <c r="G68" s="288"/>
      <c r="H68" s="57"/>
      <c r="I68" s="290"/>
      <c r="J68" s="57"/>
      <c r="K68" s="294">
        <v>0</v>
      </c>
      <c r="L68" s="288" t="s">
        <v>523</v>
      </c>
      <c r="M68" s="57"/>
      <c r="N68" s="57"/>
      <c r="O68" s="57"/>
      <c r="P68" s="57"/>
      <c r="Q68" s="57"/>
      <c r="R68" s="57"/>
      <c r="S68" s="57"/>
      <c r="T68" s="57"/>
    </row>
    <row r="69" spans="1:20" ht="15.75" x14ac:dyDescent="0.3">
      <c r="A69" s="57">
        <f t="shared" si="0"/>
        <v>42</v>
      </c>
      <c r="B69" s="287"/>
      <c r="C69" s="288"/>
      <c r="D69" s="288"/>
      <c r="E69" s="288" t="s">
        <v>289</v>
      </c>
      <c r="F69" s="288"/>
      <c r="G69" s="288"/>
      <c r="H69" s="57"/>
      <c r="I69" s="290"/>
      <c r="J69" s="57"/>
      <c r="K69" s="294">
        <v>0</v>
      </c>
      <c r="L69" s="288" t="s">
        <v>524</v>
      </c>
      <c r="M69" s="57"/>
      <c r="N69" s="57"/>
      <c r="O69" s="57"/>
      <c r="P69" s="57"/>
      <c r="Q69" s="57"/>
      <c r="R69" s="57"/>
      <c r="S69" s="57"/>
      <c r="T69" s="57"/>
    </row>
    <row r="70" spans="1:20" ht="15.75" x14ac:dyDescent="0.3">
      <c r="A70" s="57">
        <f t="shared" si="0"/>
        <v>43</v>
      </c>
      <c r="B70" s="287"/>
      <c r="C70" s="288"/>
      <c r="D70" s="288"/>
      <c r="E70" s="288" t="s">
        <v>290</v>
      </c>
      <c r="F70" s="288"/>
      <c r="G70" s="288"/>
      <c r="H70" s="57"/>
      <c r="I70" s="290"/>
      <c r="J70" s="57"/>
      <c r="K70" s="294">
        <v>0</v>
      </c>
      <c r="L70" s="288" t="s">
        <v>525</v>
      </c>
      <c r="M70" s="57"/>
      <c r="N70" s="57"/>
      <c r="O70" s="57"/>
      <c r="P70" s="57"/>
      <c r="Q70" s="57"/>
      <c r="R70" s="57"/>
      <c r="S70" s="57"/>
      <c r="T70" s="57"/>
    </row>
    <row r="71" spans="1:20" ht="15.75" x14ac:dyDescent="0.3">
      <c r="A71" s="57">
        <f t="shared" si="0"/>
        <v>44</v>
      </c>
      <c r="B71" s="287"/>
      <c r="C71" s="288"/>
      <c r="D71" s="288"/>
      <c r="E71" s="288"/>
      <c r="F71" s="288" t="s">
        <v>291</v>
      </c>
      <c r="G71" s="288"/>
      <c r="H71" s="57"/>
      <c r="I71" s="290"/>
      <c r="J71" s="57"/>
      <c r="K71" s="298">
        <f>SUM(K66:K70)</f>
        <v>36255337</v>
      </c>
      <c r="L71" s="289" t="s">
        <v>312</v>
      </c>
      <c r="M71" s="57"/>
      <c r="N71" s="57"/>
      <c r="O71" s="57"/>
      <c r="P71" s="57"/>
      <c r="Q71" s="57"/>
      <c r="R71" s="57"/>
      <c r="S71" s="57"/>
      <c r="T71" s="57"/>
    </row>
    <row r="72" spans="1:20" ht="15.75" x14ac:dyDescent="0.3">
      <c r="A72" s="57">
        <f t="shared" si="0"/>
        <v>45</v>
      </c>
      <c r="B72" s="287"/>
      <c r="C72" s="287" t="s">
        <v>596</v>
      </c>
      <c r="D72" s="287"/>
      <c r="E72" s="287"/>
      <c r="F72" s="287"/>
      <c r="G72" s="288"/>
      <c r="H72" s="57"/>
      <c r="I72" s="290"/>
      <c r="J72" s="57"/>
      <c r="K72" s="300"/>
      <c r="L72" s="288"/>
      <c r="M72" s="57"/>
      <c r="N72" s="57"/>
      <c r="O72" s="57"/>
      <c r="P72" s="57"/>
      <c r="Q72" s="57"/>
      <c r="R72" s="57"/>
      <c r="S72" s="57"/>
      <c r="T72" s="57"/>
    </row>
    <row r="73" spans="1:20" ht="15.75" x14ac:dyDescent="0.3">
      <c r="A73" s="57">
        <f t="shared" si="0"/>
        <v>46</v>
      </c>
      <c r="B73" s="287"/>
      <c r="C73" s="288"/>
      <c r="D73" s="288" t="s">
        <v>292</v>
      </c>
      <c r="E73" s="288"/>
      <c r="F73" s="288"/>
      <c r="G73" s="288"/>
      <c r="H73" s="57"/>
      <c r="I73" s="290"/>
      <c r="J73" s="57"/>
      <c r="K73" s="294">
        <v>0</v>
      </c>
      <c r="L73" s="288" t="s">
        <v>526</v>
      </c>
      <c r="M73" s="57"/>
      <c r="N73" s="57"/>
      <c r="O73" s="57"/>
      <c r="P73" s="57"/>
      <c r="Q73" s="57"/>
      <c r="R73" s="57"/>
      <c r="S73" s="57"/>
      <c r="T73" s="57"/>
    </row>
    <row r="74" spans="1:20" ht="15.75" x14ac:dyDescent="0.3">
      <c r="A74" s="57">
        <f t="shared" si="0"/>
        <v>47</v>
      </c>
      <c r="B74" s="287"/>
      <c r="C74" s="288"/>
      <c r="D74" s="288" t="s">
        <v>293</v>
      </c>
      <c r="E74" s="288"/>
      <c r="F74" s="288"/>
      <c r="G74" s="288"/>
      <c r="H74" s="57"/>
      <c r="I74" s="290"/>
      <c r="J74" s="57"/>
      <c r="K74" s="294">
        <v>0</v>
      </c>
      <c r="L74" s="288" t="s">
        <v>527</v>
      </c>
      <c r="M74" s="57"/>
      <c r="N74" s="57"/>
      <c r="O74" s="57"/>
      <c r="P74" s="57"/>
      <c r="Q74" s="57"/>
      <c r="R74" s="57"/>
      <c r="S74" s="57"/>
      <c r="T74" s="57"/>
    </row>
    <row r="75" spans="1:20" ht="15.75" x14ac:dyDescent="0.3">
      <c r="A75" s="57">
        <f t="shared" si="0"/>
        <v>48</v>
      </c>
      <c r="B75" s="287"/>
      <c r="C75" s="288"/>
      <c r="D75" s="288" t="s">
        <v>294</v>
      </c>
      <c r="E75" s="288"/>
      <c r="F75" s="288"/>
      <c r="G75" s="288"/>
      <c r="H75" s="57"/>
      <c r="I75" s="290"/>
      <c r="J75" s="57"/>
      <c r="K75" s="294">
        <v>0</v>
      </c>
      <c r="L75" s="288" t="s">
        <v>528</v>
      </c>
      <c r="M75" s="57"/>
      <c r="N75" s="57"/>
      <c r="O75" s="57"/>
      <c r="P75" s="57"/>
      <c r="Q75" s="57"/>
      <c r="R75" s="57"/>
      <c r="S75" s="57"/>
      <c r="T75" s="57"/>
    </row>
    <row r="76" spans="1:20" ht="15.75" x14ac:dyDescent="0.3">
      <c r="A76" s="57">
        <f t="shared" ref="A76:A91" si="1">1+A75</f>
        <v>49</v>
      </c>
      <c r="B76" s="287"/>
      <c r="C76" s="288"/>
      <c r="D76" s="288" t="s">
        <v>295</v>
      </c>
      <c r="E76" s="288"/>
      <c r="F76" s="288"/>
      <c r="G76" s="288"/>
      <c r="H76" s="57"/>
      <c r="I76" s="290"/>
      <c r="J76" s="57"/>
      <c r="K76" s="294">
        <v>0</v>
      </c>
      <c r="L76" s="288" t="s">
        <v>529</v>
      </c>
      <c r="M76" s="57"/>
      <c r="N76" s="57"/>
      <c r="O76" s="57"/>
      <c r="P76" s="57"/>
      <c r="Q76" s="57"/>
      <c r="R76" s="57"/>
      <c r="S76" s="57"/>
      <c r="T76" s="57"/>
    </row>
    <row r="77" spans="1:20" ht="15.75" x14ac:dyDescent="0.3">
      <c r="A77" s="57">
        <f t="shared" si="1"/>
        <v>50</v>
      </c>
      <c r="B77" s="287"/>
      <c r="C77" s="288"/>
      <c r="D77" s="288" t="s">
        <v>296</v>
      </c>
      <c r="E77" s="288"/>
      <c r="F77" s="288"/>
      <c r="G77" s="288"/>
      <c r="H77" s="57"/>
      <c r="I77" s="290"/>
      <c r="J77" s="57"/>
      <c r="K77" s="294">
        <v>0</v>
      </c>
      <c r="L77" s="288" t="s">
        <v>530</v>
      </c>
      <c r="M77" s="57"/>
      <c r="N77" s="57"/>
      <c r="O77" s="57"/>
      <c r="P77" s="57"/>
      <c r="Q77" s="57"/>
      <c r="R77" s="57"/>
      <c r="S77" s="57"/>
      <c r="T77" s="57"/>
    </row>
    <row r="78" spans="1:20" ht="15.75" x14ac:dyDescent="0.3">
      <c r="A78" s="57">
        <f t="shared" si="1"/>
        <v>51</v>
      </c>
      <c r="B78" s="287"/>
      <c r="C78" s="288"/>
      <c r="D78" s="288" t="s">
        <v>297</v>
      </c>
      <c r="E78" s="288"/>
      <c r="F78" s="288"/>
      <c r="G78" s="288"/>
      <c r="H78" s="57"/>
      <c r="I78" s="290"/>
      <c r="J78" s="57"/>
      <c r="K78" s="294">
        <v>0</v>
      </c>
      <c r="L78" s="288" t="s">
        <v>531</v>
      </c>
      <c r="M78" s="57"/>
      <c r="N78" s="57"/>
      <c r="O78" s="57"/>
      <c r="P78" s="57"/>
      <c r="Q78" s="57"/>
      <c r="R78" s="57"/>
      <c r="S78" s="57"/>
      <c r="T78" s="57"/>
    </row>
    <row r="79" spans="1:20" ht="15.75" x14ac:dyDescent="0.3">
      <c r="A79" s="57">
        <f t="shared" si="1"/>
        <v>52</v>
      </c>
      <c r="B79" s="287"/>
      <c r="C79" s="288"/>
      <c r="D79" s="288"/>
      <c r="E79" s="288" t="s">
        <v>298</v>
      </c>
      <c r="F79" s="288"/>
      <c r="G79" s="288"/>
      <c r="H79" s="57"/>
      <c r="I79" s="288"/>
      <c r="J79" s="57"/>
      <c r="K79" s="301">
        <f>SUM(K73:K78)</f>
        <v>0</v>
      </c>
      <c r="L79" s="302" t="s">
        <v>313</v>
      </c>
      <c r="M79" s="57"/>
      <c r="N79" s="57"/>
      <c r="O79" s="57"/>
      <c r="P79" s="57"/>
      <c r="Q79" s="57"/>
      <c r="R79" s="57"/>
      <c r="S79" s="57"/>
      <c r="T79" s="57"/>
    </row>
    <row r="80" spans="1:20" ht="15.75" x14ac:dyDescent="0.3">
      <c r="A80" s="57">
        <f t="shared" si="1"/>
        <v>53</v>
      </c>
      <c r="B80" s="287"/>
      <c r="C80" s="288"/>
      <c r="D80" s="288" t="s">
        <v>299</v>
      </c>
      <c r="E80" s="288"/>
      <c r="F80" s="288"/>
      <c r="G80" s="288"/>
      <c r="H80" s="57"/>
      <c r="I80" s="290"/>
      <c r="J80" s="57"/>
      <c r="K80" s="294">
        <v>0</v>
      </c>
      <c r="L80" s="288" t="s">
        <v>532</v>
      </c>
      <c r="M80" s="57"/>
      <c r="N80" s="57"/>
      <c r="O80" s="57"/>
      <c r="P80" s="57"/>
      <c r="Q80" s="57"/>
      <c r="R80" s="57"/>
      <c r="S80" s="57"/>
      <c r="T80" s="57"/>
    </row>
    <row r="81" spans="1:20" ht="15.75" x14ac:dyDescent="0.3">
      <c r="A81" s="57">
        <f t="shared" si="1"/>
        <v>54</v>
      </c>
      <c r="B81" s="287"/>
      <c r="C81" s="287" t="s">
        <v>597</v>
      </c>
      <c r="D81" s="287"/>
      <c r="E81" s="287"/>
      <c r="F81" s="287"/>
      <c r="G81" s="288"/>
      <c r="H81" s="57"/>
      <c r="I81" s="290"/>
      <c r="J81" s="57"/>
      <c r="K81" s="300"/>
      <c r="L81" s="288"/>
      <c r="M81" s="57"/>
      <c r="N81" s="57"/>
      <c r="O81" s="57"/>
      <c r="P81" s="57"/>
      <c r="Q81" s="57"/>
      <c r="R81" s="57"/>
      <c r="S81" s="57"/>
      <c r="T81" s="57"/>
    </row>
    <row r="82" spans="1:20" ht="15.75" x14ac:dyDescent="0.3">
      <c r="A82" s="57">
        <f t="shared" si="1"/>
        <v>55</v>
      </c>
      <c r="B82" s="287"/>
      <c r="C82" s="288"/>
      <c r="D82" s="288" t="s">
        <v>300</v>
      </c>
      <c r="E82" s="288"/>
      <c r="F82" s="288"/>
      <c r="G82" s="288"/>
      <c r="H82" s="57"/>
      <c r="I82" s="290"/>
      <c r="J82" s="57"/>
      <c r="K82" s="293">
        <v>753955000</v>
      </c>
      <c r="L82" s="288" t="s">
        <v>533</v>
      </c>
      <c r="M82" s="57"/>
      <c r="N82" s="57"/>
      <c r="O82" s="57"/>
      <c r="P82" s="57"/>
      <c r="Q82" s="57"/>
      <c r="R82" s="57"/>
      <c r="S82" s="57"/>
      <c r="T82" s="57"/>
    </row>
    <row r="83" spans="1:20" ht="15.75" x14ac:dyDescent="0.3">
      <c r="A83" s="57">
        <f t="shared" si="1"/>
        <v>56</v>
      </c>
      <c r="B83" s="287"/>
      <c r="C83" s="288"/>
      <c r="D83" s="288"/>
      <c r="E83" s="288" t="s">
        <v>301</v>
      </c>
      <c r="F83" s="288"/>
      <c r="G83" s="288"/>
      <c r="H83" s="57"/>
      <c r="I83" s="290"/>
      <c r="J83" s="57"/>
      <c r="K83" s="293">
        <v>0</v>
      </c>
      <c r="L83" s="288" t="s">
        <v>534</v>
      </c>
      <c r="M83" s="57"/>
      <c r="N83" s="57"/>
      <c r="O83" s="57"/>
      <c r="P83" s="57"/>
      <c r="Q83" s="57"/>
      <c r="R83" s="57"/>
      <c r="S83" s="57"/>
      <c r="T83" s="57"/>
    </row>
    <row r="84" spans="1:20" ht="15.75" x14ac:dyDescent="0.3">
      <c r="A84" s="57">
        <f t="shared" si="1"/>
        <v>57</v>
      </c>
      <c r="B84" s="287"/>
      <c r="C84" s="288"/>
      <c r="D84" s="288"/>
      <c r="E84" s="288" t="s">
        <v>302</v>
      </c>
      <c r="F84" s="288"/>
      <c r="G84" s="288"/>
      <c r="H84" s="57"/>
      <c r="I84" s="290"/>
      <c r="J84" s="57"/>
      <c r="K84" s="293">
        <f>(81081896+89668495)/2</f>
        <v>85375195.5</v>
      </c>
      <c r="L84" s="288" t="s">
        <v>598</v>
      </c>
      <c r="M84" s="57"/>
      <c r="N84" s="57"/>
      <c r="O84" s="57"/>
      <c r="P84" s="57"/>
      <c r="Q84" s="57"/>
      <c r="R84" s="57"/>
      <c r="S84" s="57"/>
      <c r="T84" s="57"/>
    </row>
    <row r="85" spans="1:20" ht="15.75" x14ac:dyDescent="0.3">
      <c r="A85" s="57">
        <f t="shared" si="1"/>
        <v>58</v>
      </c>
      <c r="B85" s="287"/>
      <c r="C85" s="288"/>
      <c r="D85" s="288"/>
      <c r="E85" s="288" t="s">
        <v>303</v>
      </c>
      <c r="F85" s="288"/>
      <c r="G85" s="288"/>
      <c r="H85" s="57"/>
      <c r="I85" s="290"/>
      <c r="J85" s="57"/>
      <c r="K85" s="297">
        <f>(-79010-0)/2</f>
        <v>-39505</v>
      </c>
      <c r="L85" s="289" t="s">
        <v>599</v>
      </c>
      <c r="M85" s="214"/>
      <c r="N85" s="214"/>
      <c r="O85" s="57"/>
      <c r="P85" s="57"/>
      <c r="Q85" s="57"/>
      <c r="R85" s="57"/>
      <c r="S85" s="57"/>
      <c r="T85" s="57"/>
    </row>
    <row r="86" spans="1:20" ht="15.75" x14ac:dyDescent="0.3">
      <c r="A86" s="57">
        <f t="shared" si="1"/>
        <v>59</v>
      </c>
      <c r="B86" s="287"/>
      <c r="C86" s="288"/>
      <c r="D86" s="288"/>
      <c r="E86" s="288"/>
      <c r="F86" s="288" t="s">
        <v>305</v>
      </c>
      <c r="G86" s="288"/>
      <c r="H86" s="57"/>
      <c r="I86" s="302"/>
      <c r="J86" s="58"/>
      <c r="K86" s="303">
        <f>K82-K83-K84+K85</f>
        <v>668540299.5</v>
      </c>
      <c r="L86" s="304" t="s">
        <v>314</v>
      </c>
      <c r="M86" s="304"/>
      <c r="N86" s="214"/>
      <c r="O86" s="57"/>
      <c r="P86" s="57"/>
      <c r="Q86" s="57"/>
      <c r="R86" s="57"/>
      <c r="S86" s="57"/>
      <c r="T86" s="57"/>
    </row>
    <row r="87" spans="1:20" ht="15.75" x14ac:dyDescent="0.3">
      <c r="A87" s="57">
        <f t="shared" si="1"/>
        <v>60</v>
      </c>
      <c r="B87" s="287"/>
      <c r="C87" s="305" t="s">
        <v>600</v>
      </c>
      <c r="D87" s="306"/>
      <c r="E87" s="306"/>
      <c r="F87" s="306"/>
      <c r="G87" s="288"/>
      <c r="H87" s="307"/>
      <c r="I87" s="307"/>
      <c r="J87" s="307"/>
      <c r="K87" s="288"/>
      <c r="L87" s="57"/>
      <c r="M87" s="57"/>
      <c r="N87" s="57"/>
      <c r="O87" s="57"/>
      <c r="P87" s="57"/>
      <c r="Q87" s="57"/>
      <c r="R87" s="57"/>
      <c r="S87" s="57"/>
      <c r="T87" s="57"/>
    </row>
    <row r="88" spans="1:20" ht="15.75" x14ac:dyDescent="0.3">
      <c r="A88" s="57">
        <f t="shared" si="1"/>
        <v>61</v>
      </c>
      <c r="B88" s="287"/>
      <c r="C88" s="288"/>
      <c r="D88" s="288"/>
      <c r="E88" s="288"/>
      <c r="F88" s="306" t="s">
        <v>441</v>
      </c>
      <c r="G88" s="288"/>
      <c r="H88" s="307"/>
      <c r="I88" s="307"/>
      <c r="J88" s="307"/>
      <c r="K88" s="288"/>
      <c r="L88" s="57"/>
      <c r="M88" s="57"/>
      <c r="N88" s="57"/>
      <c r="O88" s="57"/>
      <c r="P88" s="57"/>
      <c r="Q88" s="57"/>
      <c r="R88" s="57"/>
      <c r="S88" s="57"/>
      <c r="T88" s="57"/>
    </row>
    <row r="89" spans="1:20" ht="15.75" x14ac:dyDescent="0.3">
      <c r="A89" s="57">
        <f t="shared" si="1"/>
        <v>62</v>
      </c>
      <c r="B89" s="288"/>
      <c r="C89" s="288"/>
      <c r="D89" s="288"/>
      <c r="E89" s="288"/>
      <c r="F89" s="306" t="s">
        <v>442</v>
      </c>
      <c r="G89" s="306"/>
      <c r="H89" s="308"/>
      <c r="I89" s="308"/>
      <c r="J89" s="57"/>
      <c r="K89" s="57"/>
      <c r="L89" s="309" t="s">
        <v>315</v>
      </c>
      <c r="M89" s="57"/>
      <c r="N89" s="57"/>
      <c r="O89" s="57"/>
      <c r="P89" s="57"/>
      <c r="Q89" s="57"/>
      <c r="R89" s="57"/>
      <c r="S89" s="57"/>
      <c r="T89" s="57"/>
    </row>
    <row r="90" spans="1:20" ht="15.75" x14ac:dyDescent="0.3">
      <c r="A90" s="57">
        <f t="shared" si="1"/>
        <v>63</v>
      </c>
      <c r="B90" s="288"/>
      <c r="C90" s="288"/>
      <c r="D90" s="288"/>
      <c r="E90" s="288"/>
      <c r="F90" s="306" t="s">
        <v>304</v>
      </c>
      <c r="G90" s="57"/>
      <c r="H90" s="57"/>
      <c r="I90" s="310">
        <v>0.1057</v>
      </c>
      <c r="J90" s="311"/>
      <c r="K90" s="312"/>
      <c r="L90" s="207" t="s">
        <v>549</v>
      </c>
      <c r="M90" s="57"/>
      <c r="N90" s="57"/>
      <c r="O90" s="57"/>
      <c r="P90" s="57"/>
      <c r="Q90" s="57"/>
      <c r="R90" s="57"/>
      <c r="S90" s="57"/>
      <c r="T90" s="57"/>
    </row>
    <row r="91" spans="1:20" ht="15.75" x14ac:dyDescent="0.3">
      <c r="A91" s="57">
        <f t="shared" si="1"/>
        <v>64</v>
      </c>
      <c r="B91" s="288"/>
      <c r="C91" s="288" t="s">
        <v>328</v>
      </c>
      <c r="D91" s="57"/>
      <c r="E91" s="288"/>
      <c r="F91" s="288"/>
      <c r="G91" s="306"/>
      <c r="H91" s="308"/>
      <c r="I91" s="308"/>
      <c r="J91" s="313"/>
      <c r="K91" s="306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5.75" x14ac:dyDescent="0.3">
      <c r="A92" s="57">
        <f>1+A91</f>
        <v>65</v>
      </c>
      <c r="B92" s="57"/>
      <c r="C92" s="207" t="s">
        <v>326</v>
      </c>
      <c r="D92" s="288"/>
      <c r="E92" s="288"/>
      <c r="F92" s="288"/>
      <c r="G92" s="112"/>
      <c r="H92" s="291"/>
      <c r="I92" s="288"/>
      <c r="J92" s="308"/>
      <c r="K92" s="306"/>
      <c r="L92" s="57"/>
      <c r="M92" s="57"/>
      <c r="N92" s="57"/>
      <c r="O92" s="57"/>
      <c r="P92" s="57"/>
      <c r="Q92" s="57"/>
      <c r="R92" s="57"/>
      <c r="S92" s="57"/>
      <c r="T92" s="57"/>
    </row>
    <row r="93" spans="1:20" x14ac:dyDescent="0.25">
      <c r="A93" s="74"/>
      <c r="B93" s="71"/>
      <c r="C93" s="75"/>
      <c r="D93" s="71"/>
      <c r="E93" s="71"/>
      <c r="F93" s="71"/>
      <c r="G93" s="71"/>
      <c r="H93" s="71"/>
      <c r="I93" s="71"/>
      <c r="J93" s="71"/>
      <c r="K93" s="71"/>
    </row>
  </sheetData>
  <customSheetViews>
    <customSheetView guid="{64F6106B-9E0C-489A-BDF0-E26F35DDE29F}" scale="75" showPageBreaks="1" showGridLines="0" fitToPage="1" printArea="1" topLeftCell="A16">
      <selection activeCell="B36" sqref="B36"/>
      <pageMargins left="0.41" right="0" top="0.5" bottom="0" header="0.5" footer="0.25"/>
      <pageSetup scale="65" orientation="landscape" r:id="rId1"/>
      <headerFooter alignWithMargins="0"/>
    </customSheetView>
  </customSheetViews>
  <phoneticPr fontId="0" type="noConversion"/>
  <pageMargins left="0.41" right="0" top="0.5" bottom="0" header="0.5" footer="0.25"/>
  <pageSetup scale="48" orientation="portrait" r:id="rId2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9"/>
  <sheetViews>
    <sheetView showGridLines="0" topLeftCell="A4" zoomScaleNormal="100" workbookViewId="0">
      <selection activeCell="C26" sqref="C26"/>
    </sheetView>
  </sheetViews>
  <sheetFormatPr defaultRowHeight="15" x14ac:dyDescent="0.2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32.85546875" style="3" bestFit="1" customWidth="1"/>
    <col min="8" max="8" width="9.140625" style="3"/>
    <col min="9" max="9" width="15.5703125" style="3" bestFit="1" customWidth="1"/>
    <col min="10" max="16384" width="9.140625" style="3"/>
  </cols>
  <sheetData>
    <row r="5" spans="1:9" ht="19.5" x14ac:dyDescent="0.35">
      <c r="B5" s="43" t="s">
        <v>110</v>
      </c>
      <c r="D5" s="57"/>
    </row>
    <row r="6" spans="1:9" x14ac:dyDescent="0.25">
      <c r="A6" s="2"/>
      <c r="B6" s="19" t="s">
        <v>128</v>
      </c>
      <c r="D6" s="42"/>
      <c r="E6" s="42"/>
      <c r="F6" s="42"/>
      <c r="G6" s="5" t="s">
        <v>111</v>
      </c>
    </row>
    <row r="7" spans="1:9" x14ac:dyDescent="0.25">
      <c r="B7" s="44" t="str">
        <f>+Allocation!B6</f>
        <v>2017 FORECAST</v>
      </c>
      <c r="G7" s="5" t="s">
        <v>179</v>
      </c>
    </row>
    <row r="8" spans="1:9" x14ac:dyDescent="0.25">
      <c r="B8" s="44" t="str">
        <f>+Allocation!B7</f>
        <v>12-15-2016 Posting</v>
      </c>
      <c r="G8" s="5" t="s">
        <v>431</v>
      </c>
    </row>
    <row r="9" spans="1:9" x14ac:dyDescent="0.25">
      <c r="A9" s="42"/>
    </row>
    <row r="10" spans="1:9" x14ac:dyDescent="0.25">
      <c r="A10" s="5"/>
      <c r="C10" s="22" t="s">
        <v>66</v>
      </c>
      <c r="D10" s="22" t="s">
        <v>62</v>
      </c>
      <c r="F10" s="25" t="s">
        <v>64</v>
      </c>
    </row>
    <row r="11" spans="1:9" x14ac:dyDescent="0.25">
      <c r="A11" s="10"/>
      <c r="D11" s="19" t="s">
        <v>63</v>
      </c>
      <c r="E11" s="7"/>
      <c r="G11" s="7"/>
      <c r="H11" s="7"/>
      <c r="I11" s="7"/>
    </row>
    <row r="12" spans="1:9" x14ac:dyDescent="0.25">
      <c r="A12" s="5" t="s">
        <v>65</v>
      </c>
      <c r="D12" s="19" t="s">
        <v>67</v>
      </c>
      <c r="F12" s="26" t="s">
        <v>68</v>
      </c>
      <c r="G12" s="26" t="s">
        <v>69</v>
      </c>
    </row>
    <row r="13" spans="1:9" x14ac:dyDescent="0.25">
      <c r="A13" s="6" t="s">
        <v>70</v>
      </c>
      <c r="C13" s="27" t="s">
        <v>71</v>
      </c>
      <c r="D13" s="27" t="s">
        <v>72</v>
      </c>
      <c r="F13" s="27" t="s">
        <v>73</v>
      </c>
      <c r="G13" s="27" t="s">
        <v>74</v>
      </c>
    </row>
    <row r="14" spans="1:9" x14ac:dyDescent="0.25">
      <c r="B14" s="11" t="s">
        <v>9</v>
      </c>
    </row>
    <row r="15" spans="1:9" x14ac:dyDescent="0.25">
      <c r="A15" s="3">
        <v>1</v>
      </c>
      <c r="B15" s="3" t="s">
        <v>9</v>
      </c>
      <c r="C15" s="85">
        <f>+'13 mo avg plant'!C29</f>
        <v>219516014.84615386</v>
      </c>
      <c r="D15" s="28">
        <f>+Allocation!D$47</f>
        <v>0.79435397443946021</v>
      </c>
      <c r="E15" s="3" t="s">
        <v>3</v>
      </c>
      <c r="F15" s="53">
        <f>ROUND(C15*D15,0)</f>
        <v>174373419</v>
      </c>
      <c r="G15" s="63" t="s">
        <v>368</v>
      </c>
    </row>
    <row r="16" spans="1:9" x14ac:dyDescent="0.25">
      <c r="A16" s="3">
        <f>1+A15</f>
        <v>2</v>
      </c>
      <c r="B16" s="3" t="s">
        <v>11</v>
      </c>
      <c r="C16" s="84">
        <f>+'13 mo avg plant'!C46</f>
        <v>134653264.77230769</v>
      </c>
      <c r="D16" s="28">
        <f>+Allocation!$D$24</f>
        <v>2.9416207012306884E-2</v>
      </c>
      <c r="E16" s="3" t="s">
        <v>1</v>
      </c>
      <c r="F16" s="29">
        <f>ROUND(C16*D16,0)</f>
        <v>3960988</v>
      </c>
      <c r="G16" s="3" t="s">
        <v>371</v>
      </c>
    </row>
    <row r="17" spans="1:7" ht="15.75" thickBot="1" x14ac:dyDescent="0.3">
      <c r="A17" s="3">
        <f t="shared" ref="A17:A47" si="0">1+A16</f>
        <v>3</v>
      </c>
      <c r="B17" s="3" t="s">
        <v>75</v>
      </c>
      <c r="C17" s="37"/>
      <c r="F17" s="54">
        <f>F15+F16</f>
        <v>178334407</v>
      </c>
    </row>
    <row r="18" spans="1:7" ht="15.75" thickTop="1" x14ac:dyDescent="0.25">
      <c r="C18" s="37"/>
      <c r="F18" s="13"/>
    </row>
    <row r="19" spans="1:7" x14ac:dyDescent="0.25">
      <c r="A19" s="3">
        <v>4</v>
      </c>
      <c r="B19" s="30" t="s">
        <v>76</v>
      </c>
      <c r="C19" s="78"/>
      <c r="F19" s="14"/>
    </row>
    <row r="20" spans="1:7" x14ac:dyDescent="0.25">
      <c r="A20" s="3">
        <f t="shared" si="0"/>
        <v>5</v>
      </c>
      <c r="B20" s="3" t="s">
        <v>77</v>
      </c>
      <c r="C20" s="84">
        <f>+'13 mo avg accu dep'!C29</f>
        <v>64333226.192307696</v>
      </c>
      <c r="D20" s="28">
        <f>+Allocation!D$47</f>
        <v>0.79435397443946021</v>
      </c>
      <c r="E20" s="3" t="s">
        <v>3</v>
      </c>
      <c r="F20" s="14">
        <f>ROUND(C20*D20,0)</f>
        <v>51103354</v>
      </c>
      <c r="G20" s="3" t="s">
        <v>370</v>
      </c>
    </row>
    <row r="21" spans="1:7" x14ac:dyDescent="0.25">
      <c r="A21" s="3">
        <f t="shared" si="0"/>
        <v>6</v>
      </c>
      <c r="B21" s="3" t="s">
        <v>78</v>
      </c>
      <c r="C21" s="84">
        <f>+'13 mo avg accu dep'!C46</f>
        <v>39329820.212307706</v>
      </c>
      <c r="D21" s="28">
        <f>+Allocation!$D$24</f>
        <v>2.9416207012306884E-2</v>
      </c>
      <c r="E21" s="3" t="s">
        <v>1</v>
      </c>
      <c r="F21" s="29">
        <f>ROUND(C21*D21,0)</f>
        <v>1156934</v>
      </c>
      <c r="G21" s="3" t="s">
        <v>372</v>
      </c>
    </row>
    <row r="22" spans="1:7" ht="15.75" thickBot="1" x14ac:dyDescent="0.3">
      <c r="A22" s="3">
        <f t="shared" si="0"/>
        <v>7</v>
      </c>
      <c r="B22" s="3" t="s">
        <v>196</v>
      </c>
      <c r="C22" s="37"/>
      <c r="D22" s="28"/>
      <c r="F22" s="54">
        <f>F20+F21</f>
        <v>52260288</v>
      </c>
    </row>
    <row r="23" spans="1:7" ht="15.75" thickTop="1" x14ac:dyDescent="0.25">
      <c r="C23" s="37"/>
      <c r="D23" s="28"/>
      <c r="F23" s="14"/>
    </row>
    <row r="24" spans="1:7" x14ac:dyDescent="0.25">
      <c r="A24" s="3">
        <v>8</v>
      </c>
      <c r="B24" s="11" t="s">
        <v>79</v>
      </c>
      <c r="C24" s="78"/>
      <c r="F24" s="13"/>
    </row>
    <row r="25" spans="1:7" x14ac:dyDescent="0.25">
      <c r="A25" s="3">
        <f t="shared" si="0"/>
        <v>9</v>
      </c>
      <c r="B25" s="23" t="s">
        <v>156</v>
      </c>
      <c r="C25" s="84">
        <v>0</v>
      </c>
      <c r="D25" s="28">
        <f>+Allocation!$D$40</f>
        <v>0.102147</v>
      </c>
      <c r="E25" s="3" t="s">
        <v>2</v>
      </c>
      <c r="F25" s="14">
        <f>ROUND(C25*D25,0)</f>
        <v>0</v>
      </c>
      <c r="G25" s="3" t="s">
        <v>373</v>
      </c>
    </row>
    <row r="26" spans="1:7" x14ac:dyDescent="0.25">
      <c r="A26" s="3">
        <f t="shared" si="0"/>
        <v>10</v>
      </c>
      <c r="B26" s="23" t="s">
        <v>154</v>
      </c>
      <c r="C26" s="84">
        <f>-ADIT!E88</f>
        <v>344291025</v>
      </c>
      <c r="D26" s="28">
        <f>+Allocation!$D$40</f>
        <v>0.102147</v>
      </c>
      <c r="E26" s="3" t="s">
        <v>2</v>
      </c>
      <c r="F26" s="14">
        <f>ROUND(C26*D26,0)</f>
        <v>35168295</v>
      </c>
      <c r="G26" s="3" t="s">
        <v>373</v>
      </c>
    </row>
    <row r="27" spans="1:7" x14ac:dyDescent="0.25">
      <c r="A27" s="3">
        <f t="shared" si="0"/>
        <v>11</v>
      </c>
      <c r="B27" s="23" t="s">
        <v>155</v>
      </c>
      <c r="C27" s="84">
        <f>-ADIT!E105</f>
        <v>0</v>
      </c>
      <c r="D27" s="28">
        <f>+Allocation!$D$40</f>
        <v>0.102147</v>
      </c>
      <c r="E27" s="3" t="s">
        <v>2</v>
      </c>
      <c r="F27" s="14">
        <f>ROUND(C27*D27,0)</f>
        <v>0</v>
      </c>
      <c r="G27" s="3" t="s">
        <v>373</v>
      </c>
    </row>
    <row r="28" spans="1:7" x14ac:dyDescent="0.25">
      <c r="A28" s="3">
        <f t="shared" si="0"/>
        <v>12</v>
      </c>
      <c r="B28" s="3" t="s">
        <v>80</v>
      </c>
      <c r="C28" s="84">
        <f>-ADIT!E122</f>
        <v>0</v>
      </c>
      <c r="D28" s="28">
        <f>+Allocation!$D$40</f>
        <v>0.102147</v>
      </c>
      <c r="E28" s="3" t="s">
        <v>2</v>
      </c>
      <c r="F28" s="37">
        <f>ROUND(C28*D28,0)</f>
        <v>0</v>
      </c>
      <c r="G28" s="3" t="s">
        <v>373</v>
      </c>
    </row>
    <row r="29" spans="1:7" ht="15.75" thickBot="1" x14ac:dyDescent="0.3">
      <c r="A29" s="3">
        <f t="shared" si="0"/>
        <v>13</v>
      </c>
      <c r="B29" s="3" t="s">
        <v>197</v>
      </c>
      <c r="C29" s="34">
        <f>SUM(C25:C28)</f>
        <v>344291025</v>
      </c>
      <c r="F29" s="55">
        <f>ROUND(+C29*D28,0)</f>
        <v>35168295</v>
      </c>
    </row>
    <row r="30" spans="1:7" ht="15.75" thickTop="1" x14ac:dyDescent="0.25">
      <c r="C30" s="14"/>
      <c r="F30" s="13"/>
    </row>
    <row r="31" spans="1:7" x14ac:dyDescent="0.25">
      <c r="A31" s="3">
        <v>14</v>
      </c>
      <c r="B31" s="11" t="s">
        <v>81</v>
      </c>
      <c r="C31" s="84">
        <f>+'165 Prepayment'!E34</f>
        <v>7844075.5438461527</v>
      </c>
      <c r="D31" s="28">
        <f>+Allocation!$D$24</f>
        <v>2.9416207012306884E-2</v>
      </c>
      <c r="E31" s="3" t="s">
        <v>1</v>
      </c>
      <c r="F31" s="13">
        <f>ROUND(C31*D31,0)</f>
        <v>230743</v>
      </c>
      <c r="G31" s="3" t="s">
        <v>374</v>
      </c>
    </row>
    <row r="32" spans="1:7" x14ac:dyDescent="0.25">
      <c r="C32" s="37"/>
    </row>
    <row r="33" spans="1:7" ht="15.75" x14ac:dyDescent="0.3">
      <c r="A33" s="3">
        <v>15</v>
      </c>
      <c r="B33" s="30" t="s">
        <v>82</v>
      </c>
      <c r="C33" s="190">
        <f>AVERAGE(38210,114713)</f>
        <v>76461.5</v>
      </c>
      <c r="D33" s="28">
        <f>+Allocation!D$47</f>
        <v>0.79435397443946021</v>
      </c>
      <c r="E33" s="3" t="s">
        <v>3</v>
      </c>
      <c r="F33" s="14">
        <f>ROUND(C33*D33,0)</f>
        <v>60737</v>
      </c>
      <c r="G33" s="57" t="s">
        <v>460</v>
      </c>
    </row>
    <row r="34" spans="1:7" x14ac:dyDescent="0.25">
      <c r="C34" s="13"/>
      <c r="D34" s="28"/>
      <c r="F34" s="14"/>
    </row>
    <row r="35" spans="1:7" x14ac:dyDescent="0.25">
      <c r="A35" s="3">
        <v>16</v>
      </c>
      <c r="B35" s="11" t="s">
        <v>19</v>
      </c>
      <c r="C35" s="13"/>
      <c r="F35" s="13"/>
    </row>
    <row r="36" spans="1:7" x14ac:dyDescent="0.25">
      <c r="A36" s="3">
        <f t="shared" si="0"/>
        <v>17</v>
      </c>
      <c r="B36" s="32" t="s">
        <v>31</v>
      </c>
      <c r="C36" s="13"/>
      <c r="F36" s="50">
        <f>+'4 Expense'!F31</f>
        <v>7522656</v>
      </c>
      <c r="G36" s="42" t="s">
        <v>169</v>
      </c>
    </row>
    <row r="37" spans="1:7" x14ac:dyDescent="0.25">
      <c r="A37" s="3">
        <f t="shared" si="0"/>
        <v>18</v>
      </c>
      <c r="B37" s="32" t="s">
        <v>33</v>
      </c>
      <c r="C37" s="18"/>
      <c r="F37" s="51">
        <f>+'4 Expense'!F40</f>
        <v>1267516</v>
      </c>
      <c r="G37" s="42" t="s">
        <v>170</v>
      </c>
    </row>
    <row r="38" spans="1:7" x14ac:dyDescent="0.25">
      <c r="A38" s="3">
        <f t="shared" si="0"/>
        <v>19</v>
      </c>
      <c r="B38" s="3" t="s">
        <v>198</v>
      </c>
      <c r="F38" s="56">
        <f>SUM(F36:F37)</f>
        <v>8790172</v>
      </c>
      <c r="G38" s="42"/>
    </row>
    <row r="39" spans="1:7" x14ac:dyDescent="0.25">
      <c r="A39" s="3">
        <f t="shared" si="0"/>
        <v>20</v>
      </c>
      <c r="B39" s="3" t="s">
        <v>153</v>
      </c>
      <c r="C39" s="13"/>
      <c r="F39" s="52">
        <f>45/360</f>
        <v>0.125</v>
      </c>
      <c r="G39" s="49" t="s">
        <v>323</v>
      </c>
    </row>
    <row r="40" spans="1:7" x14ac:dyDescent="0.25">
      <c r="A40" s="3">
        <f t="shared" si="0"/>
        <v>21</v>
      </c>
      <c r="B40" s="3" t="s">
        <v>199</v>
      </c>
      <c r="C40" s="13"/>
      <c r="F40" s="56">
        <f>ROUND(+F38*F39,4)</f>
        <v>1098771.5</v>
      </c>
      <c r="G40" s="42"/>
    </row>
    <row r="41" spans="1:7" x14ac:dyDescent="0.25">
      <c r="C41" s="13"/>
      <c r="F41" s="113"/>
    </row>
    <row r="42" spans="1:7" x14ac:dyDescent="0.25">
      <c r="C42" s="13"/>
      <c r="F42" s="14"/>
    </row>
    <row r="43" spans="1:7" x14ac:dyDescent="0.25">
      <c r="B43" s="11"/>
      <c r="C43" s="13"/>
      <c r="F43" s="13"/>
    </row>
    <row r="44" spans="1:7" x14ac:dyDescent="0.25">
      <c r="A44" s="3">
        <v>22</v>
      </c>
      <c r="B44" s="11" t="s">
        <v>119</v>
      </c>
      <c r="C44" s="13"/>
      <c r="F44" s="13"/>
    </row>
    <row r="45" spans="1:7" x14ac:dyDescent="0.25">
      <c r="A45" s="3">
        <f t="shared" si="0"/>
        <v>23</v>
      </c>
      <c r="B45" s="3" t="str">
        <f>+Allocation!B24</f>
        <v>(a) Transmission Wages and Salaries Allocation Factor</v>
      </c>
      <c r="C45" s="14"/>
      <c r="F45" s="13"/>
    </row>
    <row r="46" spans="1:7" x14ac:dyDescent="0.25">
      <c r="A46" s="3">
        <f t="shared" si="0"/>
        <v>24</v>
      </c>
      <c r="B46" s="3" t="str">
        <f>+Allocation!B40</f>
        <v>(b) Total Transmission Plant Allocation Factor</v>
      </c>
      <c r="C46" s="14"/>
      <c r="F46" s="13"/>
    </row>
    <row r="47" spans="1:7" x14ac:dyDescent="0.25">
      <c r="A47" s="3">
        <f t="shared" si="0"/>
        <v>25</v>
      </c>
      <c r="B47" s="3" t="str">
        <f>+Allocation!B47</f>
        <v>(c) Network Transmission Plant Allocation Factor</v>
      </c>
      <c r="C47" s="14"/>
      <c r="F47" s="13"/>
    </row>
    <row r="48" spans="1:7" x14ac:dyDescent="0.25">
      <c r="C48" s="14"/>
      <c r="F48" s="13"/>
    </row>
    <row r="49" spans="3:6" x14ac:dyDescent="0.25">
      <c r="C49" s="13"/>
      <c r="F49" s="13"/>
    </row>
    <row r="50" spans="3:6" x14ac:dyDescent="0.25">
      <c r="C50" s="13"/>
      <c r="F50" s="13"/>
    </row>
    <row r="51" spans="3:6" x14ac:dyDescent="0.25">
      <c r="C51" s="13"/>
      <c r="F51" s="13"/>
    </row>
    <row r="52" spans="3:6" x14ac:dyDescent="0.25">
      <c r="C52" s="13"/>
      <c r="F52" s="13"/>
    </row>
    <row r="53" spans="3:6" x14ac:dyDescent="0.25">
      <c r="F53" s="13"/>
    </row>
    <row r="54" spans="3:6" x14ac:dyDescent="0.25">
      <c r="F54" s="13"/>
    </row>
    <row r="55" spans="3:6" x14ac:dyDescent="0.25">
      <c r="F55" s="13"/>
    </row>
    <row r="56" spans="3:6" x14ac:dyDescent="0.25">
      <c r="F56" s="13"/>
    </row>
    <row r="57" spans="3:6" x14ac:dyDescent="0.25">
      <c r="F57" s="13"/>
    </row>
    <row r="58" spans="3:6" x14ac:dyDescent="0.25">
      <c r="F58" s="13"/>
    </row>
    <row r="59" spans="3:6" x14ac:dyDescent="0.25">
      <c r="F59" s="13"/>
    </row>
  </sheetData>
  <customSheetViews>
    <customSheetView guid="{64F6106B-9E0C-489A-BDF0-E26F35DDE29F}" showPageBreaks="1" showGridLines="0" fitToPage="1" printArea="1" topLeftCell="A15">
      <selection activeCell="G38" sqref="G38"/>
      <pageMargins left="0" right="0" top="0.27" bottom="0" header="0.17" footer="0.19"/>
      <pageSetup scale="71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27" bottom="0" header="0.17" footer="0.19"/>
  <pageSetup scale="70" orientation="portrait" horizontalDpi="300" verticalDpi="300" r:id="rId2"/>
  <headerFooter alignWithMargins="0">
    <oddFooter xml:space="preserve">&amp;C
</oddFooter>
  </headerFooter>
  <ignoredErrors>
    <ignoredError sqref="C10: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showGridLines="0" zoomScaleNormal="100" zoomScaleSheetLayoutView="100" workbookViewId="0">
      <selection activeCell="B2" sqref="B2"/>
    </sheetView>
  </sheetViews>
  <sheetFormatPr defaultColWidth="6.7109375" defaultRowHeight="15" x14ac:dyDescent="0.25"/>
  <cols>
    <col min="1" max="1" width="6.7109375" style="3" customWidth="1"/>
    <col min="2" max="2" width="75.7109375" style="3" customWidth="1"/>
    <col min="3" max="3" width="17.140625" style="3" bestFit="1" customWidth="1"/>
    <col min="4" max="4" width="16.85546875" style="3" bestFit="1" customWidth="1"/>
    <col min="5" max="5" width="6.7109375" style="3" customWidth="1"/>
    <col min="6" max="6" width="18.28515625" style="3" bestFit="1" customWidth="1"/>
    <col min="7" max="7" width="9.42578125" style="3" customWidth="1"/>
    <col min="8" max="8" width="7.85546875" style="3" customWidth="1"/>
    <col min="9" max="16384" width="6.7109375" style="3"/>
  </cols>
  <sheetData>
    <row r="5" spans="1:10" ht="19.5" x14ac:dyDescent="0.35">
      <c r="B5" s="43" t="s">
        <v>110</v>
      </c>
      <c r="C5" s="57"/>
    </row>
    <row r="6" spans="1:10" x14ac:dyDescent="0.25">
      <c r="B6" s="19" t="s">
        <v>129</v>
      </c>
    </row>
    <row r="7" spans="1:10" x14ac:dyDescent="0.25">
      <c r="A7" s="2"/>
      <c r="B7" s="44" t="str">
        <f>+Allocation!B6</f>
        <v>2017 FORECAST</v>
      </c>
      <c r="E7" s="42"/>
      <c r="F7" s="42"/>
      <c r="G7" s="42"/>
    </row>
    <row r="8" spans="1:10" x14ac:dyDescent="0.25">
      <c r="A8" s="2"/>
      <c r="B8" s="44" t="str">
        <f>+Allocation!B7</f>
        <v>12-15-2016 Posting</v>
      </c>
      <c r="E8" s="42"/>
      <c r="F8" s="42"/>
      <c r="G8" s="42"/>
      <c r="H8" s="5" t="s">
        <v>111</v>
      </c>
    </row>
    <row r="9" spans="1:10" x14ac:dyDescent="0.25">
      <c r="A9" s="2"/>
      <c r="B9" s="44"/>
      <c r="E9" s="42"/>
      <c r="F9" s="42"/>
      <c r="G9" s="42"/>
      <c r="H9" s="5" t="s">
        <v>179</v>
      </c>
    </row>
    <row r="10" spans="1:10" x14ac:dyDescent="0.25">
      <c r="H10" s="5" t="s">
        <v>432</v>
      </c>
    </row>
    <row r="11" spans="1:10" x14ac:dyDescent="0.25">
      <c r="A11" s="5"/>
      <c r="D11" s="22"/>
    </row>
    <row r="12" spans="1:10" x14ac:dyDescent="0.25">
      <c r="A12" s="5"/>
      <c r="C12" s="22" t="s">
        <v>66</v>
      </c>
      <c r="D12" s="22" t="s">
        <v>62</v>
      </c>
      <c r="F12" s="25" t="s">
        <v>64</v>
      </c>
    </row>
    <row r="13" spans="1:10" x14ac:dyDescent="0.25">
      <c r="A13" s="10"/>
      <c r="D13" s="19" t="s">
        <v>63</v>
      </c>
      <c r="E13" s="7"/>
      <c r="F13" s="25"/>
      <c r="G13" s="7"/>
      <c r="H13" s="7"/>
      <c r="I13" s="7"/>
      <c r="J13" s="7"/>
    </row>
    <row r="14" spans="1:10" x14ac:dyDescent="0.25">
      <c r="A14" s="5" t="s">
        <v>65</v>
      </c>
      <c r="C14" s="22"/>
      <c r="D14" s="19" t="s">
        <v>67</v>
      </c>
      <c r="F14" s="26" t="s">
        <v>68</v>
      </c>
      <c r="H14" s="26" t="s">
        <v>69</v>
      </c>
    </row>
    <row r="15" spans="1:10" x14ac:dyDescent="0.25">
      <c r="A15" s="6" t="s">
        <v>70</v>
      </c>
      <c r="C15" s="27" t="s">
        <v>71</v>
      </c>
      <c r="D15" s="27" t="s">
        <v>72</v>
      </c>
      <c r="F15" s="27" t="s">
        <v>73</v>
      </c>
      <c r="H15" s="27" t="s">
        <v>74</v>
      </c>
    </row>
    <row r="16" spans="1:10" x14ac:dyDescent="0.25">
      <c r="B16" s="11" t="s">
        <v>24</v>
      </c>
    </row>
    <row r="17" spans="1:8" x14ac:dyDescent="0.25">
      <c r="A17" s="3">
        <v>1</v>
      </c>
      <c r="B17" s="3" t="s">
        <v>270</v>
      </c>
      <c r="C17" s="194">
        <v>3960745</v>
      </c>
      <c r="D17" s="28">
        <f>+Allocation!D$47</f>
        <v>0.79435397443946021</v>
      </c>
      <c r="E17" s="3" t="s">
        <v>3</v>
      </c>
      <c r="F17" s="45">
        <f>ROUND(C17*D17,0)</f>
        <v>3146234</v>
      </c>
      <c r="H17" s="3" t="s">
        <v>536</v>
      </c>
    </row>
    <row r="18" spans="1:8" x14ac:dyDescent="0.25">
      <c r="A18" s="3">
        <f>1+A17</f>
        <v>2</v>
      </c>
      <c r="B18" s="3" t="s">
        <v>83</v>
      </c>
      <c r="C18" s="191">
        <v>7309249</v>
      </c>
      <c r="D18" s="28">
        <f>+Allocation!$D$24</f>
        <v>2.9416207012306884E-2</v>
      </c>
      <c r="E18" s="3" t="s">
        <v>1</v>
      </c>
      <c r="F18" s="29">
        <f>ROUND(C18*D18,0)</f>
        <v>215010</v>
      </c>
      <c r="H18" s="3" t="s">
        <v>537</v>
      </c>
    </row>
    <row r="19" spans="1:8" x14ac:dyDescent="0.25">
      <c r="A19" s="3">
        <f t="shared" ref="A19:A67" si="0">1+A18</f>
        <v>3</v>
      </c>
      <c r="B19" s="3" t="s">
        <v>75</v>
      </c>
      <c r="C19" s="161"/>
      <c r="F19" s="45">
        <f>F17+F18</f>
        <v>3361244</v>
      </c>
    </row>
    <row r="20" spans="1:8" x14ac:dyDescent="0.25">
      <c r="C20" s="133"/>
      <c r="F20" s="13"/>
    </row>
    <row r="21" spans="1:8" ht="15.75" x14ac:dyDescent="0.3">
      <c r="A21" s="3">
        <v>4</v>
      </c>
      <c r="B21" s="30" t="s">
        <v>84</v>
      </c>
      <c r="C21" s="191">
        <v>259796</v>
      </c>
      <c r="D21" s="28">
        <f>+Allocation!$D$40</f>
        <v>0.102147</v>
      </c>
      <c r="E21" s="3" t="s">
        <v>2</v>
      </c>
      <c r="F21" s="13">
        <f>ROUND(C21*D21,0)</f>
        <v>26537</v>
      </c>
      <c r="H21" s="3" t="s">
        <v>588</v>
      </c>
    </row>
    <row r="22" spans="1:8" x14ac:dyDescent="0.25">
      <c r="C22" s="41"/>
      <c r="F22" s="13"/>
    </row>
    <row r="23" spans="1:8" x14ac:dyDescent="0.25">
      <c r="A23" s="3">
        <v>5</v>
      </c>
      <c r="B23" s="11" t="s">
        <v>112</v>
      </c>
      <c r="C23" s="134"/>
      <c r="D23" s="28"/>
      <c r="F23" s="29"/>
      <c r="H23" s="23"/>
    </row>
    <row r="24" spans="1:8" x14ac:dyDescent="0.25">
      <c r="A24" s="3">
        <f t="shared" si="0"/>
        <v>6</v>
      </c>
      <c r="B24" s="3" t="s">
        <v>85</v>
      </c>
      <c r="C24" s="147">
        <f>+C65</f>
        <v>25006633</v>
      </c>
      <c r="D24" s="28">
        <f>+Allocation!$D$40</f>
        <v>0.102147</v>
      </c>
      <c r="E24" s="3" t="s">
        <v>2</v>
      </c>
      <c r="F24" s="13">
        <f>ROUND(C24*D24,0)</f>
        <v>2554353</v>
      </c>
      <c r="H24" s="23" t="s">
        <v>538</v>
      </c>
    </row>
    <row r="25" spans="1:8" x14ac:dyDescent="0.25">
      <c r="C25" s="135"/>
      <c r="F25" s="13"/>
    </row>
    <row r="26" spans="1:8" x14ac:dyDescent="0.25">
      <c r="A26" s="3">
        <v>8</v>
      </c>
      <c r="B26" s="11" t="s">
        <v>86</v>
      </c>
      <c r="C26" s="41"/>
      <c r="F26" s="13"/>
    </row>
    <row r="27" spans="1:8" x14ac:dyDescent="0.25">
      <c r="A27" s="3">
        <f t="shared" si="0"/>
        <v>9</v>
      </c>
      <c r="B27" s="3" t="s">
        <v>87</v>
      </c>
      <c r="C27" s="192">
        <v>96662071</v>
      </c>
      <c r="D27" s="18"/>
      <c r="F27" s="45"/>
      <c r="H27" s="3" t="s">
        <v>539</v>
      </c>
    </row>
    <row r="28" spans="1:8" x14ac:dyDescent="0.25">
      <c r="A28" s="3">
        <f t="shared" si="0"/>
        <v>10</v>
      </c>
      <c r="B28" s="3" t="s">
        <v>125</v>
      </c>
      <c r="C28" s="190">
        <v>88675587</v>
      </c>
      <c r="D28" s="18"/>
      <c r="F28" s="13"/>
      <c r="H28" s="3" t="s">
        <v>540</v>
      </c>
    </row>
    <row r="29" spans="1:8" x14ac:dyDescent="0.25">
      <c r="A29" s="3">
        <f t="shared" si="0"/>
        <v>11</v>
      </c>
      <c r="B29" s="3" t="s">
        <v>327</v>
      </c>
      <c r="C29" s="208">
        <f>+Rates!E41</f>
        <v>2535324</v>
      </c>
      <c r="D29" s="18"/>
      <c r="F29" s="13"/>
      <c r="H29" s="3" t="s">
        <v>440</v>
      </c>
    </row>
    <row r="30" spans="1:8" x14ac:dyDescent="0.25">
      <c r="A30" s="3">
        <f t="shared" si="0"/>
        <v>12</v>
      </c>
      <c r="B30" s="3" t="s">
        <v>157</v>
      </c>
      <c r="C30" s="190">
        <f>5326985-1544993+220984+16020</f>
        <v>4018996</v>
      </c>
      <c r="D30" s="210"/>
      <c r="F30" s="14"/>
      <c r="H30" s="42" t="s">
        <v>466</v>
      </c>
    </row>
    <row r="31" spans="1:8" ht="12.75" customHeight="1" thickBot="1" x14ac:dyDescent="0.3">
      <c r="A31" s="3">
        <f t="shared" si="0"/>
        <v>13</v>
      </c>
      <c r="B31" s="3" t="s">
        <v>193</v>
      </c>
      <c r="C31" s="136">
        <f>C27-C28-C29+C30</f>
        <v>9470156</v>
      </c>
      <c r="D31" s="28">
        <f>+Allocation!D$47</f>
        <v>0.79435397443946021</v>
      </c>
      <c r="E31" s="3" t="s">
        <v>3</v>
      </c>
      <c r="F31" s="54">
        <f>ROUND(C31*D31,0)</f>
        <v>7522656</v>
      </c>
    </row>
    <row r="32" spans="1:8" ht="15.75" thickTop="1" x14ac:dyDescent="0.25">
      <c r="C32" s="41"/>
      <c r="F32" s="13"/>
    </row>
    <row r="33" spans="1:12" x14ac:dyDescent="0.25">
      <c r="A33" s="3">
        <v>14</v>
      </c>
      <c r="B33" s="11" t="s">
        <v>88</v>
      </c>
      <c r="C33" s="41"/>
      <c r="F33" s="13"/>
    </row>
    <row r="34" spans="1:12" x14ac:dyDescent="0.25">
      <c r="A34" s="3">
        <f t="shared" si="0"/>
        <v>15</v>
      </c>
      <c r="B34" s="3" t="s">
        <v>89</v>
      </c>
      <c r="C34" s="192">
        <v>41074460</v>
      </c>
      <c r="H34" s="3" t="s">
        <v>541</v>
      </c>
    </row>
    <row r="35" spans="1:12" x14ac:dyDescent="0.25">
      <c r="A35" s="3">
        <f t="shared" si="0"/>
        <v>16</v>
      </c>
      <c r="B35" s="2" t="s">
        <v>145</v>
      </c>
      <c r="C35" s="190">
        <v>-260000</v>
      </c>
      <c r="H35" s="32" t="s">
        <v>542</v>
      </c>
    </row>
    <row r="36" spans="1:12" x14ac:dyDescent="0.25">
      <c r="A36" s="3">
        <f t="shared" si="0"/>
        <v>17</v>
      </c>
      <c r="B36" s="2" t="s">
        <v>90</v>
      </c>
      <c r="C36" s="190">
        <v>285663</v>
      </c>
      <c r="H36" s="2" t="s">
        <v>543</v>
      </c>
    </row>
    <row r="37" spans="1:12" x14ac:dyDescent="0.25">
      <c r="A37" s="3">
        <f t="shared" si="0"/>
        <v>18</v>
      </c>
      <c r="B37" s="31" t="s">
        <v>91</v>
      </c>
      <c r="C37" s="190">
        <v>140598</v>
      </c>
      <c r="H37" s="2" t="s">
        <v>544</v>
      </c>
    </row>
    <row r="38" spans="1:12" x14ac:dyDescent="0.25">
      <c r="A38" s="3">
        <f t="shared" si="0"/>
        <v>19</v>
      </c>
      <c r="B38" s="2" t="s">
        <v>194</v>
      </c>
      <c r="C38" s="137">
        <f>+C34-C35-C36-C37</f>
        <v>40908199</v>
      </c>
      <c r="D38" s="28">
        <f>+Allocation!$D$24</f>
        <v>2.9416207012306884E-2</v>
      </c>
      <c r="E38" s="3" t="s">
        <v>1</v>
      </c>
      <c r="F38" s="53">
        <f>ROUND(C38*D38,0)</f>
        <v>1203364</v>
      </c>
    </row>
    <row r="39" spans="1:12" x14ac:dyDescent="0.25">
      <c r="A39" s="3">
        <f t="shared" si="0"/>
        <v>20</v>
      </c>
      <c r="B39" s="2" t="s">
        <v>375</v>
      </c>
      <c r="C39" s="193">
        <v>2180830</v>
      </c>
      <c r="D39" s="28"/>
      <c r="F39" s="14"/>
      <c r="G39" s="42"/>
      <c r="H39" s="42" t="s">
        <v>158</v>
      </c>
      <c r="I39" s="42"/>
      <c r="J39" s="42"/>
      <c r="K39" s="42"/>
      <c r="L39" s="42"/>
    </row>
    <row r="40" spans="1:12" ht="15.75" thickBot="1" x14ac:dyDescent="0.3">
      <c r="A40" s="3">
        <v>21</v>
      </c>
      <c r="B40" s="2" t="s">
        <v>205</v>
      </c>
      <c r="C40" s="138">
        <f>+C38+C39</f>
        <v>43089029</v>
      </c>
      <c r="D40" s="28">
        <f>+Allocation!$D$24</f>
        <v>2.9416207012306884E-2</v>
      </c>
      <c r="E40" s="3" t="s">
        <v>1</v>
      </c>
      <c r="F40" s="53">
        <f>ROUND(C40*D40,0)</f>
        <v>1267516</v>
      </c>
    </row>
    <row r="41" spans="1:12" ht="15.75" thickTop="1" x14ac:dyDescent="0.25">
      <c r="B41" s="2"/>
      <c r="C41" s="135"/>
      <c r="D41" s="28"/>
      <c r="F41" s="14"/>
    </row>
    <row r="42" spans="1:12" ht="15.75" thickBot="1" x14ac:dyDescent="0.3">
      <c r="A42" s="3">
        <v>22</v>
      </c>
      <c r="B42" s="32" t="s">
        <v>30</v>
      </c>
      <c r="C42" s="146">
        <f>+C56</f>
        <v>2869533</v>
      </c>
      <c r="D42" s="28">
        <f>+Allocation!$D$24</f>
        <v>2.9416207012306884E-2</v>
      </c>
      <c r="E42" s="3" t="s">
        <v>1</v>
      </c>
      <c r="F42" s="54">
        <f>ROUND(C42*D42,0)</f>
        <v>84411</v>
      </c>
      <c r="H42" s="3" t="s">
        <v>92</v>
      </c>
    </row>
    <row r="43" spans="1:12" ht="15.75" thickTop="1" x14ac:dyDescent="0.25">
      <c r="C43" s="135"/>
      <c r="D43" s="28"/>
      <c r="F43" s="14"/>
    </row>
    <row r="44" spans="1:12" x14ac:dyDescent="0.25">
      <c r="C44" s="135"/>
      <c r="D44" s="28"/>
      <c r="F44" s="14"/>
    </row>
    <row r="45" spans="1:12" x14ac:dyDescent="0.25">
      <c r="C45" s="135"/>
      <c r="D45" s="28"/>
      <c r="F45" s="14"/>
    </row>
    <row r="46" spans="1:12" x14ac:dyDescent="0.25">
      <c r="A46" s="3">
        <v>23</v>
      </c>
      <c r="B46" s="11" t="s">
        <v>182</v>
      </c>
      <c r="C46" s="135"/>
      <c r="D46" s="28"/>
      <c r="F46" s="14"/>
    </row>
    <row r="47" spans="1:12" x14ac:dyDescent="0.25">
      <c r="A47" s="3">
        <f t="shared" si="0"/>
        <v>24</v>
      </c>
      <c r="B47" s="3" t="str">
        <f>+Allocation!B24</f>
        <v>(a) Transmission Wages and Salaries Allocation Factor</v>
      </c>
      <c r="C47" s="5"/>
      <c r="F47" s="13"/>
      <c r="H47" s="7" t="s">
        <v>181</v>
      </c>
    </row>
    <row r="48" spans="1:12" x14ac:dyDescent="0.25">
      <c r="A48" s="3">
        <f t="shared" si="0"/>
        <v>25</v>
      </c>
      <c r="B48" s="3" t="str">
        <f>+Allocation!B40</f>
        <v>(b) Total Transmission Plant Allocation Factor</v>
      </c>
      <c r="C48" s="135"/>
      <c r="F48" s="13"/>
      <c r="H48" s="7" t="s">
        <v>181</v>
      </c>
    </row>
    <row r="49" spans="1:8" x14ac:dyDescent="0.25">
      <c r="A49" s="3">
        <f t="shared" si="0"/>
        <v>26</v>
      </c>
      <c r="B49" s="3" t="str">
        <f>+Allocation!B47</f>
        <v>(c) Network Transmission Plant Allocation Factor</v>
      </c>
      <c r="C49" s="5"/>
      <c r="F49" s="13"/>
      <c r="H49" s="7" t="s">
        <v>181</v>
      </c>
    </row>
    <row r="50" spans="1:8" x14ac:dyDescent="0.25">
      <c r="C50" s="5"/>
      <c r="F50" s="13"/>
    </row>
    <row r="51" spans="1:8" x14ac:dyDescent="0.25">
      <c r="A51" s="3">
        <f>1+A49</f>
        <v>27</v>
      </c>
      <c r="B51" s="3" t="s">
        <v>535</v>
      </c>
      <c r="C51" s="5"/>
      <c r="F51" s="13"/>
    </row>
    <row r="52" spans="1:8" x14ac:dyDescent="0.25">
      <c r="A52" s="3">
        <f t="shared" si="0"/>
        <v>28</v>
      </c>
      <c r="B52" s="3" t="s">
        <v>93</v>
      </c>
      <c r="C52" s="164">
        <v>0</v>
      </c>
      <c r="D52" s="23"/>
      <c r="F52" s="13"/>
    </row>
    <row r="53" spans="1:8" x14ac:dyDescent="0.25">
      <c r="A53" s="3">
        <f t="shared" si="0"/>
        <v>29</v>
      </c>
      <c r="B53" s="3" t="s">
        <v>94</v>
      </c>
      <c r="C53" s="191">
        <v>2869533</v>
      </c>
      <c r="D53" s="23"/>
      <c r="F53" s="13"/>
    </row>
    <row r="54" spans="1:8" x14ac:dyDescent="0.25">
      <c r="A54" s="3">
        <f t="shared" si="0"/>
        <v>30</v>
      </c>
      <c r="B54" s="3" t="s">
        <v>95</v>
      </c>
      <c r="C54" s="163">
        <v>0</v>
      </c>
      <c r="D54" s="23"/>
      <c r="F54" s="13"/>
    </row>
    <row r="55" spans="1:8" x14ac:dyDescent="0.25">
      <c r="A55" s="3">
        <f t="shared" si="0"/>
        <v>31</v>
      </c>
      <c r="B55" s="3" t="s">
        <v>122</v>
      </c>
      <c r="C55" s="191">
        <v>0</v>
      </c>
      <c r="D55" s="23"/>
      <c r="F55" s="13"/>
    </row>
    <row r="56" spans="1:8" x14ac:dyDescent="0.25">
      <c r="A56" s="3">
        <f t="shared" si="0"/>
        <v>32</v>
      </c>
      <c r="B56" s="3" t="s">
        <v>96</v>
      </c>
      <c r="C56" s="162">
        <f>SUM(C52:C55)</f>
        <v>2869533</v>
      </c>
      <c r="D56" s="3" t="s">
        <v>206</v>
      </c>
      <c r="F56" s="13"/>
    </row>
    <row r="57" spans="1:8" x14ac:dyDescent="0.25">
      <c r="C57" s="139"/>
      <c r="D57" s="23"/>
      <c r="F57" s="13"/>
    </row>
    <row r="58" spans="1:8" x14ac:dyDescent="0.25">
      <c r="A58" s="3">
        <v>35</v>
      </c>
      <c r="B58" s="3" t="s">
        <v>159</v>
      </c>
      <c r="C58" s="140"/>
      <c r="D58" s="23"/>
      <c r="F58" s="13"/>
    </row>
    <row r="59" spans="1:8" x14ac:dyDescent="0.25">
      <c r="A59" s="3">
        <f t="shared" si="0"/>
        <v>36</v>
      </c>
      <c r="B59" s="3" t="s">
        <v>133</v>
      </c>
      <c r="C59" s="194">
        <v>239063</v>
      </c>
      <c r="D59" s="23"/>
      <c r="F59" s="13"/>
    </row>
    <row r="60" spans="1:8" x14ac:dyDescent="0.25">
      <c r="A60" s="3">
        <f t="shared" si="0"/>
        <v>37</v>
      </c>
      <c r="B60" s="3" t="s">
        <v>134</v>
      </c>
      <c r="C60" s="191">
        <v>36260</v>
      </c>
      <c r="D60" s="23"/>
      <c r="F60" s="13"/>
    </row>
    <row r="61" spans="1:8" x14ac:dyDescent="0.25">
      <c r="A61" s="3">
        <f t="shared" si="0"/>
        <v>38</v>
      </c>
      <c r="B61" s="3" t="s">
        <v>135</v>
      </c>
      <c r="C61" s="191">
        <v>87824</v>
      </c>
      <c r="D61" s="23"/>
      <c r="F61" s="13"/>
    </row>
    <row r="62" spans="1:8" x14ac:dyDescent="0.25">
      <c r="A62" s="3">
        <f t="shared" si="0"/>
        <v>39</v>
      </c>
      <c r="B62" s="3" t="s">
        <v>177</v>
      </c>
      <c r="C62" s="191">
        <v>81454</v>
      </c>
      <c r="D62" s="23"/>
      <c r="F62" s="13"/>
    </row>
    <row r="63" spans="1:8" x14ac:dyDescent="0.25">
      <c r="A63" s="3">
        <f t="shared" si="0"/>
        <v>40</v>
      </c>
      <c r="B63" s="3" t="s">
        <v>136</v>
      </c>
      <c r="C63" s="191">
        <v>53351</v>
      </c>
      <c r="D63" s="23"/>
      <c r="F63" s="13"/>
    </row>
    <row r="64" spans="1:8" x14ac:dyDescent="0.25">
      <c r="A64" s="3">
        <f t="shared" si="0"/>
        <v>41</v>
      </c>
      <c r="B64" s="3" t="s">
        <v>137</v>
      </c>
      <c r="C64" s="191">
        <v>24508681</v>
      </c>
      <c r="F64" s="13"/>
    </row>
    <row r="65" spans="1:6" x14ac:dyDescent="0.25">
      <c r="A65" s="3">
        <f t="shared" si="0"/>
        <v>42</v>
      </c>
      <c r="B65" s="3" t="s">
        <v>138</v>
      </c>
      <c r="C65" s="162">
        <f>SUM(C59:C64)</f>
        <v>25006633</v>
      </c>
      <c r="D65" s="3" t="s">
        <v>195</v>
      </c>
      <c r="F65" s="13"/>
    </row>
    <row r="66" spans="1:6" x14ac:dyDescent="0.25">
      <c r="A66" s="3">
        <f t="shared" si="0"/>
        <v>43</v>
      </c>
      <c r="C66" s="50"/>
      <c r="F66" s="13"/>
    </row>
    <row r="67" spans="1:6" x14ac:dyDescent="0.25">
      <c r="A67" s="3">
        <f t="shared" si="0"/>
        <v>44</v>
      </c>
      <c r="B67" s="35" t="s">
        <v>272</v>
      </c>
      <c r="C67" s="14"/>
      <c r="D67" s="7"/>
      <c r="E67" s="7"/>
      <c r="F67" s="14"/>
    </row>
    <row r="68" spans="1:6" x14ac:dyDescent="0.25">
      <c r="A68" s="3">
        <f>1+A67</f>
        <v>45</v>
      </c>
      <c r="B68" s="86" t="s">
        <v>376</v>
      </c>
      <c r="C68" s="114"/>
      <c r="D68" s="115"/>
      <c r="E68" s="61"/>
      <c r="F68" s="14"/>
    </row>
    <row r="69" spans="1:6" x14ac:dyDescent="0.25">
      <c r="A69" s="7"/>
      <c r="B69" s="116"/>
      <c r="C69" s="114"/>
      <c r="D69" s="115"/>
      <c r="E69" s="61"/>
      <c r="F69" s="14"/>
    </row>
    <row r="70" spans="1:6" x14ac:dyDescent="0.25">
      <c r="A70" s="7"/>
      <c r="B70" s="116"/>
      <c r="C70" s="114"/>
      <c r="D70" s="115"/>
      <c r="E70" s="61"/>
      <c r="F70" s="14"/>
    </row>
    <row r="71" spans="1:6" x14ac:dyDescent="0.25">
      <c r="A71" s="7"/>
      <c r="B71" s="116"/>
      <c r="C71" s="114"/>
      <c r="D71" s="115"/>
      <c r="E71" s="61"/>
      <c r="F71" s="14"/>
    </row>
    <row r="72" spans="1:6" x14ac:dyDescent="0.25">
      <c r="A72" s="7"/>
      <c r="B72" s="116"/>
      <c r="C72" s="114"/>
      <c r="D72" s="115"/>
      <c r="E72" s="61"/>
      <c r="F72" s="14"/>
    </row>
    <row r="73" spans="1:6" x14ac:dyDescent="0.25">
      <c r="A73" s="7"/>
      <c r="C73" s="62"/>
      <c r="D73" s="61"/>
      <c r="E73" s="61"/>
      <c r="F73" s="14"/>
    </row>
    <row r="74" spans="1:6" x14ac:dyDescent="0.25">
      <c r="A74" s="7"/>
      <c r="B74" s="116"/>
      <c r="C74" s="62"/>
      <c r="D74" s="61"/>
      <c r="E74" s="61"/>
      <c r="F74" s="14"/>
    </row>
    <row r="75" spans="1:6" x14ac:dyDescent="0.25">
      <c r="A75" s="7"/>
      <c r="B75" s="116"/>
      <c r="C75" s="114"/>
      <c r="D75" s="115"/>
      <c r="E75" s="61"/>
      <c r="F75" s="14"/>
    </row>
    <row r="76" spans="1:6" x14ac:dyDescent="0.25">
      <c r="A76" s="7"/>
      <c r="B76" s="116"/>
      <c r="C76" s="114"/>
      <c r="D76" s="115"/>
      <c r="E76" s="61"/>
      <c r="F76" s="14"/>
    </row>
    <row r="77" spans="1:6" x14ac:dyDescent="0.25">
      <c r="A77" s="7"/>
      <c r="B77" s="116"/>
      <c r="C77" s="114"/>
      <c r="D77" s="115"/>
      <c r="E77" s="61"/>
      <c r="F77" s="14"/>
    </row>
    <row r="78" spans="1:6" x14ac:dyDescent="0.25">
      <c r="A78" s="7"/>
      <c r="B78" s="116"/>
      <c r="C78" s="114"/>
      <c r="D78" s="115"/>
      <c r="E78" s="61"/>
      <c r="F78" s="14"/>
    </row>
    <row r="79" spans="1:6" x14ac:dyDescent="0.25">
      <c r="A79" s="7"/>
      <c r="B79" s="116"/>
      <c r="C79" s="114"/>
      <c r="D79" s="115"/>
      <c r="E79" s="61"/>
      <c r="F79" s="14"/>
    </row>
    <row r="80" spans="1:6" x14ac:dyDescent="0.25">
      <c r="A80" s="7"/>
      <c r="B80" s="116"/>
      <c r="C80" s="114"/>
      <c r="D80" s="115"/>
      <c r="E80" s="61"/>
      <c r="F80" s="14"/>
    </row>
    <row r="81" spans="1:6" x14ac:dyDescent="0.25">
      <c r="A81" s="7"/>
      <c r="B81" s="116"/>
      <c r="C81" s="114"/>
      <c r="D81" s="115"/>
      <c r="E81" s="61"/>
      <c r="F81" s="14"/>
    </row>
    <row r="82" spans="1:6" x14ac:dyDescent="0.25">
      <c r="A82" s="7"/>
      <c r="B82" s="116"/>
      <c r="C82" s="114"/>
      <c r="D82" s="115"/>
      <c r="E82" s="61"/>
      <c r="F82" s="14"/>
    </row>
    <row r="83" spans="1:6" x14ac:dyDescent="0.25">
      <c r="A83" s="7"/>
      <c r="C83" s="114"/>
      <c r="D83" s="115"/>
      <c r="E83" s="61"/>
      <c r="F83" s="14"/>
    </row>
    <row r="84" spans="1:6" x14ac:dyDescent="0.25">
      <c r="A84" s="7"/>
      <c r="C84" s="60"/>
      <c r="D84" s="61"/>
      <c r="E84" s="61"/>
      <c r="F84" s="7"/>
    </row>
    <row r="85" spans="1:6" x14ac:dyDescent="0.25">
      <c r="A85" s="7"/>
      <c r="B85" s="7"/>
      <c r="C85" s="7"/>
      <c r="D85" s="7"/>
      <c r="E85" s="7"/>
      <c r="F85" s="7"/>
    </row>
  </sheetData>
  <customSheetViews>
    <customSheetView guid="{64F6106B-9E0C-489A-BDF0-E26F35DDE29F}" showPageBreaks="1" showGridLines="0" fitToPage="1" printArea="1" topLeftCell="A61">
      <selection activeCell="B22" sqref="B22"/>
      <pageMargins left="0" right="0" top="0.75" bottom="0" header="0.5" footer="0.5"/>
      <pageSetup scale="57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54" orientation="portrait" horizontalDpi="300" verticalDpi="300" r:id="rId2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topLeftCell="B4" zoomScale="80" zoomScaleNormal="80" workbookViewId="0">
      <selection activeCell="B8" sqref="B8"/>
    </sheetView>
  </sheetViews>
  <sheetFormatPr defaultColWidth="6" defaultRowHeight="15" x14ac:dyDescent="0.25"/>
  <cols>
    <col min="1" max="1" width="7.7109375" style="3" bestFit="1" customWidth="1"/>
    <col min="2" max="2" width="78.140625" style="3" customWidth="1"/>
    <col min="3" max="3" width="6" style="3" customWidth="1"/>
    <col min="4" max="4" width="26.28515625" style="3" bestFit="1" customWidth="1"/>
    <col min="5" max="16384" width="6" style="3"/>
  </cols>
  <sheetData>
    <row r="1" spans="1:10" x14ac:dyDescent="0.25">
      <c r="A1" s="2"/>
      <c r="B1" s="4"/>
      <c r="C1" s="4"/>
      <c r="D1" s="4"/>
    </row>
    <row r="4" spans="1:10" ht="19.5" x14ac:dyDescent="0.35">
      <c r="B4" s="43" t="s">
        <v>110</v>
      </c>
      <c r="C4" s="57"/>
    </row>
    <row r="5" spans="1:10" x14ac:dyDescent="0.25">
      <c r="B5" s="19" t="s">
        <v>130</v>
      </c>
    </row>
    <row r="6" spans="1:10" x14ac:dyDescent="0.25">
      <c r="B6" s="76" t="s">
        <v>601</v>
      </c>
    </row>
    <row r="7" spans="1:10" x14ac:dyDescent="0.25">
      <c r="B7" s="76" t="s">
        <v>602</v>
      </c>
      <c r="E7" s="5" t="s">
        <v>111</v>
      </c>
    </row>
    <row r="8" spans="1:10" x14ac:dyDescent="0.25">
      <c r="E8" s="5" t="s">
        <v>179</v>
      </c>
    </row>
    <row r="9" spans="1:10" x14ac:dyDescent="0.25">
      <c r="E9" s="5" t="s">
        <v>433</v>
      </c>
    </row>
    <row r="11" spans="1:10" x14ac:dyDescent="0.25">
      <c r="A11" s="32" t="s">
        <v>65</v>
      </c>
      <c r="E11" s="3" t="s">
        <v>97</v>
      </c>
      <c r="J11" s="11"/>
    </row>
    <row r="12" spans="1:10" x14ac:dyDescent="0.25">
      <c r="A12" s="40" t="s">
        <v>70</v>
      </c>
      <c r="C12" s="8"/>
      <c r="D12" s="8"/>
      <c r="E12" s="67" t="s">
        <v>4</v>
      </c>
      <c r="F12" s="66"/>
      <c r="G12" s="9"/>
      <c r="I12" s="11"/>
    </row>
    <row r="13" spans="1:10" x14ac:dyDescent="0.25">
      <c r="A13" s="10"/>
      <c r="F13" s="7"/>
      <c r="G13" s="7"/>
    </row>
    <row r="14" spans="1:10" x14ac:dyDescent="0.25">
      <c r="A14" s="19">
        <v>1</v>
      </c>
      <c r="B14" s="11" t="s">
        <v>123</v>
      </c>
      <c r="F14" s="7"/>
      <c r="G14" s="15"/>
    </row>
    <row r="15" spans="1:10" x14ac:dyDescent="0.25">
      <c r="A15" s="19"/>
      <c r="F15" s="7"/>
      <c r="G15" s="15"/>
    </row>
    <row r="16" spans="1:10" x14ac:dyDescent="0.25">
      <c r="A16" s="19">
        <v>2</v>
      </c>
      <c r="B16" s="3" t="s">
        <v>98</v>
      </c>
      <c r="D16" s="196">
        <v>799192</v>
      </c>
      <c r="E16" s="3" t="s">
        <v>105</v>
      </c>
      <c r="F16" s="7"/>
      <c r="G16" s="12"/>
    </row>
    <row r="17" spans="1:7" x14ac:dyDescent="0.25">
      <c r="A17" s="19"/>
      <c r="D17" s="120"/>
      <c r="F17" s="7"/>
      <c r="G17" s="15"/>
    </row>
    <row r="18" spans="1:7" x14ac:dyDescent="0.25">
      <c r="A18" s="19">
        <v>3</v>
      </c>
      <c r="B18" s="3" t="s">
        <v>99</v>
      </c>
      <c r="D18" s="197">
        <v>35485229</v>
      </c>
      <c r="E18" s="3" t="s">
        <v>106</v>
      </c>
      <c r="F18" s="7"/>
      <c r="G18" s="12"/>
    </row>
    <row r="19" spans="1:7" x14ac:dyDescent="0.25">
      <c r="A19" s="19">
        <f>1+A18</f>
        <v>4</v>
      </c>
      <c r="B19" s="3" t="s">
        <v>100</v>
      </c>
      <c r="C19" s="7"/>
      <c r="D19" s="197">
        <v>13903883</v>
      </c>
      <c r="E19" s="3" t="s">
        <v>107</v>
      </c>
      <c r="F19" s="7"/>
      <c r="G19" s="12"/>
    </row>
    <row r="20" spans="1:7" x14ac:dyDescent="0.25">
      <c r="A20" s="19">
        <f>1+A19</f>
        <v>5</v>
      </c>
      <c r="B20" s="3" t="s">
        <v>131</v>
      </c>
      <c r="C20" s="19"/>
      <c r="D20" s="121">
        <f>D18-D19</f>
        <v>21581346</v>
      </c>
      <c r="E20" s="3" t="s">
        <v>183</v>
      </c>
      <c r="F20" s="7"/>
      <c r="G20" s="21"/>
    </row>
    <row r="21" spans="1:7" x14ac:dyDescent="0.25">
      <c r="A21" s="19"/>
      <c r="D21" s="122"/>
      <c r="F21" s="7"/>
      <c r="G21" s="15"/>
    </row>
    <row r="22" spans="1:7" x14ac:dyDescent="0.25">
      <c r="A22" s="19">
        <v>7</v>
      </c>
      <c r="B22" s="3" t="s">
        <v>132</v>
      </c>
      <c r="D22" s="123">
        <f>+D16/D20</f>
        <v>3.7031610539954275E-2</v>
      </c>
      <c r="E22" s="3" t="s">
        <v>184</v>
      </c>
      <c r="F22" s="7"/>
      <c r="G22" s="17"/>
    </row>
    <row r="23" spans="1:7" x14ac:dyDescent="0.25">
      <c r="A23" s="19">
        <f>1+A22</f>
        <v>8</v>
      </c>
      <c r="B23" s="42" t="s">
        <v>118</v>
      </c>
      <c r="D23" s="124">
        <f>+D47</f>
        <v>0.79435397443946021</v>
      </c>
      <c r="E23" s="3" t="s">
        <v>185</v>
      </c>
      <c r="F23" s="7"/>
      <c r="G23" s="15"/>
    </row>
    <row r="24" spans="1:7" ht="16.5" thickBot="1" x14ac:dyDescent="0.35">
      <c r="A24" s="19">
        <f>1+A23</f>
        <v>9</v>
      </c>
      <c r="B24" s="57" t="s">
        <v>117</v>
      </c>
      <c r="D24" s="125">
        <f>+D22*D23</f>
        <v>2.9416207012306884E-2</v>
      </c>
      <c r="E24" s="3" t="s">
        <v>186</v>
      </c>
      <c r="F24" s="7"/>
      <c r="G24" s="15"/>
    </row>
    <row r="25" spans="1:7" ht="15.75" thickTop="1" x14ac:dyDescent="0.25">
      <c r="A25" s="19"/>
      <c r="D25" s="126"/>
      <c r="F25" s="7"/>
      <c r="G25" s="23"/>
    </row>
    <row r="26" spans="1:7" x14ac:dyDescent="0.25">
      <c r="A26" s="19">
        <v>10</v>
      </c>
      <c r="B26" s="11" t="s">
        <v>124</v>
      </c>
      <c r="D26" s="121"/>
      <c r="F26" s="7"/>
      <c r="G26" s="15"/>
    </row>
    <row r="27" spans="1:7" x14ac:dyDescent="0.25">
      <c r="A27" s="19"/>
      <c r="B27" s="11"/>
      <c r="D27" s="121"/>
      <c r="F27" s="7"/>
      <c r="G27" s="15"/>
    </row>
    <row r="28" spans="1:7" x14ac:dyDescent="0.25">
      <c r="A28" s="19">
        <v>11</v>
      </c>
      <c r="B28" s="63" t="s">
        <v>113</v>
      </c>
      <c r="D28" s="127">
        <f>+'13 mo avg plant'!C29</f>
        <v>219516014.84615386</v>
      </c>
      <c r="E28" s="63" t="s">
        <v>368</v>
      </c>
      <c r="F28" s="7"/>
      <c r="G28" s="15"/>
    </row>
    <row r="29" spans="1:7" ht="18.75" x14ac:dyDescent="0.3">
      <c r="A29" s="19">
        <f>1+A28</f>
        <v>12</v>
      </c>
      <c r="B29" s="63" t="s">
        <v>114</v>
      </c>
      <c r="C29" s="206"/>
      <c r="D29" s="195">
        <v>41904068</v>
      </c>
      <c r="E29" s="63" t="s">
        <v>545</v>
      </c>
      <c r="F29" s="7"/>
      <c r="G29" s="15"/>
    </row>
    <row r="30" spans="1:7" ht="18.75" x14ac:dyDescent="0.3">
      <c r="A30" s="19">
        <f>1+A29</f>
        <v>13</v>
      </c>
      <c r="B30" s="63" t="s">
        <v>446</v>
      </c>
      <c r="C30" s="206"/>
      <c r="D30" s="195">
        <v>30166</v>
      </c>
      <c r="E30" s="63" t="s">
        <v>458</v>
      </c>
      <c r="F30" s="7"/>
      <c r="G30" s="15"/>
    </row>
    <row r="31" spans="1:7" ht="18.75" x14ac:dyDescent="0.3">
      <c r="A31" s="19">
        <f>1+A30</f>
        <v>14</v>
      </c>
      <c r="B31" s="63" t="s">
        <v>115</v>
      </c>
      <c r="C31" s="206"/>
      <c r="D31" s="195">
        <v>1645086</v>
      </c>
      <c r="E31" s="63" t="s">
        <v>546</v>
      </c>
      <c r="F31" s="7"/>
      <c r="G31" s="15"/>
    </row>
    <row r="32" spans="1:7" ht="18.75" x14ac:dyDescent="0.3">
      <c r="A32" s="19">
        <f>1+A31</f>
        <v>15</v>
      </c>
      <c r="B32" s="64" t="s">
        <v>175</v>
      </c>
      <c r="C32" s="206"/>
      <c r="D32" s="191">
        <v>1563276</v>
      </c>
      <c r="E32" s="65" t="s">
        <v>176</v>
      </c>
      <c r="F32" s="7"/>
      <c r="G32" s="15"/>
    </row>
    <row r="33" spans="1:10" x14ac:dyDescent="0.25">
      <c r="A33" s="19"/>
      <c r="D33" s="126"/>
      <c r="F33" s="7"/>
      <c r="G33" s="15"/>
    </row>
    <row r="34" spans="1:10" x14ac:dyDescent="0.25">
      <c r="A34" s="19">
        <v>16</v>
      </c>
      <c r="B34" s="3" t="s">
        <v>116</v>
      </c>
      <c r="D34" s="126">
        <f>+D28-D29-D30-D31-D32</f>
        <v>174373418.84615386</v>
      </c>
      <c r="E34" s="3" t="s">
        <v>187</v>
      </c>
      <c r="F34" s="7"/>
      <c r="G34" s="23"/>
    </row>
    <row r="35" spans="1:10" x14ac:dyDescent="0.25">
      <c r="A35" s="19">
        <f>1+A34</f>
        <v>17</v>
      </c>
      <c r="B35" s="2" t="s">
        <v>168</v>
      </c>
      <c r="D35" s="128">
        <f>+'Rate Base'!F16</f>
        <v>3960988</v>
      </c>
      <c r="E35" s="46" t="s">
        <v>324</v>
      </c>
      <c r="F35" s="46"/>
      <c r="G35" s="42"/>
      <c r="H35" s="42"/>
      <c r="I35" s="42"/>
      <c r="J35" s="42"/>
    </row>
    <row r="36" spans="1:10" x14ac:dyDescent="0.25">
      <c r="A36" s="19">
        <f>1+A35</f>
        <v>18</v>
      </c>
      <c r="B36" s="32" t="s">
        <v>213</v>
      </c>
      <c r="C36" s="22"/>
      <c r="D36" s="129">
        <f>+D34+D35</f>
        <v>178334406.84615386</v>
      </c>
      <c r="E36" s="3" t="s">
        <v>188</v>
      </c>
      <c r="F36" s="7"/>
      <c r="G36" s="23"/>
    </row>
    <row r="37" spans="1:10" x14ac:dyDescent="0.25">
      <c r="A37" s="19"/>
      <c r="D37" s="121"/>
      <c r="F37" s="7"/>
      <c r="G37" s="24"/>
    </row>
    <row r="38" spans="1:10" x14ac:dyDescent="0.25">
      <c r="A38" s="19">
        <v>19</v>
      </c>
      <c r="B38" s="3" t="s">
        <v>101</v>
      </c>
      <c r="D38" s="130">
        <f>+'13 mo avg plant'!C63</f>
        <v>1745858915.1346102</v>
      </c>
      <c r="E38" s="3" t="s">
        <v>369</v>
      </c>
      <c r="F38" s="7"/>
      <c r="G38" s="23"/>
    </row>
    <row r="39" spans="1:10" x14ac:dyDescent="0.25">
      <c r="A39" s="19"/>
      <c r="D39" s="121"/>
      <c r="F39" s="7"/>
      <c r="G39" s="14"/>
    </row>
    <row r="40" spans="1:10" ht="16.5" thickBot="1" x14ac:dyDescent="0.35">
      <c r="A40" s="19">
        <v>20</v>
      </c>
      <c r="B40" s="57" t="s">
        <v>127</v>
      </c>
      <c r="D40" s="125">
        <f>ROUND(D36/D38,6)</f>
        <v>0.102147</v>
      </c>
      <c r="E40" s="3" t="s">
        <v>189</v>
      </c>
      <c r="F40" s="7"/>
      <c r="G40" s="16"/>
    </row>
    <row r="41" spans="1:10" ht="15.75" thickTop="1" x14ac:dyDescent="0.25">
      <c r="A41" s="44"/>
      <c r="B41" s="42"/>
      <c r="C41" s="42"/>
      <c r="D41" s="131"/>
      <c r="E41" s="42"/>
      <c r="F41" s="46"/>
      <c r="G41" s="46"/>
      <c r="H41" s="42"/>
    </row>
    <row r="42" spans="1:10" x14ac:dyDescent="0.25">
      <c r="A42" s="44">
        <v>21</v>
      </c>
      <c r="B42" s="48" t="s">
        <v>126</v>
      </c>
      <c r="C42" s="42"/>
      <c r="D42" s="131"/>
      <c r="E42" s="42"/>
      <c r="F42" s="46"/>
      <c r="G42" s="46"/>
      <c r="H42" s="42"/>
    </row>
    <row r="43" spans="1:10" x14ac:dyDescent="0.25">
      <c r="A43" s="44"/>
      <c r="B43" s="42"/>
      <c r="C43" s="42"/>
      <c r="D43" s="131"/>
      <c r="E43" s="42"/>
      <c r="F43" s="42"/>
      <c r="G43" s="42"/>
      <c r="H43" s="42"/>
    </row>
    <row r="44" spans="1:10" x14ac:dyDescent="0.25">
      <c r="A44" s="44">
        <v>22</v>
      </c>
      <c r="B44" s="42" t="s">
        <v>116</v>
      </c>
      <c r="C44" s="42"/>
      <c r="D44" s="127">
        <f>+D34</f>
        <v>174373418.84615386</v>
      </c>
      <c r="E44" s="42" t="s">
        <v>190</v>
      </c>
      <c r="F44" s="46"/>
      <c r="G44" s="46"/>
      <c r="H44" s="42"/>
    </row>
    <row r="45" spans="1:10" x14ac:dyDescent="0.25">
      <c r="A45" s="44">
        <f>1+A44</f>
        <v>23</v>
      </c>
      <c r="B45" s="42" t="s">
        <v>113</v>
      </c>
      <c r="C45" s="42"/>
      <c r="D45" s="130">
        <f>+D28</f>
        <v>219516014.84615386</v>
      </c>
      <c r="E45" s="42" t="s">
        <v>191</v>
      </c>
      <c r="F45" s="46"/>
      <c r="G45" s="46"/>
      <c r="H45" s="42"/>
    </row>
    <row r="46" spans="1:10" x14ac:dyDescent="0.25">
      <c r="A46" s="44"/>
      <c r="B46" s="42"/>
      <c r="C46" s="42"/>
      <c r="D46" s="126"/>
      <c r="E46" s="42"/>
      <c r="F46" s="46"/>
      <c r="G46" s="46"/>
      <c r="H46" s="42"/>
    </row>
    <row r="47" spans="1:10" ht="16.5" thickBot="1" x14ac:dyDescent="0.35">
      <c r="A47" s="44">
        <v>24</v>
      </c>
      <c r="B47" s="58" t="s">
        <v>118</v>
      </c>
      <c r="C47" s="42"/>
      <c r="D47" s="132">
        <f>+D44/D45</f>
        <v>0.79435397443946021</v>
      </c>
      <c r="E47" s="42" t="s">
        <v>192</v>
      </c>
      <c r="F47" s="46"/>
      <c r="G47" s="47"/>
      <c r="H47" s="42"/>
    </row>
    <row r="48" spans="1:10" ht="15.75" thickTop="1" x14ac:dyDescent="0.25">
      <c r="A48" s="44"/>
      <c r="B48" s="42"/>
      <c r="C48" s="42"/>
      <c r="D48" s="42"/>
      <c r="E48" s="42"/>
      <c r="F48" s="42"/>
      <c r="G48" s="42"/>
      <c r="H48" s="42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76" spans="5:7" x14ac:dyDescent="0.25">
      <c r="E76" s="20"/>
      <c r="G76" s="20"/>
    </row>
  </sheetData>
  <customSheetViews>
    <customSheetView guid="{64F6106B-9E0C-489A-BDF0-E26F35DDE29F}" scale="90" showPageBreaks="1" showGridLines="0" fitToPage="1" printArea="1" topLeftCell="A3">
      <selection activeCell="B36" sqref="B36"/>
      <pageMargins left="0" right="0" top="0.75" bottom="0" header="0.5" footer="0.5"/>
      <pageSetup scale="64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58" orientation="portrait" horizontalDpi="300" verticalDpi="300" r:id="rId2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 x14ac:dyDescent="0.2"/>
  <cols>
    <col min="1" max="1" width="48.28515625" customWidth="1"/>
    <col min="2" max="2" width="2.28515625" customWidth="1"/>
    <col min="3" max="3" width="53.28515625" customWidth="1"/>
  </cols>
  <sheetData>
    <row r="1" spans="1:1" ht="15" x14ac:dyDescent="0.25">
      <c r="A1" s="1" t="s">
        <v>102</v>
      </c>
    </row>
    <row r="3" spans="1:1" ht="15" x14ac:dyDescent="0.25">
      <c r="A3" s="1"/>
    </row>
  </sheetData>
  <customSheetViews>
    <customSheetView guid="{64F6106B-9E0C-489A-BDF0-E26F35DDE29F}" fitToPage="1" state="hidden">
      <pageMargins left="0.5" right="0" top="0.5" bottom="0.2" header="0" footer="0.25"/>
      <pageSetup orientation="landscape" horizontalDpi="4294967292" verticalDpi="300" r:id="rId1"/>
      <headerFooter alignWithMargins="0">
        <oddFooter>&amp;CBOOK1.XLT&amp;RPage &amp;P</oddFooter>
      </headerFooter>
    </customSheetView>
  </customSheetViews>
  <phoneticPr fontId="0" type="noConversion"/>
  <pageMargins left="0.5" right="0" top="0.5" bottom="0.2" header="0" footer="0.25"/>
  <pageSetup orientation="landscape" horizontalDpi="4294967292" verticalDpi="300" r:id="rId2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4"/>
  <sheetViews>
    <sheetView showGridLines="0" zoomScale="90" zoomScaleNormal="90" workbookViewId="0">
      <selection activeCell="B4" sqref="B4"/>
    </sheetView>
  </sheetViews>
  <sheetFormatPr defaultRowHeight="12.75" x14ac:dyDescent="0.2"/>
  <cols>
    <col min="1" max="1" width="75.7109375" customWidth="1"/>
    <col min="2" max="3" width="16.85546875" bestFit="1" customWidth="1"/>
    <col min="4" max="4" width="13.5703125" customWidth="1"/>
  </cols>
  <sheetData>
    <row r="4" spans="1:6" ht="19.5" x14ac:dyDescent="0.35">
      <c r="A4" s="43" t="s">
        <v>110</v>
      </c>
      <c r="B4" s="207"/>
      <c r="D4" s="5" t="s">
        <v>111</v>
      </c>
    </row>
    <row r="5" spans="1:6" ht="15" x14ac:dyDescent="0.25">
      <c r="A5" s="19" t="s">
        <v>273</v>
      </c>
      <c r="B5" s="68"/>
      <c r="C5" s="68"/>
      <c r="D5" s="5" t="s">
        <v>179</v>
      </c>
    </row>
    <row r="6" spans="1:6" ht="15" x14ac:dyDescent="0.25">
      <c r="A6" s="69" t="str">
        <f>+Allocation!B6</f>
        <v>2017 FORECAST</v>
      </c>
      <c r="B6" s="68"/>
      <c r="C6" s="68"/>
      <c r="D6" s="5" t="s">
        <v>434</v>
      </c>
    </row>
    <row r="7" spans="1:6" ht="13.5" x14ac:dyDescent="0.25">
      <c r="A7" s="69" t="str">
        <f>+Allocation!B7</f>
        <v>12-15-2016 Posting</v>
      </c>
      <c r="B7" s="68"/>
      <c r="C7" s="68"/>
      <c r="D7" s="68"/>
    </row>
    <row r="8" spans="1:6" ht="13.5" x14ac:dyDescent="0.25">
      <c r="A8" s="68"/>
      <c r="B8" s="69" t="s">
        <v>217</v>
      </c>
      <c r="C8" s="69" t="s">
        <v>218</v>
      </c>
      <c r="F8" s="69"/>
    </row>
    <row r="9" spans="1:6" ht="15" x14ac:dyDescent="0.25">
      <c r="A9" s="68" t="s">
        <v>219</v>
      </c>
      <c r="B9" s="69" t="s">
        <v>220</v>
      </c>
      <c r="C9" s="69" t="s">
        <v>221</v>
      </c>
      <c r="D9" s="3"/>
      <c r="F9" s="69"/>
    </row>
    <row r="10" spans="1:6" ht="15" x14ac:dyDescent="0.25">
      <c r="A10" s="68"/>
      <c r="B10" s="69"/>
      <c r="C10" s="3" t="s">
        <v>463</v>
      </c>
      <c r="D10" s="3"/>
      <c r="E10" s="3"/>
      <c r="F10" s="183"/>
    </row>
    <row r="11" spans="1:6" ht="15" x14ac:dyDescent="0.25">
      <c r="A11" s="3" t="s">
        <v>222</v>
      </c>
      <c r="B11" s="19" t="s">
        <v>223</v>
      </c>
      <c r="C11" s="105">
        <v>1.5900000000000001E-2</v>
      </c>
      <c r="D11" s="3"/>
      <c r="F11" s="184"/>
    </row>
    <row r="12" spans="1:6" ht="15" x14ac:dyDescent="0.25">
      <c r="A12" s="3" t="s">
        <v>224</v>
      </c>
      <c r="B12" s="19" t="s">
        <v>225</v>
      </c>
      <c r="C12" s="105">
        <v>1.9E-2</v>
      </c>
      <c r="D12" s="3"/>
      <c r="F12" s="184"/>
    </row>
    <row r="13" spans="1:6" ht="15" x14ac:dyDescent="0.25">
      <c r="A13" s="3" t="s">
        <v>226</v>
      </c>
      <c r="B13" s="19" t="s">
        <v>227</v>
      </c>
      <c r="C13" s="105">
        <v>8.9999999999999998E-4</v>
      </c>
      <c r="D13" s="3"/>
      <c r="F13" s="184"/>
    </row>
    <row r="14" spans="1:6" ht="15" x14ac:dyDescent="0.25">
      <c r="A14" s="3" t="s">
        <v>228</v>
      </c>
      <c r="B14" s="19" t="s">
        <v>229</v>
      </c>
      <c r="C14" s="105">
        <v>1.8800000000000001E-2</v>
      </c>
      <c r="D14" s="3"/>
      <c r="F14" s="184"/>
    </row>
    <row r="15" spans="1:6" ht="15" x14ac:dyDescent="0.25">
      <c r="A15" s="3" t="s">
        <v>230</v>
      </c>
      <c r="B15" s="19" t="s">
        <v>231</v>
      </c>
      <c r="C15" s="105">
        <v>1.44E-2</v>
      </c>
      <c r="D15" s="3"/>
      <c r="F15" s="184"/>
    </row>
    <row r="16" spans="1:6" ht="15" x14ac:dyDescent="0.25">
      <c r="A16" s="3"/>
      <c r="B16" s="19"/>
      <c r="C16" s="185"/>
      <c r="D16" s="3"/>
      <c r="F16" s="186"/>
    </row>
    <row r="17" spans="1:6" ht="15" x14ac:dyDescent="0.25">
      <c r="A17" s="59" t="s">
        <v>232</v>
      </c>
      <c r="B17" s="104">
        <v>36100</v>
      </c>
      <c r="C17" s="105">
        <v>1.6500000000000001E-2</v>
      </c>
      <c r="D17" s="3"/>
      <c r="F17" s="105"/>
    </row>
    <row r="18" spans="1:6" ht="15" x14ac:dyDescent="0.25">
      <c r="A18" s="59" t="s">
        <v>233</v>
      </c>
      <c r="B18" s="104" t="s">
        <v>234</v>
      </c>
      <c r="C18" s="105">
        <v>2.01E-2</v>
      </c>
      <c r="D18" s="3"/>
      <c r="F18" s="105"/>
    </row>
    <row r="19" spans="1:6" ht="15" x14ac:dyDescent="0.25">
      <c r="A19" s="59" t="s">
        <v>235</v>
      </c>
      <c r="B19" s="104" t="s">
        <v>236</v>
      </c>
      <c r="C19" s="105">
        <v>2.1100000000000001E-2</v>
      </c>
      <c r="D19" s="3"/>
      <c r="F19" s="105"/>
    </row>
    <row r="20" spans="1:6" ht="15" x14ac:dyDescent="0.25">
      <c r="A20" s="59" t="s">
        <v>237</v>
      </c>
      <c r="B20" s="104" t="s">
        <v>238</v>
      </c>
      <c r="C20" s="105">
        <v>1.9400000000000001E-2</v>
      </c>
      <c r="D20" s="3"/>
      <c r="F20" s="105"/>
    </row>
    <row r="21" spans="1:6" ht="15" x14ac:dyDescent="0.25">
      <c r="A21" s="59" t="s">
        <v>239</v>
      </c>
      <c r="B21" s="104" t="s">
        <v>240</v>
      </c>
      <c r="C21" s="105">
        <v>1.5299999999999999E-2</v>
      </c>
      <c r="D21" s="3"/>
      <c r="F21" s="105"/>
    </row>
    <row r="22" spans="1:6" ht="15" x14ac:dyDescent="0.25">
      <c r="A22" s="59" t="s">
        <v>241</v>
      </c>
      <c r="B22" s="104" t="s">
        <v>242</v>
      </c>
      <c r="C22" s="105">
        <v>1.7999999999999999E-2</v>
      </c>
      <c r="D22" s="3"/>
      <c r="F22" s="105"/>
    </row>
    <row r="23" spans="1:6" ht="15" x14ac:dyDescent="0.25">
      <c r="A23" s="59" t="s">
        <v>243</v>
      </c>
      <c r="B23" s="104" t="s">
        <v>244</v>
      </c>
      <c r="C23" s="105">
        <v>1.61E-2</v>
      </c>
      <c r="D23" s="3"/>
      <c r="F23" s="105"/>
    </row>
    <row r="24" spans="1:6" ht="15" x14ac:dyDescent="0.25">
      <c r="A24" s="59" t="s">
        <v>245</v>
      </c>
      <c r="B24" s="104" t="s">
        <v>246</v>
      </c>
      <c r="C24" s="105">
        <v>0.02</v>
      </c>
      <c r="D24" s="3"/>
      <c r="F24" s="105"/>
    </row>
    <row r="25" spans="1:6" ht="15" x14ac:dyDescent="0.25">
      <c r="A25" s="59" t="s">
        <v>247</v>
      </c>
      <c r="B25" s="104" t="s">
        <v>248</v>
      </c>
      <c r="C25" s="105">
        <v>6.3E-3</v>
      </c>
      <c r="D25" s="3"/>
      <c r="F25" s="105"/>
    </row>
    <row r="26" spans="1:6" ht="15" x14ac:dyDescent="0.25">
      <c r="A26" s="59" t="s">
        <v>443</v>
      </c>
      <c r="B26" s="104" t="s">
        <v>249</v>
      </c>
      <c r="C26" s="105">
        <v>6.54E-2</v>
      </c>
      <c r="D26" s="3"/>
      <c r="F26" s="105"/>
    </row>
    <row r="27" spans="1:6" ht="15" x14ac:dyDescent="0.25">
      <c r="A27" s="59" t="s">
        <v>325</v>
      </c>
      <c r="B27" s="104">
        <v>37100</v>
      </c>
      <c r="C27" s="105">
        <v>4.5199999999999997E-2</v>
      </c>
      <c r="D27" s="3"/>
      <c r="F27" s="105"/>
    </row>
    <row r="28" spans="1:6" ht="15" x14ac:dyDescent="0.25">
      <c r="A28" s="59" t="s">
        <v>250</v>
      </c>
      <c r="B28" s="104" t="s">
        <v>251</v>
      </c>
      <c r="C28" s="105">
        <v>3.0300000000000001E-2</v>
      </c>
      <c r="D28" s="3"/>
      <c r="F28" s="105"/>
    </row>
    <row r="29" spans="1:6" ht="15" x14ac:dyDescent="0.25">
      <c r="A29" s="3"/>
      <c r="B29" s="60"/>
      <c r="C29" s="187"/>
      <c r="D29" s="3"/>
      <c r="F29" s="188"/>
    </row>
    <row r="30" spans="1:6" ht="15" x14ac:dyDescent="0.25">
      <c r="A30" s="59" t="s">
        <v>252</v>
      </c>
      <c r="B30" s="104" t="s">
        <v>253</v>
      </c>
      <c r="C30" s="105">
        <v>1.9800000000000002E-2</v>
      </c>
      <c r="D30" s="3"/>
      <c r="F30" s="105"/>
    </row>
    <row r="31" spans="1:6" ht="15" x14ac:dyDescent="0.25">
      <c r="A31" s="59" t="s">
        <v>254</v>
      </c>
      <c r="B31" s="104" t="s">
        <v>255</v>
      </c>
      <c r="C31" s="105">
        <v>3.6999999999999998E-2</v>
      </c>
      <c r="D31" s="3"/>
      <c r="F31" s="105"/>
    </row>
    <row r="32" spans="1:6" ht="15" x14ac:dyDescent="0.25">
      <c r="A32" s="59" t="s">
        <v>256</v>
      </c>
      <c r="B32" s="104" t="s">
        <v>257</v>
      </c>
      <c r="C32" s="105">
        <v>4.4499999999999998E-2</v>
      </c>
      <c r="D32" s="3"/>
      <c r="F32" s="105"/>
    </row>
    <row r="33" spans="1:6" ht="15" x14ac:dyDescent="0.25">
      <c r="A33" s="59" t="s">
        <v>258</v>
      </c>
      <c r="B33" s="104" t="s">
        <v>259</v>
      </c>
      <c r="C33" s="105">
        <v>0.1419</v>
      </c>
      <c r="D33" s="3"/>
      <c r="F33" s="105"/>
    </row>
    <row r="34" spans="1:6" ht="15" x14ac:dyDescent="0.25">
      <c r="A34" s="59" t="s">
        <v>426</v>
      </c>
      <c r="B34" s="104">
        <v>39200</v>
      </c>
      <c r="C34" s="105">
        <v>6.0299999999999999E-2</v>
      </c>
      <c r="D34" s="3"/>
      <c r="F34" s="105"/>
    </row>
    <row r="35" spans="1:6" ht="15" x14ac:dyDescent="0.25">
      <c r="A35" s="59" t="s">
        <v>427</v>
      </c>
      <c r="B35" s="104">
        <v>39210</v>
      </c>
      <c r="C35" s="105">
        <v>6.0299999999999999E-2</v>
      </c>
      <c r="D35" s="3"/>
      <c r="F35" s="105"/>
    </row>
    <row r="36" spans="1:6" ht="15" x14ac:dyDescent="0.25">
      <c r="A36" s="59" t="s">
        <v>260</v>
      </c>
      <c r="B36" s="104" t="s">
        <v>261</v>
      </c>
      <c r="C36" s="105">
        <v>1.35E-2</v>
      </c>
      <c r="D36" s="3"/>
      <c r="F36" s="105"/>
    </row>
    <row r="37" spans="1:6" ht="15" x14ac:dyDescent="0.25">
      <c r="A37" s="59" t="s">
        <v>262</v>
      </c>
      <c r="B37" s="104" t="s">
        <v>263</v>
      </c>
      <c r="C37" s="105">
        <v>3.2099999999999997E-2</v>
      </c>
      <c r="D37" s="3"/>
      <c r="F37" s="105"/>
    </row>
    <row r="38" spans="1:6" ht="15" x14ac:dyDescent="0.25">
      <c r="A38" s="59" t="s">
        <v>264</v>
      </c>
      <c r="B38" s="104" t="s">
        <v>265</v>
      </c>
      <c r="C38" s="105">
        <v>4.0500000000000001E-2</v>
      </c>
      <c r="D38" s="3"/>
      <c r="F38" s="105"/>
    </row>
    <row r="39" spans="1:6" ht="15" x14ac:dyDescent="0.25">
      <c r="A39" s="59" t="s">
        <v>266</v>
      </c>
      <c r="B39" s="104" t="s">
        <v>267</v>
      </c>
      <c r="C39" s="105">
        <v>4.1799999999999997E-2</v>
      </c>
      <c r="D39" s="3"/>
      <c r="F39" s="105"/>
    </row>
    <row r="40" spans="1:6" ht="15" x14ac:dyDescent="0.25">
      <c r="A40" s="59" t="s">
        <v>268</v>
      </c>
      <c r="B40" s="104" t="s">
        <v>269</v>
      </c>
      <c r="C40" s="105">
        <v>4.4400000000000002E-2</v>
      </c>
      <c r="D40" s="3"/>
      <c r="F40" s="105"/>
    </row>
    <row r="41" spans="1:6" ht="15" x14ac:dyDescent="0.25">
      <c r="A41" s="59" t="s">
        <v>306</v>
      </c>
      <c r="B41" s="104">
        <v>39900</v>
      </c>
      <c r="C41" s="105">
        <v>0</v>
      </c>
      <c r="D41" s="3"/>
      <c r="F41" s="105"/>
    </row>
    <row r="42" spans="1:6" ht="15" x14ac:dyDescent="0.25">
      <c r="A42" s="3"/>
      <c r="B42" s="3"/>
      <c r="C42" s="3"/>
      <c r="D42" s="3"/>
    </row>
    <row r="43" spans="1:6" ht="15" x14ac:dyDescent="0.25">
      <c r="A43" s="86" t="s">
        <v>428</v>
      </c>
      <c r="B43" s="3"/>
      <c r="C43" s="3"/>
      <c r="D43" s="3"/>
    </row>
    <row r="44" spans="1:6" ht="15" x14ac:dyDescent="0.25">
      <c r="A44" s="3"/>
      <c r="B44" s="3"/>
      <c r="C44" s="3"/>
      <c r="D44" s="3"/>
    </row>
  </sheetData>
  <customSheetViews>
    <customSheetView guid="{64F6106B-9E0C-489A-BDF0-E26F35DDE29F}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63"/>
  <sheetViews>
    <sheetView showGridLines="0" zoomScale="85" zoomScaleNormal="85" workbookViewId="0">
      <selection activeCell="C7" sqref="C7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2.5703125" customWidth="1"/>
    <col min="4" max="4" width="26.28515625" bestFit="1" customWidth="1"/>
    <col min="6" max="6" width="10" bestFit="1" customWidth="1"/>
  </cols>
  <sheetData>
    <row r="4" spans="1:7" ht="19.5" x14ac:dyDescent="0.35">
      <c r="C4" s="43" t="s">
        <v>110</v>
      </c>
      <c r="D4" s="3"/>
      <c r="E4" s="207"/>
      <c r="F4" s="3"/>
      <c r="G4" s="3"/>
    </row>
    <row r="5" spans="1:7" ht="15" x14ac:dyDescent="0.25">
      <c r="C5" s="19" t="s">
        <v>342</v>
      </c>
      <c r="D5" s="3"/>
      <c r="E5" s="3"/>
      <c r="F5" s="3"/>
      <c r="G5" s="3"/>
    </row>
    <row r="6" spans="1:7" ht="15" x14ac:dyDescent="0.25">
      <c r="C6" s="44" t="str">
        <f>+Allocation!B6</f>
        <v>2017 FORECAST</v>
      </c>
      <c r="D6" s="3"/>
      <c r="E6" s="3"/>
      <c r="F6" s="3"/>
      <c r="G6" s="3"/>
    </row>
    <row r="7" spans="1:7" ht="15" x14ac:dyDescent="0.25">
      <c r="C7" s="44" t="str">
        <f>+Allocation!B7</f>
        <v>12-15-2016 Posting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179</v>
      </c>
      <c r="G8" s="3"/>
    </row>
    <row r="9" spans="1:7" ht="15" x14ac:dyDescent="0.25">
      <c r="C9" s="3"/>
      <c r="D9" s="3"/>
      <c r="E9" s="3"/>
      <c r="F9" s="5" t="s">
        <v>435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344</v>
      </c>
      <c r="D11" s="7" t="s">
        <v>97</v>
      </c>
      <c r="F11" s="3"/>
    </row>
    <row r="12" spans="1:7" ht="15" x14ac:dyDescent="0.25">
      <c r="A12" s="26" t="s">
        <v>70</v>
      </c>
      <c r="B12" s="3"/>
      <c r="C12" s="19" t="s">
        <v>345</v>
      </c>
      <c r="D12" s="7" t="s">
        <v>4</v>
      </c>
      <c r="F12" s="66"/>
    </row>
    <row r="13" spans="1:7" ht="15" x14ac:dyDescent="0.25">
      <c r="A13" s="26"/>
      <c r="B13" s="3"/>
      <c r="C13" s="8"/>
      <c r="D13" s="30"/>
      <c r="F13" s="66"/>
    </row>
    <row r="14" spans="1:7" ht="19.5" x14ac:dyDescent="0.35">
      <c r="A14" s="26">
        <v>1</v>
      </c>
      <c r="B14" s="81" t="s">
        <v>68</v>
      </c>
      <c r="C14" s="8"/>
      <c r="D14" s="30"/>
      <c r="F14" s="66"/>
    </row>
    <row r="15" spans="1:7" ht="15" x14ac:dyDescent="0.25">
      <c r="A15" s="82">
        <f>1+A14</f>
        <v>2</v>
      </c>
      <c r="B15" s="79" t="s">
        <v>329</v>
      </c>
      <c r="C15" s="154">
        <v>217126819</v>
      </c>
      <c r="D15" s="77" t="s">
        <v>576</v>
      </c>
    </row>
    <row r="16" spans="1:7" ht="15" x14ac:dyDescent="0.25">
      <c r="A16" s="82">
        <f t="shared" ref="A16:A27" si="0">1+A15</f>
        <v>3</v>
      </c>
      <c r="B16" s="80" t="s">
        <v>340</v>
      </c>
      <c r="C16" s="155">
        <v>217228413</v>
      </c>
      <c r="D16" s="77" t="s">
        <v>348</v>
      </c>
    </row>
    <row r="17" spans="1:7" ht="15" x14ac:dyDescent="0.25">
      <c r="A17" s="82">
        <f t="shared" si="0"/>
        <v>4</v>
      </c>
      <c r="B17" s="79" t="s">
        <v>330</v>
      </c>
      <c r="C17" s="155">
        <v>217330007</v>
      </c>
      <c r="D17" s="77" t="s">
        <v>348</v>
      </c>
    </row>
    <row r="18" spans="1:7" ht="15" x14ac:dyDescent="0.25">
      <c r="A18" s="82">
        <f t="shared" si="0"/>
        <v>5</v>
      </c>
      <c r="B18" s="79" t="s">
        <v>331</v>
      </c>
      <c r="C18" s="155">
        <v>217431601</v>
      </c>
      <c r="D18" s="77" t="s">
        <v>348</v>
      </c>
    </row>
    <row r="19" spans="1:7" ht="15" x14ac:dyDescent="0.25">
      <c r="A19" s="82">
        <f t="shared" si="0"/>
        <v>6</v>
      </c>
      <c r="B19" s="79" t="s">
        <v>332</v>
      </c>
      <c r="C19" s="155">
        <v>218242379</v>
      </c>
      <c r="D19" s="77" t="s">
        <v>348</v>
      </c>
    </row>
    <row r="20" spans="1:7" ht="15" x14ac:dyDescent="0.25">
      <c r="A20" s="82">
        <f t="shared" si="0"/>
        <v>7</v>
      </c>
      <c r="B20" s="79" t="s">
        <v>333</v>
      </c>
      <c r="C20" s="155">
        <v>218468405</v>
      </c>
      <c r="D20" s="77" t="s">
        <v>348</v>
      </c>
    </row>
    <row r="21" spans="1:7" ht="15" x14ac:dyDescent="0.25">
      <c r="A21" s="82">
        <f t="shared" si="0"/>
        <v>8</v>
      </c>
      <c r="B21" s="79" t="s">
        <v>334</v>
      </c>
      <c r="C21" s="155">
        <v>219143265</v>
      </c>
      <c r="D21" s="77" t="s">
        <v>348</v>
      </c>
    </row>
    <row r="22" spans="1:7" ht="15" x14ac:dyDescent="0.25">
      <c r="A22" s="82">
        <f t="shared" si="0"/>
        <v>9</v>
      </c>
      <c r="B22" s="79" t="s">
        <v>335</v>
      </c>
      <c r="C22" s="155">
        <v>219338481</v>
      </c>
      <c r="D22" s="77" t="s">
        <v>348</v>
      </c>
    </row>
    <row r="23" spans="1:7" ht="15" x14ac:dyDescent="0.25">
      <c r="A23" s="82">
        <f t="shared" si="0"/>
        <v>10</v>
      </c>
      <c r="B23" s="79" t="s">
        <v>336</v>
      </c>
      <c r="C23" s="155">
        <v>219537459</v>
      </c>
      <c r="D23" s="77" t="s">
        <v>348</v>
      </c>
    </row>
    <row r="24" spans="1:7" ht="15" x14ac:dyDescent="0.25">
      <c r="A24" s="82">
        <f t="shared" si="0"/>
        <v>11</v>
      </c>
      <c r="B24" s="79" t="s">
        <v>337</v>
      </c>
      <c r="C24" s="155">
        <v>222465341</v>
      </c>
      <c r="D24" s="77" t="s">
        <v>348</v>
      </c>
    </row>
    <row r="25" spans="1:7" ht="15" x14ac:dyDescent="0.25">
      <c r="A25" s="82">
        <f t="shared" si="0"/>
        <v>12</v>
      </c>
      <c r="B25" s="79" t="s">
        <v>338</v>
      </c>
      <c r="C25" s="155">
        <v>222465341</v>
      </c>
      <c r="D25" s="77" t="s">
        <v>348</v>
      </c>
    </row>
    <row r="26" spans="1:7" ht="15" x14ac:dyDescent="0.25">
      <c r="A26" s="82">
        <f t="shared" si="0"/>
        <v>13</v>
      </c>
      <c r="B26" s="79" t="s">
        <v>339</v>
      </c>
      <c r="C26" s="155">
        <v>222465341</v>
      </c>
      <c r="D26" s="77" t="s">
        <v>348</v>
      </c>
    </row>
    <row r="27" spans="1:7" ht="15" x14ac:dyDescent="0.25">
      <c r="A27" s="82">
        <f t="shared" si="0"/>
        <v>14</v>
      </c>
      <c r="B27" s="80" t="s">
        <v>341</v>
      </c>
      <c r="C27" s="155">
        <v>222465341</v>
      </c>
      <c r="D27" s="77" t="s">
        <v>577</v>
      </c>
    </row>
    <row r="28" spans="1:7" ht="15" x14ac:dyDescent="0.25">
      <c r="C28" s="78"/>
    </row>
    <row r="29" spans="1:7" ht="15" x14ac:dyDescent="0.25">
      <c r="A29" s="82">
        <f>1+A27</f>
        <v>15</v>
      </c>
      <c r="B29" s="79" t="s">
        <v>343</v>
      </c>
      <c r="C29" s="45">
        <f>AVERAGE(C15:C27)</f>
        <v>219516014.84615386</v>
      </c>
      <c r="G29" s="3"/>
    </row>
    <row r="30" spans="1:7" ht="15" x14ac:dyDescent="0.25">
      <c r="C30" s="78"/>
      <c r="G30" s="9"/>
    </row>
    <row r="31" spans="1:7" ht="19.5" x14ac:dyDescent="0.35">
      <c r="A31" s="26">
        <f>1+A29</f>
        <v>16</v>
      </c>
      <c r="B31" s="81" t="s">
        <v>346</v>
      </c>
      <c r="C31" s="83"/>
      <c r="D31" s="30"/>
      <c r="F31" s="66"/>
    </row>
    <row r="32" spans="1:7" ht="15" x14ac:dyDescent="0.25">
      <c r="A32" s="82">
        <f>1+A31</f>
        <v>17</v>
      </c>
      <c r="B32" s="79" t="s">
        <v>329</v>
      </c>
      <c r="C32" s="156">
        <v>126709746.2</v>
      </c>
      <c r="D32" s="77" t="s">
        <v>578</v>
      </c>
    </row>
    <row r="33" spans="1:6" ht="15" x14ac:dyDescent="0.25">
      <c r="A33" s="82">
        <f t="shared" ref="A33:A44" si="1">1+A32</f>
        <v>18</v>
      </c>
      <c r="B33" s="80" t="s">
        <v>340</v>
      </c>
      <c r="C33" s="157">
        <v>127180917.2</v>
      </c>
      <c r="D33" s="77" t="s">
        <v>348</v>
      </c>
    </row>
    <row r="34" spans="1:6" ht="15" x14ac:dyDescent="0.25">
      <c r="A34" s="82">
        <f t="shared" si="1"/>
        <v>19</v>
      </c>
      <c r="B34" s="79" t="s">
        <v>330</v>
      </c>
      <c r="C34" s="157">
        <v>129277120.2</v>
      </c>
      <c r="D34" s="77" t="s">
        <v>348</v>
      </c>
    </row>
    <row r="35" spans="1:6" ht="15" x14ac:dyDescent="0.25">
      <c r="A35" s="82">
        <f t="shared" si="1"/>
        <v>20</v>
      </c>
      <c r="B35" s="79" t="s">
        <v>331</v>
      </c>
      <c r="C35" s="157">
        <v>129843967.2</v>
      </c>
      <c r="D35" s="77" t="s">
        <v>348</v>
      </c>
    </row>
    <row r="36" spans="1:6" ht="15" x14ac:dyDescent="0.25">
      <c r="A36" s="82">
        <f t="shared" si="1"/>
        <v>21</v>
      </c>
      <c r="B36" s="79" t="s">
        <v>332</v>
      </c>
      <c r="C36" s="157">
        <v>131331351.2</v>
      </c>
      <c r="D36" s="77" t="s">
        <v>348</v>
      </c>
    </row>
    <row r="37" spans="1:6" ht="15" x14ac:dyDescent="0.25">
      <c r="A37" s="82">
        <f t="shared" si="1"/>
        <v>22</v>
      </c>
      <c r="B37" s="79" t="s">
        <v>333</v>
      </c>
      <c r="C37" s="157">
        <v>132423958.2</v>
      </c>
      <c r="D37" s="77" t="s">
        <v>348</v>
      </c>
    </row>
    <row r="38" spans="1:6" ht="15" x14ac:dyDescent="0.25">
      <c r="A38" s="82">
        <f t="shared" si="1"/>
        <v>23</v>
      </c>
      <c r="B38" s="79" t="s">
        <v>334</v>
      </c>
      <c r="C38" s="157">
        <v>132754916.2</v>
      </c>
      <c r="D38" s="77" t="s">
        <v>348</v>
      </c>
    </row>
    <row r="39" spans="1:6" ht="15" x14ac:dyDescent="0.25">
      <c r="A39" s="82">
        <f t="shared" si="1"/>
        <v>24</v>
      </c>
      <c r="B39" s="79" t="s">
        <v>335</v>
      </c>
      <c r="C39" s="157">
        <v>136186000.19999999</v>
      </c>
      <c r="D39" s="77" t="s">
        <v>348</v>
      </c>
    </row>
    <row r="40" spans="1:6" ht="15" x14ac:dyDescent="0.25">
      <c r="A40" s="82">
        <f t="shared" si="1"/>
        <v>25</v>
      </c>
      <c r="B40" s="79" t="s">
        <v>336</v>
      </c>
      <c r="C40" s="157">
        <v>136354649.19999999</v>
      </c>
      <c r="D40" s="77" t="s">
        <v>348</v>
      </c>
    </row>
    <row r="41" spans="1:6" ht="15" x14ac:dyDescent="0.25">
      <c r="A41" s="82">
        <f t="shared" si="1"/>
        <v>26</v>
      </c>
      <c r="B41" s="79" t="s">
        <v>337</v>
      </c>
      <c r="C41" s="157">
        <v>142107454.06</v>
      </c>
      <c r="D41" s="77" t="s">
        <v>348</v>
      </c>
    </row>
    <row r="42" spans="1:6" ht="15" x14ac:dyDescent="0.25">
      <c r="A42" s="82">
        <f t="shared" si="1"/>
        <v>27</v>
      </c>
      <c r="B42" s="79" t="s">
        <v>338</v>
      </c>
      <c r="C42" s="157">
        <v>142107454.06</v>
      </c>
      <c r="D42" s="77" t="s">
        <v>348</v>
      </c>
    </row>
    <row r="43" spans="1:6" ht="15" x14ac:dyDescent="0.25">
      <c r="A43" s="82">
        <f t="shared" si="1"/>
        <v>28</v>
      </c>
      <c r="B43" s="79" t="s">
        <v>339</v>
      </c>
      <c r="C43" s="157">
        <v>142107454.06</v>
      </c>
      <c r="D43" s="77" t="s">
        <v>348</v>
      </c>
    </row>
    <row r="44" spans="1:6" ht="15" x14ac:dyDescent="0.25">
      <c r="A44" s="82">
        <f t="shared" si="1"/>
        <v>29</v>
      </c>
      <c r="B44" s="80" t="s">
        <v>341</v>
      </c>
      <c r="C44" s="157">
        <v>142107454.06</v>
      </c>
      <c r="D44" s="77" t="s">
        <v>579</v>
      </c>
    </row>
    <row r="45" spans="1:6" ht="15" x14ac:dyDescent="0.25">
      <c r="C45" s="78"/>
    </row>
    <row r="46" spans="1:6" ht="15" x14ac:dyDescent="0.25">
      <c r="A46" s="82">
        <f>1+A44</f>
        <v>30</v>
      </c>
      <c r="B46" s="79" t="s">
        <v>347</v>
      </c>
      <c r="C46" s="45">
        <f>AVERAGE(C32:C44)</f>
        <v>134653264.77230769</v>
      </c>
    </row>
    <row r="47" spans="1:6" ht="15" x14ac:dyDescent="0.25">
      <c r="C47" s="78"/>
    </row>
    <row r="48" spans="1:6" ht="19.5" x14ac:dyDescent="0.35">
      <c r="A48" s="26">
        <f>1+A46</f>
        <v>31</v>
      </c>
      <c r="B48" s="81" t="s">
        <v>349</v>
      </c>
      <c r="C48" s="83"/>
      <c r="D48" s="30"/>
      <c r="F48" s="66"/>
    </row>
    <row r="49" spans="1:4" ht="15" x14ac:dyDescent="0.25">
      <c r="A49" s="82">
        <f>1+A48</f>
        <v>32</v>
      </c>
      <c r="B49" s="79" t="s">
        <v>329</v>
      </c>
      <c r="C49" s="158">
        <v>1702019796.8600001</v>
      </c>
      <c r="D49" s="77" t="s">
        <v>580</v>
      </c>
    </row>
    <row r="50" spans="1:4" ht="15" x14ac:dyDescent="0.25">
      <c r="A50" s="82">
        <f t="shared" ref="A50:A61" si="2">1+A49</f>
        <v>33</v>
      </c>
      <c r="B50" s="80" t="s">
        <v>340</v>
      </c>
      <c r="C50" s="160">
        <v>1706228529.8600001</v>
      </c>
      <c r="D50" s="77" t="s">
        <v>348</v>
      </c>
    </row>
    <row r="51" spans="1:4" ht="15" x14ac:dyDescent="0.25">
      <c r="A51" s="82">
        <f t="shared" si="2"/>
        <v>34</v>
      </c>
      <c r="B51" s="79" t="s">
        <v>330</v>
      </c>
      <c r="C51" s="159">
        <v>1713316839.1445391</v>
      </c>
      <c r="D51" s="77" t="s">
        <v>348</v>
      </c>
    </row>
    <row r="52" spans="1:4" ht="15" x14ac:dyDescent="0.25">
      <c r="A52" s="82">
        <f t="shared" si="2"/>
        <v>35</v>
      </c>
      <c r="B52" s="79" t="s">
        <v>331</v>
      </c>
      <c r="C52" s="159">
        <v>1724977083.1445391</v>
      </c>
      <c r="D52" s="77" t="s">
        <v>348</v>
      </c>
    </row>
    <row r="53" spans="1:4" ht="15" x14ac:dyDescent="0.25">
      <c r="A53" s="82">
        <f t="shared" si="2"/>
        <v>36</v>
      </c>
      <c r="B53" s="79" t="s">
        <v>332</v>
      </c>
      <c r="C53" s="159">
        <v>1735399284.1445391</v>
      </c>
      <c r="D53" s="77" t="s">
        <v>348</v>
      </c>
    </row>
    <row r="54" spans="1:4" ht="15" x14ac:dyDescent="0.25">
      <c r="A54" s="82">
        <f t="shared" si="2"/>
        <v>37</v>
      </c>
      <c r="B54" s="79" t="s">
        <v>333</v>
      </c>
      <c r="C54" s="159">
        <v>1738568339.1445391</v>
      </c>
      <c r="D54" s="77" t="s">
        <v>348</v>
      </c>
    </row>
    <row r="55" spans="1:4" ht="15" x14ac:dyDescent="0.25">
      <c r="A55" s="82">
        <f t="shared" si="2"/>
        <v>38</v>
      </c>
      <c r="B55" s="79" t="s">
        <v>334</v>
      </c>
      <c r="C55" s="159">
        <v>1751640390.1445391</v>
      </c>
      <c r="D55" s="77" t="s">
        <v>348</v>
      </c>
    </row>
    <row r="56" spans="1:4" ht="15" x14ac:dyDescent="0.25">
      <c r="A56" s="82">
        <f t="shared" si="2"/>
        <v>39</v>
      </c>
      <c r="B56" s="79" t="s">
        <v>335</v>
      </c>
      <c r="C56" s="159">
        <v>1757117112.1445391</v>
      </c>
      <c r="D56" s="77" t="s">
        <v>348</v>
      </c>
    </row>
    <row r="57" spans="1:4" ht="15" x14ac:dyDescent="0.25">
      <c r="A57" s="82">
        <f t="shared" si="2"/>
        <v>40</v>
      </c>
      <c r="B57" s="79" t="s">
        <v>336</v>
      </c>
      <c r="C57" s="159">
        <v>1759593930.1445391</v>
      </c>
      <c r="D57" s="77" t="s">
        <v>348</v>
      </c>
    </row>
    <row r="58" spans="1:4" ht="15" x14ac:dyDescent="0.25">
      <c r="A58" s="82">
        <f t="shared" si="2"/>
        <v>41</v>
      </c>
      <c r="B58" s="79" t="s">
        <v>337</v>
      </c>
      <c r="C58" s="159">
        <v>1776826148.004539</v>
      </c>
      <c r="D58" s="77" t="s">
        <v>348</v>
      </c>
    </row>
    <row r="59" spans="1:4" ht="15" x14ac:dyDescent="0.25">
      <c r="A59" s="82">
        <f t="shared" si="2"/>
        <v>42</v>
      </c>
      <c r="B59" s="79" t="s">
        <v>338</v>
      </c>
      <c r="C59" s="159">
        <v>1776826148.004539</v>
      </c>
      <c r="D59" s="77" t="s">
        <v>348</v>
      </c>
    </row>
    <row r="60" spans="1:4" ht="15" x14ac:dyDescent="0.25">
      <c r="A60" s="82">
        <f t="shared" si="2"/>
        <v>43</v>
      </c>
      <c r="B60" s="79" t="s">
        <v>339</v>
      </c>
      <c r="C60" s="159">
        <v>1776826148.004539</v>
      </c>
      <c r="D60" s="77" t="s">
        <v>348</v>
      </c>
    </row>
    <row r="61" spans="1:4" ht="15" x14ac:dyDescent="0.25">
      <c r="A61" s="82">
        <f t="shared" si="2"/>
        <v>44</v>
      </c>
      <c r="B61" s="80" t="s">
        <v>341</v>
      </c>
      <c r="C61" s="160">
        <v>1776826148.004539</v>
      </c>
      <c r="D61" s="77" t="s">
        <v>581</v>
      </c>
    </row>
    <row r="62" spans="1:4" ht="15" x14ac:dyDescent="0.25">
      <c r="C62" s="78"/>
    </row>
    <row r="63" spans="1:4" ht="15" x14ac:dyDescent="0.25">
      <c r="A63" s="82">
        <f>1+A61</f>
        <v>45</v>
      </c>
      <c r="B63" s="79" t="s">
        <v>351</v>
      </c>
      <c r="C63" s="209">
        <f>SUM(C49:C61)/13</f>
        <v>1745858915.1346102</v>
      </c>
    </row>
  </sheetData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1 ATRR</vt:lpstr>
      <vt:lpstr>2 WACC</vt:lpstr>
      <vt:lpstr>Rate Base</vt:lpstr>
      <vt:lpstr>4 Expense</vt:lpstr>
      <vt:lpstr>Allocation</vt:lpstr>
      <vt:lpstr>Temp</vt:lpstr>
      <vt:lpstr>Dep Rates</vt:lpstr>
      <vt:lpstr>13 mo avg plant</vt:lpstr>
      <vt:lpstr>13 mo avg accu dep</vt:lpstr>
      <vt:lpstr>ADIT</vt:lpstr>
      <vt:lpstr>165 Prepayment</vt:lpstr>
      <vt:lpstr>Rates</vt:lpstr>
      <vt:lpstr>_clp1</vt:lpstr>
      <vt:lpstr>_clp2</vt:lpstr>
      <vt:lpstr>Alloc</vt:lpstr>
      <vt:lpstr>clpcoc2</vt:lpstr>
      <vt:lpstr>'1 ATRR'!Print_Area</vt:lpstr>
      <vt:lpstr>'13 mo avg accu dep'!Print_Area</vt:lpstr>
      <vt:lpstr>'13 mo avg plant'!Print_Area</vt:lpstr>
      <vt:lpstr>'2 WACC'!Print_Area</vt:lpstr>
      <vt:lpstr>'4 Expense'!Print_Area</vt:lpstr>
      <vt:lpstr>ADIT!Print_Area</vt:lpstr>
      <vt:lpstr>Allocation!Print_Area</vt:lpstr>
      <vt:lpstr>'Dep Rates'!Print_Area</vt:lpstr>
      <vt:lpstr>'Rate Base'!Print_Area</vt:lpstr>
      <vt:lpstr>Rates!Print_Area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Bill Ryan</cp:lastModifiedBy>
  <cp:lastPrinted>2016-10-17T13:29:55Z</cp:lastPrinted>
  <dcterms:created xsi:type="dcterms:W3CDTF">1996-11-14T19:03:55Z</dcterms:created>
  <dcterms:modified xsi:type="dcterms:W3CDTF">2016-12-15T15:23:39Z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