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825" yWindow="525" windowWidth="12795" windowHeight="12180" tabRatio="701" firstSheet="13" activeTab="13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Depreciation'!$A$1:$G$43</definedName>
    <definedName name="_xlnm.Print_Area" localSheetId="12">'11 13 mo avg plant'!$A$4:$G$64</definedName>
    <definedName name="_xlnm.Print_Area" localSheetId="13">'12 13 mo avg accu dep'!$A$4:$G$47</definedName>
    <definedName name="_xlnm.Print_Area" localSheetId="14">'13 ADIT '!$A$3:$H$121</definedName>
    <definedName name="_xlnm.Print_Area" localSheetId="15">'14 165 Prepayments'!$A$4:$G$35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Meters'!$A$5:$J$55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C63" i="16" l="1"/>
  <c r="C61" i="5" l="1"/>
  <c r="A16" i="18" l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15" i="18"/>
  <c r="A33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C33" i="4" l="1"/>
  <c r="E35" i="12"/>
  <c r="K79" i="3" l="1"/>
  <c r="K71" i="3"/>
  <c r="K58" i="3"/>
  <c r="K64" i="3" s="1"/>
  <c r="F40" i="12" l="1"/>
  <c r="F39" i="12"/>
  <c r="F38" i="12"/>
  <c r="F37" i="12"/>
  <c r="F36" i="12"/>
  <c r="F35" i="12"/>
  <c r="G31" i="12"/>
  <c r="E31" i="12"/>
  <c r="D31" i="12"/>
  <c r="F29" i="12"/>
  <c r="F28" i="12"/>
  <c r="E24" i="12"/>
  <c r="D24" i="12"/>
  <c r="G22" i="12"/>
  <c r="F22" i="12"/>
  <c r="G21" i="12"/>
  <c r="G24" i="12" s="1"/>
  <c r="F21" i="12"/>
  <c r="G20" i="12"/>
  <c r="F20" i="12"/>
  <c r="G30" i="13"/>
  <c r="G29" i="13"/>
  <c r="G27" i="13"/>
  <c r="G44" i="13"/>
  <c r="G43" i="13"/>
  <c r="G42" i="13"/>
  <c r="E43" i="14" l="1"/>
  <c r="A41" i="14"/>
  <c r="C46" i="17" l="1"/>
  <c r="C29" i="17"/>
  <c r="C28" i="4" l="1"/>
  <c r="C27" i="4"/>
  <c r="A7" i="15" l="1"/>
  <c r="A6" i="15"/>
  <c r="E88" i="18" l="1"/>
  <c r="C26" i="4" s="1"/>
  <c r="A71" i="18"/>
  <c r="A72" i="18" s="1"/>
  <c r="A73" i="18" s="1"/>
  <c r="A74" i="18" s="1"/>
  <c r="A75" i="18" s="1"/>
  <c r="A76" i="18" s="1"/>
  <c r="A77" i="18" s="1"/>
  <c r="A78" i="18" s="1"/>
  <c r="A79" i="18" s="1"/>
  <c r="A80" i="18" s="1"/>
  <c r="A82" i="18" s="1"/>
  <c r="A84" i="18" s="1"/>
  <c r="A85" i="18" s="1"/>
  <c r="A86" i="18" s="1"/>
  <c r="A88" i="18" s="1"/>
  <c r="C33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A15" i="19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E33" i="19" l="1"/>
  <c r="C31" i="4" s="1"/>
  <c r="D33" i="19"/>
  <c r="K86" i="3" l="1"/>
  <c r="D45" i="13"/>
  <c r="D44" i="13"/>
  <c r="D41" i="13" l="1"/>
  <c r="C65" i="11"/>
  <c r="C43" i="11"/>
  <c r="D52" i="11" l="1"/>
  <c r="E15" i="3"/>
  <c r="P13" i="3"/>
  <c r="E13" i="3"/>
  <c r="D7" i="20"/>
  <c r="D6" i="20"/>
  <c r="C62" i="5"/>
  <c r="C24" i="5" s="1"/>
  <c r="C53" i="5"/>
  <c r="C37" i="5" s="1"/>
  <c r="G74" i="11"/>
  <c r="F74" i="11"/>
  <c r="G42" i="12"/>
  <c r="E42" i="12"/>
  <c r="D42" i="12"/>
  <c r="E47" i="13"/>
  <c r="D47" i="13"/>
  <c r="D33" i="6"/>
  <c r="C46" i="16"/>
  <c r="D43" i="6" s="1"/>
  <c r="C29" i="16"/>
  <c r="D29" i="6" s="1"/>
  <c r="C21" i="4"/>
  <c r="C7" i="16"/>
  <c r="C6" i="16"/>
  <c r="C7" i="17"/>
  <c r="C6" i="17"/>
  <c r="C6" i="18"/>
  <c r="C5" i="18"/>
  <c r="C7" i="19"/>
  <c r="C6" i="19"/>
  <c r="A1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 s="1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/>
  <c r="G19" i="13"/>
  <c r="F19" i="13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D6" i="2"/>
  <c r="A79" i="11"/>
  <c r="A80" i="11" s="1"/>
  <c r="B79" i="11"/>
  <c r="A70" i="11"/>
  <c r="A71" i="11"/>
  <c r="A72" i="11" s="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/>
  <c r="A22" i="4" s="1"/>
  <c r="A25" i="4"/>
  <c r="A26" i="4" s="1"/>
  <c r="A27" i="4" s="1"/>
  <c r="A28" i="4" s="1"/>
  <c r="A29" i="4" s="1"/>
  <c r="A36" i="4"/>
  <c r="A37" i="4"/>
  <c r="A38" i="4" s="1"/>
  <c r="A46" i="4"/>
  <c r="A47" i="4" s="1"/>
  <c r="A48" i="4" s="1"/>
  <c r="A49" i="4" s="1"/>
  <c r="E7" i="3"/>
  <c r="E6" i="3"/>
  <c r="F39" i="4"/>
  <c r="B8" i="4"/>
  <c r="B7" i="4"/>
  <c r="A18" i="5"/>
  <c r="A19" i="5"/>
  <c r="A24" i="5"/>
  <c r="A29" i="5"/>
  <c r="A30" i="5" s="1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/>
  <c r="A23" i="6"/>
  <c r="A24" i="6"/>
  <c r="A30" i="6"/>
  <c r="A31" i="6"/>
  <c r="A36" i="6"/>
  <c r="A44" i="6"/>
  <c r="A45" i="6" s="1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 s="1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0" i="4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N15" i="3"/>
  <c r="R15" i="3" s="1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 l="1"/>
  <c r="E75" i="11" s="1"/>
  <c r="E76" i="11" s="1"/>
  <c r="E36" i="3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4" i="14" s="1"/>
  <c r="E46" i="14" s="1"/>
  <c r="J20" i="4"/>
  <c r="L20" i="4" s="1"/>
  <c r="F36" i="6"/>
  <c r="F38" i="6" s="1"/>
  <c r="J28" i="4" s="1"/>
  <c r="J17" i="5"/>
  <c r="L17" i="5" s="1"/>
  <c r="D45" i="12"/>
  <c r="H21" i="12" s="1"/>
  <c r="E35" i="2" l="1"/>
  <c r="G27" i="3"/>
  <c r="G36" i="3" s="1"/>
  <c r="D26" i="4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7" i="14" s="1"/>
  <c r="E49" i="14" s="1"/>
  <c r="E53" i="14" s="1"/>
  <c r="E54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comments1.xml><?xml version="1.0" encoding="utf-8"?>
<comments xmlns="http://schemas.openxmlformats.org/spreadsheetml/2006/main">
  <authors>
    <author>Ryan, Bill</author>
  </authors>
  <commentList>
    <comment ref="C63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Formula subtracts $10,0097,954 in ENEL plant</t>
        </r>
      </text>
    </comment>
  </commentList>
</comments>
</file>

<file path=xl/sharedStrings.xml><?xml version="1.0" encoding="utf-8"?>
<sst xmlns="http://schemas.openxmlformats.org/spreadsheetml/2006/main" count="1273" uniqueCount="731">
  <si>
    <t>=</t>
  </si>
  <si>
    <t>(a)</t>
  </si>
  <si>
    <t>(b)</t>
  </si>
  <si>
    <t>Reference</t>
  </si>
  <si>
    <t>Total</t>
  </si>
  <si>
    <t>I.</t>
  </si>
  <si>
    <t>INVESTMENT BASE</t>
  </si>
  <si>
    <t>General Plant</t>
  </si>
  <si>
    <t>Accumulated Depreciation</t>
  </si>
  <si>
    <t>Accumulated Deferred Income Taxes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</si>
  <si>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</si>
  <si>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</si>
  <si>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</si>
  <si>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</si>
  <si>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</si>
  <si>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</si>
  <si>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</si>
  <si>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</si>
  <si>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</si>
  <si>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</si>
  <si>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</si>
  <si>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</si>
  <si>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</si>
  <si>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</si>
  <si>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</si>
  <si>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</si>
  <si>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</si>
  <si>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</si>
  <si>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</si>
  <si>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</si>
  <si>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</si>
  <si>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</si>
  <si>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</si>
  <si>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</si>
  <si>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</si>
  <si>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</si>
  <si>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</si>
  <si>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</si>
  <si>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</si>
  <si>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</si>
  <si>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</si>
  <si>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</si>
  <si>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</si>
  <si>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</si>
  <si>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</si>
  <si>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</si>
  <si>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</si>
  <si>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</si>
  <si>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</si>
  <si>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</si>
  <si>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</si>
  <si>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</si>
  <si>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</si>
  <si>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</si>
  <si>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</si>
  <si>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</si>
  <si>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</si>
  <si>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</si>
  <si>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</si>
  <si>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</si>
  <si>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</si>
  <si>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</si>
  <si>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</si>
  <si>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</si>
  <si>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</si>
  <si>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</si>
  <si>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</si>
  <si>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</si>
  <si>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</si>
  <si>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</si>
  <si>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</si>
  <si>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</si>
  <si>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</si>
  <si>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</si>
  <si>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</si>
  <si>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</si>
  <si>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</si>
  <si>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</si>
  <si>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</si>
  <si>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</si>
  <si>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</si>
  <si>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</si>
  <si>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</si>
  <si>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</si>
  <si>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</si>
  <si>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</si>
  <si>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</si>
  <si>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323.197b</t>
  </si>
  <si>
    <t>Page 323.189b</t>
  </si>
  <si>
    <t>Page 323.191b</t>
  </si>
  <si>
    <t>Page 336.10b</t>
  </si>
  <si>
    <t>Page 323.185b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</si>
  <si>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</si>
  <si>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</si>
  <si>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</si>
  <si>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</si>
  <si>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</si>
  <si>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</si>
  <si>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</si>
  <si>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</si>
  <si>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</si>
  <si>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</si>
  <si>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</si>
  <si>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</si>
  <si>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</si>
  <si>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</si>
  <si>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</si>
  <si>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</si>
  <si>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</si>
  <si>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</si>
  <si>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</si>
  <si>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</si>
  <si>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</si>
  <si>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</si>
  <si>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</si>
  <si>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</si>
  <si>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</si>
  <si>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</si>
  <si>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</si>
  <si>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</si>
  <si>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</si>
  <si>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</si>
  <si>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</si>
  <si>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</si>
  <si>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</si>
  <si>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</si>
  <si>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</si>
  <si>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</si>
  <si>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</si>
  <si>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</si>
  <si>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</si>
  <si>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</si>
  <si>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</si>
  <si>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</si>
  <si>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</si>
  <si>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</si>
  <si>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</si>
  <si>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</si>
  <si>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</si>
  <si>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</si>
  <si>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</si>
  <si>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</si>
  <si>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</si>
  <si>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</si>
  <si>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</si>
  <si>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</si>
  <si>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</si>
  <si>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</si>
  <si>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</si>
  <si>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</si>
  <si>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</si>
  <si>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</si>
  <si>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</si>
  <si>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</si>
  <si>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</si>
  <si>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</si>
  <si>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</si>
  <si>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</si>
  <si>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</si>
  <si>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</si>
  <si>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</si>
  <si>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</si>
  <si>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</si>
  <si>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</si>
  <si>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</si>
  <si>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</si>
  <si>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</si>
  <si>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</si>
  <si>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</si>
  <si>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</si>
  <si>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</si>
  <si>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</si>
  <si>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</si>
  <si>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</si>
  <si>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</si>
  <si>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</si>
  <si>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</si>
  <si>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</si>
  <si>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</si>
  <si>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</si>
  <si>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</si>
  <si>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</si>
  <si>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</si>
  <si>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</si>
  <si>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</si>
  <si>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</si>
  <si>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</si>
  <si>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</si>
  <si>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</si>
  <si>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</si>
  <si>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</si>
  <si>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</si>
  <si>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</si>
  <si>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</si>
  <si>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</si>
  <si>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</si>
  <si>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</si>
  <si>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</si>
  <si>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</si>
  <si>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</si>
  <si>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</si>
  <si>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</si>
  <si>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</si>
  <si>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</si>
  <si>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</si>
  <si>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</si>
  <si>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</si>
  <si>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</si>
  <si>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</si>
  <si>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</si>
  <si>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</si>
  <si>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</si>
  <si>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</si>
  <si>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</si>
  <si>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</si>
  <si>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</si>
  <si>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</si>
  <si>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</si>
  <si>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</si>
  <si>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</si>
  <si>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</si>
  <si>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</si>
  <si>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</si>
  <si>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</si>
  <si>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</si>
  <si>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</si>
  <si>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</si>
  <si>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</si>
  <si>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</si>
  <si>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</si>
  <si>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</si>
  <si>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</si>
  <si>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</si>
  <si>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</si>
  <si>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</si>
  <si>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</si>
  <si>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</si>
  <si>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</si>
  <si>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</si>
  <si>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</si>
  <si>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</si>
  <si>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</si>
  <si>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</si>
  <si>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</si>
  <si>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</si>
  <si>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</si>
  <si>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</si>
  <si>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</si>
  <si>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</si>
  <si>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</si>
  <si>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</si>
  <si>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</si>
  <si>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</si>
  <si>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</si>
  <si>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</si>
  <si>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</si>
  <si>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</si>
  <si>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</si>
  <si>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</si>
  <si>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</si>
  <si>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</si>
  <si>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</si>
  <si>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</si>
  <si>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</si>
  <si>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</si>
  <si>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</si>
  <si>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</si>
  <si>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</si>
  <si>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</si>
  <si>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</si>
  <si>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</si>
  <si>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</si>
  <si>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</si>
  <si>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</si>
  <si>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</si>
  <si>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</si>
  <si>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</si>
  <si>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</si>
  <si>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</si>
  <si>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</si>
  <si>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</si>
  <si>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</si>
  <si>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</si>
  <si>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</si>
  <si>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</si>
  <si>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</si>
  <si>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</si>
  <si>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</si>
  <si>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</si>
  <si>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</si>
  <si>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</si>
  <si>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</si>
  <si>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</si>
  <si>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</si>
  <si>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</si>
  <si>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</si>
  <si>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</si>
  <si>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</si>
  <si>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</si>
  <si>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</si>
  <si>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</si>
  <si>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</si>
  <si>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</si>
  <si>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</si>
  <si>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</si>
  <si>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</si>
  <si>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</si>
  <si>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</si>
  <si>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</si>
  <si>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</si>
  <si>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</si>
  <si>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</si>
  <si>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</si>
  <si>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</si>
  <si>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</si>
  <si>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</si>
  <si>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</si>
  <si>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</si>
  <si>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</si>
  <si>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</si>
  <si>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</si>
  <si>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</si>
  <si>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</si>
  <si>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</si>
  <si>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</si>
  <si>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</si>
  <si>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</si>
  <si>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</si>
  <si>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</si>
  <si>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</si>
  <si>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</si>
  <si>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</si>
  <si>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</si>
  <si>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</si>
  <si>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</si>
  <si>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</si>
  <si>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</si>
  <si>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</si>
  <si>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</si>
  <si>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</si>
  <si>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</si>
  <si>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</si>
  <si>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</si>
  <si>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</si>
  <si>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</si>
  <si>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</si>
  <si>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</si>
  <si>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</si>
  <si>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</si>
  <si>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</si>
  <si>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</si>
  <si>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</si>
  <si>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</si>
  <si>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</si>
  <si>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</si>
  <si>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</si>
  <si>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</si>
  <si>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</si>
  <si>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</si>
  <si>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</si>
  <si>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</si>
  <si>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</si>
  <si>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</si>
  <si>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</si>
  <si>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</si>
  <si>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</si>
  <si>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</si>
  <si>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</si>
  <si>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</si>
  <si>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</si>
  <si>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</si>
  <si>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</si>
  <si>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</si>
  <si>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</si>
  <si>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</si>
  <si>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</si>
  <si>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</si>
  <si>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</si>
  <si>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</si>
  <si>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</si>
  <si>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</si>
  <si>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</si>
  <si>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</si>
  <si>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</si>
  <si>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</si>
  <si>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</si>
  <si>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</si>
  <si>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</si>
  <si>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</si>
  <si>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</si>
  <si>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</si>
  <si>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</si>
  <si>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</si>
  <si>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</si>
  <si>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</si>
  <si>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</si>
  <si>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</si>
  <si>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</si>
  <si>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</si>
  <si>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</si>
  <si>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</si>
  <si>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</si>
  <si>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</si>
  <si>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</si>
  <si>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</si>
  <si>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</si>
  <si>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</si>
  <si>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</si>
  <si>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</si>
  <si>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</si>
  <si>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</si>
  <si>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</si>
  <si>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</si>
  <si>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</si>
  <si>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</si>
  <si>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</si>
  <si>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</si>
  <si>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</si>
  <si>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</si>
  <si>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</si>
  <si>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</si>
  <si>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</si>
  <si>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</si>
  <si>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</si>
  <si>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</si>
  <si>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</si>
  <si>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</si>
  <si>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</si>
  <si>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</si>
  <si>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</si>
  <si>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</si>
  <si>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</si>
  <si>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</si>
  <si>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</si>
  <si>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</si>
  <si>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</si>
  <si>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</si>
  <si>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</si>
  <si>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</si>
  <si>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</si>
  <si>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</si>
  <si>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</si>
  <si>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</si>
  <si>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</si>
  <si>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</si>
  <si>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</si>
  <si>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</si>
  <si>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Acc 428 Amort Debt Discount and Expense</t>
  </si>
  <si>
    <t>Acc 428.1 Amort Loss on Reacqd Debt</t>
  </si>
  <si>
    <t>Less Acc 429 Amort Premium</t>
  </si>
  <si>
    <t>Less Acc 429.1 Amort Gain on Reacqd Debt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</si>
  <si>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</si>
  <si>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</si>
  <si>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</si>
  <si>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</si>
  <si>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</si>
  <si>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</si>
  <si>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</si>
  <si>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</si>
  <si>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</si>
  <si>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</si>
  <si>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</si>
  <si>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</si>
  <si>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Less: Preferred Stock</t>
  </si>
  <si>
    <t>Less Acc 216.1 Unap Undis Subsidiary Earnings</t>
  </si>
  <si>
    <t>Less:  Account 219 (enter negative)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</si>
  <si>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</si>
  <si>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</si>
  <si>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</si>
  <si>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</si>
  <si>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</si>
  <si>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</si>
  <si>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</si>
  <si>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</si>
  <si>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</si>
  <si>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</si>
  <si>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</si>
  <si>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</si>
  <si>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</si>
  <si>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</si>
  <si>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</si>
  <si>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</si>
  <si>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</si>
  <si>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</si>
  <si>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</si>
  <si>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</si>
  <si>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</si>
  <si>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</si>
  <si>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>January</t>
  </si>
  <si>
    <t>Company Workpapers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</si>
  <si>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</si>
  <si>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</si>
  <si>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</si>
  <si>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</si>
  <si>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</si>
  <si>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</si>
  <si>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</si>
  <si>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</si>
  <si>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</si>
  <si>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</si>
  <si>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 xml:space="preserve">13 Month Average Transmission </t>
  </si>
  <si>
    <t>General</t>
  </si>
  <si>
    <t>13 Month Average General</t>
  </si>
  <si>
    <t xml:space="preserve">Total Plant in Service </t>
  </si>
  <si>
    <t>13 Month Average Total Plant</t>
  </si>
  <si>
    <t>13 Month Average Accumulated Depreciation</t>
  </si>
  <si>
    <t>ADIT</t>
  </si>
  <si>
    <t xml:space="preserve">Beginning </t>
  </si>
  <si>
    <t xml:space="preserve">Ending </t>
  </si>
  <si>
    <t xml:space="preserve">Average </t>
  </si>
  <si>
    <t>Account 283</t>
  </si>
  <si>
    <t>Total Account 283</t>
  </si>
  <si>
    <t>Account 190</t>
  </si>
  <si>
    <t>Account 165 Prepayment</t>
  </si>
  <si>
    <t>Total Account 165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</si>
  <si>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</si>
  <si>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</si>
  <si>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</si>
  <si>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</si>
  <si>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</si>
  <si>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</si>
  <si>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</si>
  <si>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Worksheet 13</t>
  </si>
  <si>
    <t>General Plant Accum. Depreciation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</si>
  <si>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</si>
  <si>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</si>
  <si>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</si>
  <si>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</si>
  <si>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</si>
  <si>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</si>
  <si>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</si>
  <si>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</si>
  <si>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</si>
  <si>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</si>
  <si>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</si>
  <si>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</si>
  <si>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</si>
  <si>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</si>
  <si>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</si>
  <si>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</si>
  <si>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</si>
  <si>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</si>
  <si>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</si>
  <si>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</si>
  <si>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</si>
  <si>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</si>
  <si>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</si>
  <si>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</si>
  <si>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</si>
  <si>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</si>
  <si>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</si>
  <si>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</si>
  <si>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</si>
  <si>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</si>
  <si>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</si>
  <si>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</si>
  <si>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</si>
  <si>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</si>
  <si>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</si>
  <si>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</si>
  <si>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</si>
  <si>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</si>
  <si>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</si>
  <si>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</si>
  <si>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</si>
  <si>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</si>
  <si>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**** Land and Land Rights attributable to substations from Plant Accounting, Page 450</t>
  </si>
  <si>
    <t>Land and Land Rights (p.207.60) ****</t>
  </si>
  <si>
    <t>1/8 O&amp;M-Fuel&amp;Purchased Power</t>
  </si>
  <si>
    <t>HEALTH INSURANCE RESERVE</t>
  </si>
  <si>
    <t>COST OF REMOVAL REGULATORY LIAB</t>
  </si>
  <si>
    <t>CAFC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</si>
  <si>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</si>
  <si>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</si>
  <si>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</si>
  <si>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</si>
  <si>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</si>
  <si>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East Barnet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</si>
  <si>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</si>
  <si>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</si>
  <si>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</si>
  <si>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</si>
  <si>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</si>
  <si>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</si>
  <si>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</si>
  <si>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</si>
  <si>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</si>
  <si>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</si>
  <si>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</si>
  <si>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 xml:space="preserve">Sheldon (from intersection of Berkshire Tap </t>
  </si>
  <si>
    <t>Account 282, 283, 190</t>
  </si>
  <si>
    <t>TRANS</t>
  </si>
  <si>
    <t>Investment in Associated Companies</t>
  </si>
  <si>
    <t>Deferred Charges</t>
  </si>
  <si>
    <t>GORGE REPOWERMENT</t>
  </si>
  <si>
    <t>REG ASSET - VMPD VALUE SHARING</t>
  </si>
  <si>
    <t>REG ASSET - DEPRECIATION STUDY</t>
  </si>
  <si>
    <t>NUCLEAR DEF OUTAGE COSTS</t>
  </si>
  <si>
    <t>ARO</t>
  </si>
  <si>
    <t>25297,25298</t>
  </si>
  <si>
    <t>FINANCE CHARGE (LINEX)</t>
  </si>
  <si>
    <t>Deferred Credits</t>
  </si>
  <si>
    <t>ASSET RETIREMENT LIABILITY</t>
  </si>
  <si>
    <t>UNEARNED REVENUE</t>
  </si>
  <si>
    <t>MISC CUR WORKERS COMP MAJOR</t>
  </si>
  <si>
    <t>REG LIAB-NEIL VY</t>
  </si>
  <si>
    <t>REG LIAB COW POWER MARKETING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</si>
  <si>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</si>
  <si>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</si>
  <si>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</si>
  <si>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</si>
  <si>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</si>
  <si>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</si>
  <si>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</si>
  <si>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</si>
  <si>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</si>
  <si>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</si>
  <si>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</si>
  <si>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</si>
  <si>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</si>
  <si>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</si>
  <si>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</si>
  <si>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</si>
  <si>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</si>
  <si>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</si>
  <si>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</si>
  <si>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</si>
  <si>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</si>
  <si>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</si>
  <si>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</si>
  <si>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</si>
  <si>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Total Account 282, 283, 190</t>
  </si>
  <si>
    <t>13 mo avg</t>
  </si>
  <si>
    <t>Page 276-277</t>
  </si>
  <si>
    <t>Page 234 a/b</t>
  </si>
  <si>
    <t>Prepayment</t>
  </si>
  <si>
    <t>Worksheet 14, line 20</t>
  </si>
  <si>
    <t>Finance Group</t>
  </si>
  <si>
    <t>Budget/Form 1, pg 112, ln 18c,d</t>
  </si>
  <si>
    <t>Budget/Form 1, pg 112, ln 19c,d</t>
  </si>
  <si>
    <t>Budget/Form 1, pg 256, various ln, col a,b</t>
  </si>
  <si>
    <t>Budget/Form 1, pg 112, ln 21c,d</t>
  </si>
  <si>
    <t>Budget/Form 1, pg 112, ln 23 c,d</t>
  </si>
  <si>
    <t>Budget/Form 1, pg 111, ln 81c,d</t>
  </si>
  <si>
    <t>Budget/Form 1, pg 112, ln 22c,d</t>
  </si>
  <si>
    <t>Budget/Form 1, pg 113, ln 61c,d</t>
  </si>
  <si>
    <t>Budget/Form 1, pg 257, ln 33(i)</t>
  </si>
  <si>
    <t>Budget/Form 1, pg 117, ln 64c</t>
  </si>
  <si>
    <t>Budget/Form 1, pg 117, ln 65 c</t>
  </si>
  <si>
    <t>Budget/Form 1, pg 117, ln 66c</t>
  </si>
  <si>
    <t>Budget/Form 1, pg 112, ln 3 c, d</t>
  </si>
  <si>
    <t>Budget/Form 1, pg 112, ln 13 c, d (portion)</t>
  </si>
  <si>
    <t>Budget/Form 1, pg 112, ln 6 c, d (portion)</t>
  </si>
  <si>
    <t>Budget/Form 1, pg 112, ln7 c, d (portion)</t>
  </si>
  <si>
    <t>Budget/Form 1, pg 112 ln 9 c, d (portion)</t>
  </si>
  <si>
    <t>Budget/Form 1, pg 112, ln 10 c, d (portion)</t>
  </si>
  <si>
    <t>Budget/Form 1, pg 118, ln 29 c</t>
  </si>
  <si>
    <t>Budget/Form 1, pg 112, ln 16, c,d</t>
  </si>
  <si>
    <t>Budget/Form 1, pg 112, ln 3 c,d</t>
  </si>
  <si>
    <t>Budget/Form 1, pg 111, ln 69c,d</t>
  </si>
  <si>
    <t>Budget/Form 1, pg 117, ln 63 c</t>
  </si>
  <si>
    <t>Budget/Form 1, pg 112, ln 12, c, d</t>
  </si>
  <si>
    <t>Budget/Form 1, pg 112, ln 15 c,d</t>
  </si>
  <si>
    <t xml:space="preserve">  Last Year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</si>
  <si>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</si>
  <si>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</si>
  <si>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</si>
  <si>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</si>
  <si>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</si>
  <si>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</si>
  <si>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</si>
  <si>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</si>
  <si>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</si>
  <si>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16531~Prepayment-Other</t>
  </si>
  <si>
    <t>16532~Prepayments-Mmwec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</si>
  <si>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111.57</t>
    </r>
  </si>
  <si>
    <t>REG ASSET - DEERFIELD WIND COST</t>
  </si>
  <si>
    <t>JV SOLAR ABANDONED SITES</t>
  </si>
  <si>
    <t>RATE DESIGN</t>
  </si>
  <si>
    <t>CIAC REG LIABILITY</t>
  </si>
  <si>
    <t>CONTINGENCY RESERVES</t>
  </si>
  <si>
    <t>REG LIAB PRODUCTION TAX CREDIT</t>
  </si>
  <si>
    <t>December 2017</t>
  </si>
  <si>
    <t>Rate Case/Page 206.75b</t>
  </si>
  <si>
    <t>Rate Case/Page 207.75g</t>
  </si>
  <si>
    <t>Rate Case/Page 206.99b</t>
  </si>
  <si>
    <t>Rate Case/Page 207.99g</t>
  </si>
  <si>
    <t>Rate Case/Page 206.104b</t>
  </si>
  <si>
    <t>Rate Case/Page 207.104g</t>
  </si>
  <si>
    <t>Johnson VEC</t>
  </si>
  <si>
    <t>Snipe Ireland VEC</t>
  </si>
  <si>
    <t>Jones Brook WEC</t>
  </si>
  <si>
    <t>Rate Case/Page 354.23b</t>
  </si>
  <si>
    <t>Rate Case/Page 354.28b</t>
  </si>
  <si>
    <t>Rate Case/Page 354.27b</t>
  </si>
  <si>
    <t>---------------------------------</t>
  </si>
  <si>
    <t>16535~Prepd Vehicle Costs-Ezpass</t>
  </si>
  <si>
    <t>16537~Prepaid-Site Lease</t>
  </si>
  <si>
    <t>16538~Prepayments-Mcneil</t>
  </si>
  <si>
    <t>16539~Prepayments-Highgate</t>
  </si>
  <si>
    <t>16540~Ap Property Tax Liability</t>
  </si>
  <si>
    <t>16542~Prepayments-Property Taxes</t>
  </si>
  <si>
    <t>REG ASSET - 2013 NTA STUDY</t>
  </si>
  <si>
    <t>REG LIAB-POWER ADJUSTOR</t>
  </si>
  <si>
    <t>REG LIAB-earnings sharing</t>
  </si>
  <si>
    <t>REG LIAB-BRATTLEBORO ENVIRON R</t>
  </si>
  <si>
    <t>REG LIAB SYNERGIES</t>
  </si>
  <si>
    <t>REG LIAB-PLANT REMOVAL</t>
  </si>
  <si>
    <t>REG LIAB GMP VT SOLAR DEVEL FEE</t>
  </si>
  <si>
    <t>REG LIAB GMP VT SOLAR PARTNERSH</t>
  </si>
  <si>
    <t>DEFERRED ESAM</t>
  </si>
  <si>
    <t>REG LIAB CVPS/CIS NET METER CRE</t>
  </si>
  <si>
    <t>12/31/2018 Rate Year</t>
  </si>
  <si>
    <t>Rate Case/Page 219.28c prior year</t>
  </si>
  <si>
    <t>December 2018</t>
  </si>
  <si>
    <t>Rate Case/Page 219.28c</t>
  </si>
  <si>
    <t>Total December 2017</t>
  </si>
  <si>
    <t>Total January 2018</t>
  </si>
  <si>
    <t>Total February 2018</t>
  </si>
  <si>
    <t>Total March 2018</t>
  </si>
  <si>
    <t>Total April 2018</t>
  </si>
  <si>
    <t>Total May 2018</t>
  </si>
  <si>
    <t>Total June 2018</t>
  </si>
  <si>
    <t>Total July 2018</t>
  </si>
  <si>
    <t>Total August 2018</t>
  </si>
  <si>
    <t>Total September 2018</t>
  </si>
  <si>
    <t>Total October 2018</t>
  </si>
  <si>
    <t>Total November 2018</t>
  </si>
  <si>
    <t>Total December 2018</t>
  </si>
  <si>
    <t>Page 227.9b,c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</si>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</sst>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22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sz val="11"/>
      <color rgb="FF0070C0"/>
      <name val="Courier New"/>
      <family val="3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0"/>
      <color rgb="FF0070C0"/>
      <name val="Arial"/>
      <family val="2"/>
    </font>
    <font>
      <sz val="12"/>
      <color rgb="FF0000FF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EE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869">
    <xf numFmtId="0" fontId="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9" fillId="21" borderId="0" applyNumberFormat="0" applyBorder="0" applyAlignment="0" applyProtection="0"/>
    <xf numFmtId="0" fontId="40" fillId="35" borderId="1" applyNumberFormat="0" applyAlignment="0" applyProtection="0"/>
    <xf numFmtId="0" fontId="25" fillId="22" borderId="2" applyNumberFormat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2" fillId="32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4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4" fillId="0" borderId="0"/>
    <xf numFmtId="37" fontId="34" fillId="0" borderId="0"/>
    <xf numFmtId="37" fontId="34" fillId="0" borderId="0"/>
    <xf numFmtId="0" fontId="15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1" fillId="35" borderId="8" applyNumberFormat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5" fillId="11" borderId="9" applyNumberFormat="0" applyProtection="0">
      <alignment vertical="center"/>
    </xf>
    <xf numFmtId="4" fontId="46" fillId="11" borderId="9" applyNumberFormat="0" applyProtection="0">
      <alignment vertical="center"/>
    </xf>
    <xf numFmtId="4" fontId="45" fillId="11" borderId="9" applyNumberFormat="0" applyProtection="0">
      <alignment horizontal="left" vertical="center" indent="1"/>
    </xf>
    <xf numFmtId="0" fontId="45" fillId="11" borderId="9" applyNumberFormat="0" applyProtection="0">
      <alignment horizontal="left" vertical="top" indent="1"/>
    </xf>
    <xf numFmtId="4" fontId="45" fillId="3" borderId="0" applyNumberFormat="0" applyProtection="0">
      <alignment horizontal="left" vertical="center" indent="1"/>
    </xf>
    <xf numFmtId="4" fontId="37" fillId="9" borderId="9" applyNumberFormat="0" applyProtection="0">
      <alignment horizontal="right" vertical="center"/>
    </xf>
    <xf numFmtId="4" fontId="37" fillId="4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15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37" fillId="14" borderId="9" applyNumberFormat="0" applyProtection="0">
      <alignment horizontal="right" vertical="center"/>
    </xf>
    <xf numFmtId="4" fontId="37" fillId="12" borderId="9" applyNumberFormat="0" applyProtection="0">
      <alignment horizontal="right" vertical="center"/>
    </xf>
    <xf numFmtId="4" fontId="37" fillId="42" borderId="9" applyNumberFormat="0" applyProtection="0">
      <alignment horizontal="right" vertical="center"/>
    </xf>
    <xf numFmtId="4" fontId="37" fillId="43" borderId="9" applyNumberFormat="0" applyProtection="0">
      <alignment horizontal="right" vertical="center"/>
    </xf>
    <xf numFmtId="4" fontId="45" fillId="44" borderId="1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47" fillId="10" borderId="0" applyNumberFormat="0" applyProtection="0">
      <alignment horizontal="left" vertical="center" indent="1"/>
    </xf>
    <xf numFmtId="4" fontId="37" fillId="3" borderId="9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7" borderId="11" applyNumberFormat="0">
      <protection locked="0"/>
    </xf>
    <xf numFmtId="0" fontId="3" fillId="7" borderId="11" applyNumberFormat="0">
      <protection locked="0"/>
    </xf>
    <xf numFmtId="4" fontId="37" fillId="5" borderId="9" applyNumberFormat="0" applyProtection="0">
      <alignment vertical="center"/>
    </xf>
    <xf numFmtId="4" fontId="48" fillId="5" borderId="9" applyNumberFormat="0" applyProtection="0">
      <alignment vertical="center"/>
    </xf>
    <xf numFmtId="4" fontId="37" fillId="5" borderId="9" applyNumberFormat="0" applyProtection="0">
      <alignment horizontal="left" vertical="center" indent="1"/>
    </xf>
    <xf numFmtId="0" fontId="37" fillId="5" borderId="9" applyNumberFormat="0" applyProtection="0">
      <alignment horizontal="left" vertical="top" indent="1"/>
    </xf>
    <xf numFmtId="4" fontId="37" fillId="45" borderId="9" applyNumberFormat="0" applyProtection="0">
      <alignment horizontal="right" vertical="center"/>
    </xf>
    <xf numFmtId="4" fontId="48" fillId="45" borderId="9" applyNumberFormat="0" applyProtection="0">
      <alignment horizontal="right" vertical="center"/>
    </xf>
    <xf numFmtId="4" fontId="37" fillId="3" borderId="9" applyNumberFormat="0" applyProtection="0">
      <alignment horizontal="left" vertical="center" indent="1"/>
    </xf>
    <xf numFmtId="0" fontId="37" fillId="3" borderId="9" applyNumberFormat="0" applyProtection="0">
      <alignment horizontal="left" vertical="top" indent="1"/>
    </xf>
    <xf numFmtId="4" fontId="49" fillId="46" borderId="0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4" fillId="0" borderId="0"/>
    <xf numFmtId="0" fontId="24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9" fontId="3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4" fontId="47" fillId="10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" fillId="7" borderId="11" applyNumberFormat="0">
      <protection locked="0"/>
    </xf>
    <xf numFmtId="0" fontId="3" fillId="7" borderId="11" applyNumberFormat="0">
      <protection locked="0"/>
    </xf>
    <xf numFmtId="0" fontId="3" fillId="7" borderId="11" applyNumberFormat="0">
      <protection locked="0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4" fontId="49" fillId="46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0" borderId="0"/>
    <xf numFmtId="0" fontId="3" fillId="0" borderId="0"/>
    <xf numFmtId="0" fontId="68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5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83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24" fillId="4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24" fillId="4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24" fillId="8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24" fillId="28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24" fillId="41" borderId="0" applyNumberFormat="0" applyBorder="0" applyAlignment="0" applyProtection="0"/>
    <xf numFmtId="0" fontId="23" fillId="86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4" fillId="87" borderId="0" applyNumberFormat="0" applyBorder="0" applyAlignment="0" applyProtection="0"/>
    <xf numFmtId="0" fontId="24" fillId="18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93" fillId="66" borderId="0" applyNumberFormat="0" applyBorder="0" applyAlignment="0" applyProtection="0"/>
    <xf numFmtId="0" fontId="24" fillId="85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24" fillId="85" borderId="0" applyNumberFormat="0" applyBorder="0" applyAlignment="0" applyProtection="0"/>
    <xf numFmtId="0" fontId="23" fillId="88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93" fillId="67" borderId="0" applyNumberFormat="0" applyBorder="0" applyAlignment="0" applyProtection="0"/>
    <xf numFmtId="0" fontId="24" fillId="30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24" fillId="30" borderId="0" applyNumberFormat="0" applyBorder="0" applyAlignment="0" applyProtection="0"/>
    <xf numFmtId="0" fontId="23" fillId="89" borderId="0" applyNumberFormat="0" applyBorder="0" applyAlignment="0" applyProtection="0"/>
    <xf numFmtId="0" fontId="23" fillId="24" borderId="0" applyNumberFormat="0" applyBorder="0" applyAlignment="0" applyProtection="0"/>
    <xf numFmtId="0" fontId="23" fillId="90" borderId="0" applyNumberFormat="0" applyBorder="0" applyAlignment="0" applyProtection="0"/>
    <xf numFmtId="0" fontId="23" fillId="25" borderId="0" applyNumberFormat="0" applyBorder="0" applyAlignment="0" applyProtection="0"/>
    <xf numFmtId="0" fontId="24" fillId="91" borderId="0" applyNumberFormat="0" applyBorder="0" applyAlignment="0" applyProtection="0"/>
    <xf numFmtId="0" fontId="24" fillId="26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93" fillId="68" borderId="0" applyNumberFormat="0" applyBorder="0" applyAlignment="0" applyProtection="0"/>
    <xf numFmtId="0" fontId="24" fillId="12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24" fillId="12" borderId="0" applyNumberFormat="0" applyBorder="0" applyAlignment="0" applyProtection="0"/>
    <xf numFmtId="0" fontId="23" fillId="88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93" fillId="69" borderId="0" applyNumberFormat="0" applyBorder="0" applyAlignment="0" applyProtection="0"/>
    <xf numFmtId="0" fontId="24" fillId="84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24" fillId="8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4" fillId="87" borderId="0" applyNumberFormat="0" applyBorder="0" applyAlignment="0" applyProtection="0"/>
    <xf numFmtId="0" fontId="24" fillId="17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93" fillId="70" borderId="0" applyNumberFormat="0" applyBorder="0" applyAlignment="0" applyProtection="0"/>
    <xf numFmtId="0" fontId="24" fillId="28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24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1" borderId="0" applyNumberFormat="0" applyBorder="0" applyAlignment="0" applyProtection="0"/>
    <xf numFmtId="0" fontId="24" fillId="92" borderId="0" applyNumberFormat="0" applyBorder="0" applyAlignment="0" applyProtection="0"/>
    <xf numFmtId="0" fontId="24" fillId="32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93" fillId="71" borderId="0" applyNumberFormat="0" applyBorder="0" applyAlignment="0" applyProtection="0"/>
    <xf numFmtId="0" fontId="24" fillId="14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24" fillId="14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94" fillId="72" borderId="0" applyNumberFormat="0" applyBorder="0" applyAlignment="0" applyProtection="0"/>
    <xf numFmtId="0" fontId="51" fillId="9" borderId="0" applyNumberFormat="0" applyBorder="0" applyAlignment="0" applyProtection="0"/>
    <xf numFmtId="0" fontId="56" fillId="72" borderId="0" applyNumberFormat="0" applyBorder="0" applyAlignment="0" applyProtection="0"/>
    <xf numFmtId="0" fontId="51" fillId="9" borderId="0" applyNumberFormat="0" applyBorder="0" applyAlignment="0" applyProtection="0"/>
    <xf numFmtId="39" fontId="45" fillId="0" borderId="17">
      <alignment horizontal="right"/>
    </xf>
    <xf numFmtId="0" fontId="57" fillId="73" borderId="18" applyNumberFormat="0" applyAlignment="0" applyProtection="0"/>
    <xf numFmtId="0" fontId="57" fillId="73" borderId="18" applyNumberFormat="0" applyAlignment="0" applyProtection="0"/>
    <xf numFmtId="0" fontId="95" fillId="73" borderId="18" applyNumberFormat="0" applyAlignment="0" applyProtection="0"/>
    <xf numFmtId="0" fontId="72" fillId="13" borderId="1" applyNumberFormat="0" applyAlignment="0" applyProtection="0"/>
    <xf numFmtId="0" fontId="57" fillId="73" borderId="18" applyNumberFormat="0" applyAlignment="0" applyProtection="0"/>
    <xf numFmtId="0" fontId="72" fillId="13" borderId="1" applyNumberFormat="0" applyAlignment="0" applyProtection="0"/>
    <xf numFmtId="0" fontId="58" fillId="74" borderId="19" applyNumberFormat="0" applyAlignment="0" applyProtection="0"/>
    <xf numFmtId="0" fontId="58" fillId="74" borderId="19" applyNumberFormat="0" applyAlignment="0" applyProtection="0"/>
    <xf numFmtId="0" fontId="96" fillId="74" borderId="19" applyNumberFormat="0" applyAlignment="0" applyProtection="0"/>
    <xf numFmtId="0" fontId="25" fillId="36" borderId="2" applyNumberFormat="0" applyAlignment="0" applyProtection="0"/>
    <xf numFmtId="0" fontId="58" fillId="74" borderId="19" applyNumberFormat="0" applyAlignment="0" applyProtection="0"/>
    <xf numFmtId="0" fontId="25" fillId="36" borderId="2" applyNumberFormat="0" applyAlignment="0" applyProtection="0"/>
    <xf numFmtId="0" fontId="19" fillId="0" borderId="11">
      <alignment horizontal="left" wrapText="1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7" fillId="0" borderId="0" applyFont="0" applyFill="0" applyBorder="0" applyAlignment="0" applyProtection="0"/>
    <xf numFmtId="176" fontId="7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5" fontId="3" fillId="0" borderId="0" applyFont="0" applyFill="0" applyBorder="0" applyAlignment="0" applyProtection="0"/>
    <xf numFmtId="49" fontId="80" fillId="93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 applyFont="0" applyFill="0" applyBorder="0" applyAlignment="0" applyProtection="0"/>
    <xf numFmtId="177" fontId="69" fillId="94" borderId="0">
      <alignment horizontal="right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178" fontId="8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95" borderId="0">
      <alignment horizontal="right" vertical="center"/>
    </xf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99" fillId="75" borderId="0" applyNumberFormat="0" applyBorder="0" applyAlignment="0" applyProtection="0"/>
    <xf numFmtId="0" fontId="26" fillId="82" borderId="0" applyNumberFormat="0" applyBorder="0" applyAlignment="0" applyProtection="0"/>
    <xf numFmtId="0" fontId="60" fillId="75" borderId="0" applyNumberFormat="0" applyBorder="0" applyAlignment="0" applyProtection="0"/>
    <xf numFmtId="0" fontId="26" fillId="82" borderId="0" applyNumberFormat="0" applyBorder="0" applyAlignment="0" applyProtection="0"/>
    <xf numFmtId="38" fontId="69" fillId="96" borderId="0" applyNumberFormat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47" borderId="0" applyNumberFormat="0" applyFon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69" fillId="97" borderId="11" applyNumberFormat="0" applyBorder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53" fillId="6" borderId="1" applyNumberFormat="0" applyAlignment="0" applyProtection="0"/>
    <xf numFmtId="49" fontId="45" fillId="0" borderId="24">
      <alignment wrapText="1"/>
    </xf>
    <xf numFmtId="49" fontId="37" fillId="0" borderId="24">
      <alignment wrapText="1"/>
    </xf>
    <xf numFmtId="49" fontId="45" fillId="0" borderId="24">
      <alignment wrapText="1"/>
    </xf>
    <xf numFmtId="49" fontId="45" fillId="0" borderId="25">
      <alignment wrapText="1"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101" fillId="0" borderId="23" applyNumberFormat="0" applyFill="0" applyAlignment="0" applyProtection="0"/>
    <xf numFmtId="0" fontId="76" fillId="0" borderId="28" applyNumberFormat="0" applyFill="0" applyAlignment="0" applyProtection="0"/>
    <xf numFmtId="0" fontId="65" fillId="0" borderId="23" applyNumberFormat="0" applyFill="0" applyAlignment="0" applyProtection="0"/>
    <xf numFmtId="0" fontId="76" fillId="0" borderId="28" applyNumberFormat="0" applyFill="0" applyAlignment="0" applyProtection="0"/>
    <xf numFmtId="0" fontId="86" fillId="0" borderId="0" applyNumberFormat="0" applyFont="0" applyFill="0" applyBorder="0" applyAlignment="0"/>
    <xf numFmtId="0" fontId="80" fillId="99" borderId="0">
      <alignment horizontal="right" vertical="center"/>
    </xf>
    <xf numFmtId="43" fontId="3" fillId="0" borderId="0" applyFont="0" applyFill="0" applyBorder="0" applyAlignment="0" applyProtection="0"/>
    <xf numFmtId="49" fontId="87" fillId="93" borderId="0">
      <alignment horizontal="centerContinuous" vertical="center"/>
    </xf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102" fillId="77" borderId="0" applyNumberFormat="0" applyBorder="0" applyAlignment="0" applyProtection="0"/>
    <xf numFmtId="0" fontId="44" fillId="11" borderId="0" applyNumberFormat="0" applyBorder="0" applyAlignment="0" applyProtection="0"/>
    <xf numFmtId="0" fontId="66" fillId="77" borderId="0" applyNumberFormat="0" applyBorder="0" applyAlignment="0" applyProtection="0"/>
    <xf numFmtId="0" fontId="44" fillId="11" borderId="0" applyNumberFormat="0" applyBorder="0" applyAlignment="0" applyProtection="0"/>
    <xf numFmtId="37" fontId="88" fillId="0" borderId="0"/>
    <xf numFmtId="167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9" fillId="98" borderId="0"/>
    <xf numFmtId="0" fontId="77" fillId="0" borderId="0"/>
    <xf numFmtId="0" fontId="103" fillId="0" borderId="0"/>
    <xf numFmtId="0" fontId="77" fillId="0" borderId="0"/>
    <xf numFmtId="0" fontId="103" fillId="0" borderId="0"/>
    <xf numFmtId="0" fontId="91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37" fontId="34" fillId="0" borderId="0"/>
    <xf numFmtId="0" fontId="10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37" fontId="34" fillId="0" borderId="0"/>
    <xf numFmtId="0" fontId="3" fillId="0" borderId="0"/>
    <xf numFmtId="0" fontId="34" fillId="0" borderId="0"/>
    <xf numFmtId="37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37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3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92" fillId="0" borderId="0"/>
    <xf numFmtId="0" fontId="54" fillId="0" borderId="0"/>
    <xf numFmtId="0" fontId="54" fillId="0" borderId="0"/>
    <xf numFmtId="0" fontId="54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1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69" fillId="98" borderId="0"/>
    <xf numFmtId="37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34" fillId="0" borderId="0"/>
    <xf numFmtId="0" fontId="34" fillId="0" borderId="0"/>
    <xf numFmtId="0" fontId="34" fillId="0" borderId="0"/>
    <xf numFmtId="4" fontId="3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47" borderId="0" applyNumberFormat="0" applyFont="0" applyBorder="0" applyAlignment="0" applyProtection="0"/>
    <xf numFmtId="49" fontId="37" fillId="0" borderId="24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3" borderId="0" applyNumberFormat="0" applyBorder="0" applyAlignment="0" applyProtection="0"/>
    <xf numFmtId="0" fontId="3" fillId="0" borderId="0"/>
    <xf numFmtId="0" fontId="37" fillId="7" borderId="0" applyNumberFormat="0" applyBorder="0" applyAlignment="0" applyProtection="0"/>
    <xf numFmtId="0" fontId="24" fillId="2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24" fillId="3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42" fillId="32" borderId="1" applyNumberFormat="0" applyAlignment="0" applyProtection="0"/>
    <xf numFmtId="0" fontId="24" fillId="22" borderId="0" applyNumberFormat="0" applyBorder="0" applyAlignment="0" applyProtection="0"/>
    <xf numFmtId="0" fontId="34" fillId="0" borderId="0"/>
    <xf numFmtId="0" fontId="3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5" borderId="0" applyNumberFormat="0" applyBorder="0" applyAlignment="0" applyProtection="0"/>
    <xf numFmtId="0" fontId="34" fillId="0" borderId="0"/>
    <xf numFmtId="0" fontId="24" fillId="27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3" fillId="0" borderId="0"/>
    <xf numFmtId="0" fontId="3" fillId="0" borderId="0"/>
    <xf numFmtId="0" fontId="42" fillId="32" borderId="1" applyNumberFormat="0" applyAlignment="0" applyProtection="0"/>
    <xf numFmtId="0" fontId="24" fillId="29" borderId="0" applyNumberFormat="0" applyBorder="0" applyAlignment="0" applyProtection="0"/>
    <xf numFmtId="0" fontId="37" fillId="10" borderId="0" applyNumberFormat="0" applyBorder="0" applyAlignment="0" applyProtection="0"/>
    <xf numFmtId="0" fontId="24" fillId="19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24" fillId="22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" fillId="0" borderId="0"/>
    <xf numFmtId="0" fontId="37" fillId="4" borderId="0" applyNumberFormat="0" applyBorder="0" applyAlignment="0" applyProtection="0"/>
    <xf numFmtId="0" fontId="3" fillId="0" borderId="0"/>
    <xf numFmtId="0" fontId="37" fillId="13" borderId="0" applyNumberFormat="0" applyBorder="0" applyAlignment="0" applyProtection="0"/>
    <xf numFmtId="0" fontId="42" fillId="32" borderId="1" applyNumberFormat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7" fillId="9" borderId="0" applyNumberFormat="0" applyBorder="0" applyAlignment="0" applyProtection="0"/>
    <xf numFmtId="0" fontId="24" fillId="19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4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6">
    <xf numFmtId="0" fontId="0" fillId="0" borderId="0" xfId="0"/>
    <xf numFmtId="0" fontId="4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13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/>
    <xf numFmtId="3" fontId="6" fillId="0" borderId="0" xfId="0" applyNumberFormat="1" applyFont="1"/>
    <xf numFmtId="38" fontId="7" fillId="0" borderId="0" xfId="0" applyNumberFormat="1" applyFont="1" applyBorder="1"/>
    <xf numFmtId="38" fontId="7" fillId="0" borderId="0" xfId="0" applyNumberFormat="1" applyFont="1" applyFill="1" applyBorder="1"/>
    <xf numFmtId="38" fontId="6" fillId="0" borderId="0" xfId="0" applyNumberFormat="1" applyFont="1"/>
    <xf numFmtId="38" fontId="6" fillId="0" borderId="0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 applyAlignment="1">
      <alignment horizontal="center"/>
    </xf>
    <xf numFmtId="38" fontId="6" fillId="0" borderId="0" xfId="0" applyNumberFormat="1" applyFont="1" applyFill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Fill="1"/>
    <xf numFmtId="38" fontId="6" fillId="0" borderId="13" xfId="0" applyNumberFormat="1" applyFont="1" applyFill="1" applyBorder="1"/>
    <xf numFmtId="0" fontId="6" fillId="0" borderId="0" xfId="0" quotePrefix="1" applyFont="1" applyFill="1"/>
    <xf numFmtId="0" fontId="6" fillId="0" borderId="0" xfId="0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0" xfId="0" applyNumberFormat="1" applyFont="1"/>
    <xf numFmtId="38" fontId="6" fillId="0" borderId="13" xfId="0" applyNumberFormat="1" applyFont="1" applyBorder="1"/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/>
    <xf numFmtId="3" fontId="6" fillId="0" borderId="0" xfId="46" applyNumberFormat="1" applyFont="1"/>
    <xf numFmtId="10" fontId="6" fillId="0" borderId="0" xfId="0" applyNumberFormat="1" applyFont="1" applyBorder="1"/>
    <xf numFmtId="38" fontId="10" fillId="0" borderId="13" xfId="0" applyNumberFormat="1" applyFont="1" applyBorder="1"/>
    <xf numFmtId="0" fontId="9" fillId="0" borderId="0" xfId="0" applyFont="1" applyBorder="1"/>
    <xf numFmtId="37" fontId="9" fillId="0" borderId="0" xfId="0" applyNumberFormat="1" applyFont="1" applyBorder="1"/>
    <xf numFmtId="37" fontId="6" fillId="0" borderId="14" xfId="0" applyNumberFormat="1" applyFont="1" applyBorder="1"/>
    <xf numFmtId="173" fontId="9" fillId="0" borderId="0" xfId="0" applyNumberFormat="1" applyFont="1" applyBorder="1"/>
    <xf numFmtId="0" fontId="6" fillId="0" borderId="15" xfId="0" applyFont="1" applyBorder="1" applyAlignment="1">
      <alignment horizontal="center"/>
    </xf>
    <xf numFmtId="10" fontId="6" fillId="0" borderId="0" xfId="0" applyNumberFormat="1" applyFont="1" applyProtection="1"/>
    <xf numFmtId="10" fontId="6" fillId="0" borderId="15" xfId="0" applyNumberFormat="1" applyFont="1" applyBorder="1" applyProtection="1"/>
    <xf numFmtId="37" fontId="6" fillId="0" borderId="16" xfId="0" applyNumberFormat="1" applyFont="1" applyBorder="1" applyProtection="1"/>
    <xf numFmtId="37" fontId="6" fillId="0" borderId="0" xfId="0" applyNumberFormat="1" applyFont="1" applyBorder="1" applyProtection="1"/>
    <xf numFmtId="10" fontId="6" fillId="0" borderId="16" xfId="0" applyNumberFormat="1" applyFont="1" applyBorder="1" applyProtection="1"/>
    <xf numFmtId="10" fontId="6" fillId="0" borderId="17" xfId="0" applyNumberFormat="1" applyFont="1" applyBorder="1"/>
    <xf numFmtId="169" fontId="6" fillId="0" borderId="0" xfId="0" applyNumberFormat="1" applyFont="1" applyBorder="1"/>
    <xf numFmtId="38" fontId="6" fillId="0" borderId="0" xfId="0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38" fontId="6" fillId="0" borderId="13" xfId="0" quotePrefix="1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left"/>
    </xf>
    <xf numFmtId="38" fontId="6" fillId="0" borderId="13" xfId="0" quotePrefix="1" applyNumberFormat="1" applyFont="1" applyBorder="1" applyAlignment="1">
      <alignment horizontal="left"/>
    </xf>
    <xf numFmtId="38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quotePrefix="1" applyFont="1" applyAlignment="1">
      <alignment horizontal="right"/>
    </xf>
    <xf numFmtId="0" fontId="6" fillId="0" borderId="0" xfId="0" applyFont="1" applyBorder="1" applyAlignment="1">
      <alignment horizontal="centerContinuous"/>
    </xf>
    <xf numFmtId="169" fontId="6" fillId="0" borderId="13" xfId="0" quotePrefix="1" applyNumberFormat="1" applyFont="1" applyBorder="1" applyAlignment="1">
      <alignment horizontal="left"/>
    </xf>
    <xf numFmtId="170" fontId="6" fillId="0" borderId="17" xfId="0" applyNumberFormat="1" applyFont="1" applyBorder="1"/>
    <xf numFmtId="170" fontId="6" fillId="0" borderId="0" xfId="0" applyNumberFormat="1" applyFont="1" applyBorder="1"/>
    <xf numFmtId="0" fontId="6" fillId="0" borderId="13" xfId="0" quotePrefix="1" applyFont="1" applyBorder="1"/>
    <xf numFmtId="0" fontId="6" fillId="0" borderId="0" xfId="0" quotePrefix="1" applyFont="1" applyBorder="1"/>
    <xf numFmtId="38" fontId="10" fillId="0" borderId="13" xfId="0" quotePrefix="1" applyNumberFormat="1" applyFont="1" applyBorder="1" applyAlignment="1">
      <alignment horizontal="right"/>
    </xf>
    <xf numFmtId="171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37" fontId="6" fillId="0" borderId="0" xfId="0" applyNumberFormat="1" applyFont="1" applyProtection="1"/>
    <xf numFmtId="37" fontId="9" fillId="0" borderId="0" xfId="0" applyNumberFormat="1" applyFont="1" applyBorder="1" applyProtection="1"/>
    <xf numFmtId="170" fontId="6" fillId="0" borderId="0" xfId="0" applyNumberFormat="1" applyFont="1"/>
    <xf numFmtId="170" fontId="9" fillId="0" borderId="0" xfId="0" applyNumberFormat="1" applyFont="1" applyBorder="1"/>
    <xf numFmtId="37" fontId="6" fillId="0" borderId="0" xfId="0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5" fontId="6" fillId="0" borderId="0" xfId="0" applyNumberFormat="1" applyFont="1" applyProtection="1"/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8" fontId="10" fillId="0" borderId="0" xfId="0" applyNumberFormat="1" applyFont="1" applyBorder="1"/>
    <xf numFmtId="38" fontId="10" fillId="0" borderId="0" xfId="0" applyNumberFormat="1" applyFont="1" applyFill="1" applyBorder="1"/>
    <xf numFmtId="0" fontId="7" fillId="0" borderId="0" xfId="0" applyFont="1" applyFill="1" applyBorder="1"/>
    <xf numFmtId="38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/>
    <xf numFmtId="37" fontId="10" fillId="0" borderId="0" xfId="0" applyNumberFormat="1" applyFont="1" applyBorder="1"/>
    <xf numFmtId="0" fontId="10" fillId="0" borderId="0" xfId="0" applyFont="1"/>
    <xf numFmtId="10" fontId="10" fillId="0" borderId="0" xfId="0" applyNumberFormat="1" applyFont="1" applyProtection="1"/>
    <xf numFmtId="10" fontId="10" fillId="0" borderId="0" xfId="0" applyNumberFormat="1" applyFont="1" applyBorder="1" applyProtection="1"/>
    <xf numFmtId="0" fontId="8" fillId="0" borderId="0" xfId="0" applyFont="1" applyBorder="1" applyAlignment="1">
      <alignment horizontal="left"/>
    </xf>
    <xf numFmtId="166" fontId="6" fillId="0" borderId="0" xfId="0" applyNumberFormat="1" applyFont="1" applyAlignment="1" applyProtection="1">
      <alignment horizontal="center"/>
    </xf>
    <xf numFmtId="37" fontId="7" fillId="0" borderId="0" xfId="0" applyNumberFormat="1" applyFont="1" applyBorder="1"/>
    <xf numFmtId="38" fontId="6" fillId="0" borderId="0" xfId="0" applyNumberFormat="1" applyFont="1" applyBorder="1" applyAlignment="1">
      <alignment horizontal="right"/>
    </xf>
    <xf numFmtId="0" fontId="6" fillId="78" borderId="0" xfId="0" applyFont="1" applyFill="1"/>
    <xf numFmtId="0" fontId="12" fillId="0" borderId="0" xfId="0" applyFont="1" applyAlignment="1">
      <alignment horizontal="center"/>
    </xf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/>
    <xf numFmtId="5" fontId="6" fillId="0" borderId="0" xfId="0" applyNumberFormat="1" applyFont="1"/>
    <xf numFmtId="0" fontId="6" fillId="78" borderId="0" xfId="0" applyFont="1" applyFill="1" applyBorder="1"/>
    <xf numFmtId="5" fontId="6" fillId="78" borderId="0" xfId="0" applyNumberFormat="1" applyFont="1" applyFill="1"/>
    <xf numFmtId="164" fontId="6" fillId="78" borderId="0" xfId="0" applyNumberFormat="1" applyFont="1" applyFill="1" applyBorder="1"/>
    <xf numFmtId="0" fontId="8" fillId="78" borderId="0" xfId="0" applyFont="1" applyFill="1"/>
    <xf numFmtId="0" fontId="7" fillId="78" borderId="0" xfId="0" applyFont="1" applyFill="1" applyAlignment="1">
      <alignment horizontal="center"/>
    </xf>
    <xf numFmtId="38" fontId="7" fillId="78" borderId="0" xfId="0" applyNumberFormat="1" applyFont="1" applyFill="1" applyBorder="1"/>
    <xf numFmtId="38" fontId="7" fillId="78" borderId="0" xfId="0" applyNumberFormat="1" applyFont="1" applyFill="1"/>
    <xf numFmtId="5" fontId="10" fillId="0" borderId="0" xfId="0" applyNumberFormat="1" applyFont="1" applyBorder="1"/>
    <xf numFmtId="5" fontId="10" fillId="0" borderId="17" xfId="0" applyNumberFormat="1" applyFont="1" applyBorder="1"/>
    <xf numFmtId="0" fontId="6" fillId="78" borderId="13" xfId="0" applyFont="1" applyFill="1" applyBorder="1"/>
    <xf numFmtId="5" fontId="6" fillId="0" borderId="0" xfId="0" applyNumberFormat="1" applyFont="1" applyBorder="1"/>
    <xf numFmtId="5" fontId="6" fillId="0" borderId="17" xfId="0" applyNumberFormat="1" applyFont="1" applyBorder="1"/>
    <xf numFmtId="5" fontId="6" fillId="0" borderId="14" xfId="0" applyNumberFormat="1" applyFont="1" applyBorder="1"/>
    <xf numFmtId="5" fontId="6" fillId="78" borderId="0" xfId="0" applyNumberFormat="1" applyFont="1" applyFill="1" applyBorder="1"/>
    <xf numFmtId="164" fontId="13" fillId="78" borderId="17" xfId="0" applyNumberFormat="1" applyFont="1" applyFill="1" applyBorder="1"/>
    <xf numFmtId="0" fontId="13" fillId="0" borderId="0" xfId="0" applyFont="1"/>
    <xf numFmtId="0" fontId="13" fillId="78" borderId="0" xfId="0" applyFont="1" applyFill="1"/>
    <xf numFmtId="10" fontId="6" fillId="0" borderId="13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Continuous"/>
    </xf>
    <xf numFmtId="6" fontId="10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8" fillId="0" borderId="0" xfId="0" applyFont="1" applyAlignment="1">
      <alignment horizontal="center"/>
    </xf>
    <xf numFmtId="5" fontId="8" fillId="0" borderId="0" xfId="0" applyNumberFormat="1" applyFont="1" applyAlignment="1" applyProtection="1">
      <alignment horizontal="center"/>
    </xf>
    <xf numFmtId="5" fontId="8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>
      <protection locked="0"/>
    </xf>
    <xf numFmtId="37" fontId="6" fillId="0" borderId="0" xfId="0" applyNumberFormat="1" applyFont="1" applyAlignment="1" applyProtection="1">
      <alignment horizontal="right"/>
    </xf>
    <xf numFmtId="164" fontId="13" fillId="78" borderId="14" xfId="0" applyNumberFormat="1" applyFont="1" applyFill="1" applyBorder="1"/>
    <xf numFmtId="164" fontId="13" fillId="0" borderId="0" xfId="0" applyNumberFormat="1" applyFont="1" applyBorder="1"/>
    <xf numFmtId="164" fontId="13" fillId="78" borderId="0" xfId="0" applyNumberFormat="1" applyFont="1" applyFill="1" applyBorder="1"/>
    <xf numFmtId="5" fontId="6" fillId="0" borderId="0" xfId="0" applyNumberFormat="1" applyFont="1" applyAlignment="1" applyProtection="1">
      <alignment horizontal="right"/>
    </xf>
    <xf numFmtId="0" fontId="6" fillId="78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5" fontId="6" fillId="78" borderId="0" xfId="0" applyNumberFormat="1" applyFont="1" applyFill="1" applyProtection="1"/>
    <xf numFmtId="10" fontId="6" fillId="0" borderId="0" xfId="0" applyNumberFormat="1" applyFont="1" applyFill="1" applyBorder="1"/>
    <xf numFmtId="37" fontId="6" fillId="78" borderId="0" xfId="0" applyNumberFormat="1" applyFont="1" applyFill="1" applyAlignment="1">
      <alignment horizontal="right"/>
    </xf>
    <xf numFmtId="5" fontId="7" fillId="78" borderId="0" xfId="0" applyNumberFormat="1" applyFont="1" applyFill="1"/>
    <xf numFmtId="0" fontId="14" fillId="0" borderId="0" xfId="0" applyFont="1"/>
    <xf numFmtId="37" fontId="6" fillId="0" borderId="0" xfId="0" applyNumberFormat="1" applyFont="1"/>
    <xf numFmtId="5" fontId="13" fillId="0" borderId="0" xfId="0" applyNumberFormat="1" applyFont="1" applyProtection="1"/>
    <xf numFmtId="10" fontId="15" fillId="0" borderId="0" xfId="0" applyNumberFormat="1" applyFont="1" applyProtection="1"/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/>
    <xf numFmtId="37" fontId="6" fillId="0" borderId="0" xfId="0" applyNumberFormat="1" applyFont="1" applyBorder="1" applyAlignment="1"/>
    <xf numFmtId="39" fontId="6" fillId="0" borderId="0" xfId="0" applyNumberFormat="1" applyFont="1"/>
    <xf numFmtId="39" fontId="6" fillId="0" borderId="0" xfId="0" applyNumberFormat="1" applyFont="1" applyBorder="1"/>
    <xf numFmtId="39" fontId="6" fillId="0" borderId="0" xfId="0" applyNumberFormat="1" applyFont="1" applyFill="1" applyBorder="1"/>
    <xf numFmtId="39" fontId="6" fillId="0" borderId="0" xfId="0" applyNumberFormat="1" applyFont="1" applyFill="1"/>
    <xf numFmtId="5" fontId="16" fillId="0" borderId="0" xfId="0" applyNumberFormat="1" applyFont="1" applyBorder="1"/>
    <xf numFmtId="37" fontId="6" fillId="78" borderId="0" xfId="0" applyNumberFormat="1" applyFont="1" applyFill="1" applyProtection="1"/>
    <xf numFmtId="37" fontId="6" fillId="78" borderId="0" xfId="0" applyNumberFormat="1" applyFont="1" applyFill="1" applyAlignment="1" applyProtection="1">
      <alignment horizontal="right"/>
    </xf>
    <xf numFmtId="10" fontId="6" fillId="78" borderId="0" xfId="0" applyNumberFormat="1" applyFont="1" applyFill="1"/>
    <xf numFmtId="0" fontId="6" fillId="78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6" fillId="78" borderId="0" xfId="0" applyFont="1" applyFill="1" applyProtection="1">
      <protection locked="0"/>
    </xf>
    <xf numFmtId="37" fontId="6" fillId="0" borderId="0" xfId="0" quotePrefix="1" applyNumberFormat="1" applyFont="1" applyAlignment="1">
      <alignment horizontal="right"/>
    </xf>
    <xf numFmtId="5" fontId="17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7" fillId="0" borderId="0" xfId="67" applyFont="1"/>
    <xf numFmtId="0" fontId="67" fillId="0" borderId="0" xfId="67" applyFont="1" applyAlignment="1">
      <alignment horizontal="right"/>
    </xf>
    <xf numFmtId="10" fontId="67" fillId="0" borderId="0" xfId="81" applyNumberFormat="1" applyFont="1" applyFill="1"/>
    <xf numFmtId="0" fontId="6" fillId="0" borderId="0" xfId="0" applyFont="1" applyBorder="1" applyAlignment="1">
      <alignment horizontal="right" vertical="top" wrapText="1"/>
    </xf>
    <xf numFmtId="10" fontId="6" fillId="0" borderId="0" xfId="0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right"/>
    </xf>
    <xf numFmtId="5" fontId="6" fillId="78" borderId="0" xfId="0" applyNumberFormat="1" applyFont="1" applyFill="1" applyAlignment="1" applyProtection="1">
      <alignment horizontal="center"/>
    </xf>
    <xf numFmtId="0" fontId="6" fillId="78" borderId="13" xfId="0" quotePrefix="1" applyFont="1" applyFill="1" applyBorder="1" applyAlignment="1">
      <alignment horizontal="right"/>
    </xf>
    <xf numFmtId="0" fontId="7" fillId="79" borderId="13" xfId="70" applyFont="1" applyFill="1" applyBorder="1" applyAlignment="1">
      <alignment horizontal="centerContinuous"/>
    </xf>
    <xf numFmtId="49" fontId="15" fillId="0" borderId="0" xfId="70" applyNumberFormat="1" applyFont="1"/>
    <xf numFmtId="49" fontId="15" fillId="0" borderId="0" xfId="70" quotePrefix="1" applyNumberFormat="1" applyFont="1"/>
    <xf numFmtId="164" fontId="6" fillId="0" borderId="0" xfId="0" applyNumberFormat="1" applyFont="1" applyProtection="1"/>
    <xf numFmtId="164" fontId="6" fillId="0" borderId="13" xfId="0" applyNumberFormat="1" applyFont="1" applyFill="1" applyBorder="1"/>
    <xf numFmtId="0" fontId="6" fillId="0" borderId="0" xfId="70" applyFont="1" applyBorder="1"/>
    <xf numFmtId="0" fontId="6" fillId="0" borderId="0" xfId="70" applyFont="1"/>
    <xf numFmtId="10" fontId="6" fillId="0" borderId="0" xfId="70" applyNumberFormat="1" applyFont="1" applyBorder="1"/>
    <xf numFmtId="37" fontId="6" fillId="0" borderId="0" xfId="70" applyNumberFormat="1" applyFont="1" applyProtection="1"/>
    <xf numFmtId="5" fontId="6" fillId="0" borderId="0" xfId="70" applyNumberFormat="1" applyFont="1" applyProtection="1"/>
    <xf numFmtId="5" fontId="16" fillId="78" borderId="0" xfId="70" applyNumberFormat="1" applyFont="1" applyFill="1" applyBorder="1"/>
    <xf numFmtId="0" fontId="0" fillId="0" borderId="0" xfId="0" applyAlignment="1">
      <alignment horizontal="center"/>
    </xf>
    <xf numFmtId="38" fontId="7" fillId="78" borderId="13" xfId="0" quotePrefix="1" applyNumberFormat="1" applyFont="1" applyFill="1" applyBorder="1" applyAlignment="1">
      <alignment horizontal="right"/>
    </xf>
    <xf numFmtId="0" fontId="6" fillId="78" borderId="13" xfId="0" applyFont="1" applyFill="1" applyBorder="1" applyAlignment="1">
      <alignment horizontal="right"/>
    </xf>
    <xf numFmtId="37" fontId="18" fillId="0" borderId="0" xfId="0" applyNumberFormat="1" applyFont="1"/>
    <xf numFmtId="37" fontId="19" fillId="0" borderId="13" xfId="0" applyNumberFormat="1" applyFont="1" applyBorder="1" applyAlignment="1"/>
    <xf numFmtId="37" fontId="3" fillId="0" borderId="13" xfId="0" applyNumberFormat="1" applyFont="1" applyBorder="1"/>
    <xf numFmtId="37" fontId="3" fillId="0" borderId="0" xfId="0" applyNumberFormat="1" applyFont="1"/>
    <xf numFmtId="37" fontId="19" fillId="0" borderId="13" xfId="0" applyNumberFormat="1" applyFont="1" applyBorder="1" applyAlignment="1">
      <alignment horizontal="center"/>
    </xf>
    <xf numFmtId="37" fontId="19" fillId="0" borderId="1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Fill="1" applyBorder="1" applyAlignment="1"/>
    <xf numFmtId="37" fontId="3" fillId="0" borderId="0" xfId="0" applyNumberFormat="1" applyFont="1" applyAlignment="1"/>
    <xf numFmtId="37" fontId="20" fillId="0" borderId="0" xfId="0" applyNumberFormat="1" applyFont="1"/>
    <xf numFmtId="37" fontId="3" fillId="78" borderId="0" xfId="0" applyNumberFormat="1" applyFont="1" applyFill="1"/>
    <xf numFmtId="37" fontId="6" fillId="78" borderId="0" xfId="0" applyNumberFormat="1" applyFont="1" applyFill="1" applyBorder="1"/>
    <xf numFmtId="0" fontId="22" fillId="0" borderId="0" xfId="0" quotePrefix="1" applyFont="1" applyAlignment="1">
      <alignment horizontal="center"/>
    </xf>
    <xf numFmtId="165" fontId="22" fillId="0" borderId="0" xfId="0" applyNumberFormat="1" applyFont="1" applyAlignment="1" applyProtection="1">
      <alignment horizontal="center"/>
    </xf>
    <xf numFmtId="0" fontId="22" fillId="78" borderId="0" xfId="0" applyFont="1" applyFill="1" applyAlignment="1">
      <alignment horizontal="center"/>
    </xf>
    <xf numFmtId="37" fontId="3" fillId="0" borderId="0" xfId="0" applyNumberFormat="1" applyFont="1" applyFill="1"/>
    <xf numFmtId="37" fontId="20" fillId="0" borderId="0" xfId="0" applyNumberFormat="1" applyFont="1" applyAlignment="1">
      <alignment horizontal="right"/>
    </xf>
    <xf numFmtId="37" fontId="21" fillId="0" borderId="0" xfId="0" applyNumberFormat="1" applyFont="1" applyFill="1"/>
    <xf numFmtId="37" fontId="20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37" fontId="3" fillId="78" borderId="0" xfId="0" applyNumberFormat="1" applyFont="1" applyFill="1"/>
    <xf numFmtId="37" fontId="3" fillId="78" borderId="0" xfId="0" applyNumberFormat="1" applyFont="1" applyFill="1" applyBorder="1"/>
    <xf numFmtId="37" fontId="6" fillId="78" borderId="0" xfId="70" applyNumberFormat="1" applyFont="1" applyFill="1" applyBorder="1" applyProtection="1"/>
    <xf numFmtId="10" fontId="6" fillId="78" borderId="0" xfId="70" applyNumberFormat="1" applyFont="1" applyFill="1"/>
    <xf numFmtId="37" fontId="6" fillId="78" borderId="13" xfId="70" applyNumberFormat="1" applyFont="1" applyFill="1" applyBorder="1" applyProtection="1"/>
    <xf numFmtId="0" fontId="3" fillId="0" borderId="0" xfId="0" applyFont="1"/>
    <xf numFmtId="0" fontId="6" fillId="78" borderId="0" xfId="0" applyFont="1" applyFill="1" applyAlignment="1">
      <alignment horizontal="center"/>
    </xf>
    <xf numFmtId="0" fontId="6" fillId="79" borderId="0" xfId="0" applyFont="1" applyFill="1" applyAlignment="1">
      <alignment horizontal="center"/>
    </xf>
    <xf numFmtId="49" fontId="22" fillId="0" borderId="0" xfId="73" applyNumberFormat="1" applyFont="1" applyFill="1"/>
    <xf numFmtId="17" fontId="22" fillId="0" borderId="0" xfId="73" applyNumberFormat="1" applyFont="1" applyFill="1"/>
    <xf numFmtId="0" fontId="12" fillId="0" borderId="0" xfId="0" applyFont="1"/>
    <xf numFmtId="0" fontId="3" fillId="0" borderId="0" xfId="0" applyFont="1" applyAlignment="1">
      <alignment horizontal="center"/>
    </xf>
    <xf numFmtId="39" fontId="6" fillId="0" borderId="0" xfId="0" applyNumberFormat="1" applyFont="1" applyProtection="1"/>
    <xf numFmtId="5" fontId="6" fillId="79" borderId="0" xfId="0" applyNumberFormat="1" applyFont="1" applyFill="1" applyProtection="1">
      <protection locked="0"/>
    </xf>
    <xf numFmtId="37" fontId="6" fillId="79" borderId="0" xfId="0" applyNumberFormat="1" applyFont="1" applyFill="1" applyProtection="1">
      <protection locked="0"/>
    </xf>
    <xf numFmtId="5" fontId="6" fillId="78" borderId="0" xfId="0" applyNumberFormat="1" applyFont="1" applyFill="1" applyProtection="1">
      <protection locked="0"/>
    </xf>
    <xf numFmtId="174" fontId="6" fillId="78" borderId="0" xfId="0" applyNumberFormat="1" applyFont="1" applyFill="1" applyProtection="1">
      <protection locked="0"/>
    </xf>
    <xf numFmtId="37" fontId="6" fillId="78" borderId="0" xfId="0" applyNumberFormat="1" applyFont="1" applyFill="1"/>
    <xf numFmtId="0" fontId="0" fillId="78" borderId="0" xfId="0" applyFill="1"/>
    <xf numFmtId="5" fontId="6" fillId="78" borderId="0" xfId="0" applyNumberFormat="1" applyFont="1" applyFill="1" applyAlignment="1">
      <alignment horizontal="center"/>
    </xf>
    <xf numFmtId="10" fontId="6" fillId="0" borderId="0" xfId="70" applyNumberFormat="1" applyFont="1" applyProtection="1"/>
    <xf numFmtId="5" fontId="6" fillId="0" borderId="0" xfId="70" applyNumberFormat="1" applyFont="1" applyFill="1" applyProtection="1"/>
    <xf numFmtId="37" fontId="6" fillId="0" borderId="0" xfId="70" applyNumberFormat="1" applyFont="1" applyFill="1" applyProtection="1"/>
    <xf numFmtId="38" fontId="6" fillId="0" borderId="0" xfId="70" applyNumberFormat="1" applyFont="1"/>
    <xf numFmtId="5" fontId="7" fillId="79" borderId="0" xfId="70" applyNumberFormat="1" applyFont="1" applyFill="1"/>
    <xf numFmtId="38" fontId="7" fillId="79" borderId="0" xfId="70" applyNumberFormat="1" applyFont="1" applyFill="1"/>
    <xf numFmtId="38" fontId="7" fillId="79" borderId="0" xfId="70" applyNumberFormat="1" applyFont="1" applyFill="1" applyBorder="1"/>
    <xf numFmtId="38" fontId="7" fillId="79" borderId="0" xfId="70" applyNumberFormat="1" applyFont="1" applyFill="1" applyBorder="1"/>
    <xf numFmtId="5" fontId="7" fillId="79" borderId="0" xfId="70" applyNumberFormat="1" applyFont="1" applyFill="1" applyBorder="1"/>
    <xf numFmtId="38" fontId="7" fillId="79" borderId="0" xfId="70" applyNumberFormat="1" applyFont="1" applyFill="1"/>
    <xf numFmtId="38" fontId="6" fillId="0" borderId="0" xfId="0" applyNumberFormat="1" applyFont="1" applyAlignment="1">
      <alignment horizontal="right"/>
    </xf>
    <xf numFmtId="5" fontId="6" fillId="78" borderId="0" xfId="0" applyNumberFormat="1" applyFont="1" applyFill="1" applyAlignment="1">
      <alignment horizontal="right"/>
    </xf>
    <xf numFmtId="164" fontId="6" fillId="78" borderId="0" xfId="0" applyNumberFormat="1" applyFont="1" applyFill="1"/>
    <xf numFmtId="38" fontId="6" fillId="78" borderId="0" xfId="0" applyNumberFormat="1" applyFont="1" applyFill="1" applyBorder="1"/>
    <xf numFmtId="37" fontId="6" fillId="0" borderId="0" xfId="70" applyNumberFormat="1" applyFont="1" applyFill="1" applyBorder="1" applyProtection="1"/>
    <xf numFmtId="5" fontId="15" fillId="80" borderId="0" xfId="76" applyNumberFormat="1" applyFont="1" applyFill="1" applyProtection="1">
      <protection locked="0"/>
    </xf>
    <xf numFmtId="37" fontId="15" fillId="80" borderId="0" xfId="76" applyNumberFormat="1" applyFont="1" applyFill="1" applyProtection="1"/>
    <xf numFmtId="5" fontId="15" fillId="80" borderId="0" xfId="76" applyNumberFormat="1" applyFill="1" applyProtection="1"/>
    <xf numFmtId="37" fontId="15" fillId="80" borderId="0" xfId="76" applyNumberFormat="1" applyFont="1" applyFill="1" applyProtection="1">
      <protection locked="0"/>
    </xf>
    <xf numFmtId="39" fontId="6" fillId="0" borderId="0" xfId="6718" applyNumberFormat="1" applyFont="1" applyBorder="1"/>
    <xf numFmtId="37" fontId="15" fillId="80" borderId="0" xfId="76" applyNumberFormat="1" applyFill="1" applyProtection="1"/>
    <xf numFmtId="37" fontId="6" fillId="79" borderId="0" xfId="46" applyNumberFormat="1" applyFont="1" applyFill="1" applyAlignment="1"/>
    <xf numFmtId="0" fontId="3" fillId="0" borderId="0" xfId="6712"/>
    <xf numFmtId="0" fontId="6" fillId="0" borderId="0" xfId="6712" applyFont="1" applyAlignment="1">
      <alignment horizontal="center"/>
    </xf>
    <xf numFmtId="10" fontId="6" fillId="0" borderId="0" xfId="6712" applyNumberFormat="1" applyFont="1" applyBorder="1" applyAlignment="1">
      <alignment horizontal="center" vertical="top" wrapText="1"/>
    </xf>
    <xf numFmtId="10" fontId="6" fillId="0" borderId="0" xfId="6712" applyNumberFormat="1" applyFont="1" applyAlignment="1">
      <alignment horizontal="center"/>
    </xf>
    <xf numFmtId="10" fontId="67" fillId="0" borderId="0" xfId="81" applyNumberFormat="1" applyFont="1" applyFill="1" applyAlignment="1">
      <alignment horizontal="center"/>
    </xf>
    <xf numFmtId="0" fontId="6" fillId="0" borderId="0" xfId="6743" applyFont="1" applyAlignment="1">
      <alignment horizontal="center"/>
    </xf>
    <xf numFmtId="10" fontId="6" fillId="0" borderId="0" xfId="6743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center"/>
    </xf>
    <xf numFmtId="0" fontId="3" fillId="0" borderId="0" xfId="6631"/>
    <xf numFmtId="0" fontId="6" fillId="0" borderId="0" xfId="6631" applyFont="1"/>
    <xf numFmtId="0" fontId="3" fillId="0" borderId="0" xfId="6748"/>
    <xf numFmtId="38" fontId="6" fillId="0" borderId="0" xfId="6611" applyNumberFormat="1" applyFont="1"/>
    <xf numFmtId="38" fontId="7" fillId="79" borderId="13" xfId="70" applyNumberFormat="1" applyFont="1" applyFill="1" applyBorder="1"/>
    <xf numFmtId="37" fontId="15" fillId="100" borderId="0" xfId="6768" applyNumberFormat="1" applyFont="1" applyFill="1" applyProtection="1"/>
    <xf numFmtId="5" fontId="15" fillId="100" borderId="0" xfId="6768" applyNumberFormat="1" applyFont="1" applyFill="1" applyProtection="1"/>
    <xf numFmtId="0" fontId="105" fillId="0" borderId="0" xfId="0" applyFont="1"/>
    <xf numFmtId="38" fontId="7" fillId="79" borderId="13" xfId="70" applyNumberFormat="1" applyFont="1" applyFill="1" applyBorder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0" fillId="0" borderId="0" xfId="0" applyAlignment="1">
      <alignment horizontal="right"/>
    </xf>
    <xf numFmtId="0" fontId="110" fillId="0" borderId="0" xfId="0" applyNumberFormat="1" applyFont="1"/>
    <xf numFmtId="0" fontId="111" fillId="0" borderId="0" xfId="0" applyFont="1"/>
    <xf numFmtId="0" fontId="109" fillId="0" borderId="0" xfId="0" applyFont="1"/>
    <xf numFmtId="0" fontId="112" fillId="0" borderId="0" xfId="0" applyFont="1"/>
    <xf numFmtId="179" fontId="6" fillId="79" borderId="0" xfId="52" applyNumberFormat="1" applyFont="1" applyFill="1"/>
    <xf numFmtId="179" fontId="6" fillId="0" borderId="0" xfId="0" applyNumberFormat="1" applyFont="1"/>
    <xf numFmtId="180" fontId="6" fillId="79" borderId="0" xfId="46" applyNumberFormat="1" applyFont="1" applyFill="1" applyAlignment="1"/>
    <xf numFmtId="180" fontId="6" fillId="79" borderId="0" xfId="46" applyNumberFormat="1" applyFont="1" applyFill="1"/>
    <xf numFmtId="180" fontId="6" fillId="79" borderId="0" xfId="52" applyNumberFormat="1" applyFont="1" applyFill="1"/>
    <xf numFmtId="0" fontId="109" fillId="78" borderId="0" xfId="0" applyFont="1" applyFill="1" applyAlignment="1">
      <alignment horizontal="left"/>
    </xf>
    <xf numFmtId="0" fontId="109" fillId="0" borderId="0" xfId="0" applyFont="1" applyBorder="1" applyAlignment="1">
      <alignment horizontal="left"/>
    </xf>
    <xf numFmtId="0" fontId="109" fillId="0" borderId="0" xfId="0" applyFont="1" applyAlignment="1">
      <alignment horizontal="center"/>
    </xf>
    <xf numFmtId="0" fontId="109" fillId="0" borderId="0" xfId="0" applyFont="1" applyBorder="1"/>
    <xf numFmtId="37" fontId="15" fillId="0" borderId="0" xfId="76" applyNumberFormat="1" applyFont="1" applyFill="1" applyProtection="1"/>
    <xf numFmtId="37" fontId="113" fillId="0" borderId="0" xfId="0" applyNumberFormat="1" applyFont="1"/>
    <xf numFmtId="37" fontId="15" fillId="0" borderId="0" xfId="76" applyNumberFormat="1" applyFont="1" applyFill="1" applyProtection="1">
      <protection locked="0"/>
    </xf>
    <xf numFmtId="179" fontId="6" fillId="79" borderId="0" xfId="52" applyNumberFormat="1" applyFont="1" applyFill="1" applyAlignment="1">
      <alignment horizontal="center"/>
    </xf>
    <xf numFmtId="179" fontId="6" fillId="0" borderId="0" xfId="52" applyNumberFormat="1" applyFont="1" applyFill="1" applyBorder="1"/>
    <xf numFmtId="179" fontId="6" fillId="0" borderId="0" xfId="52" applyNumberFormat="1" applyFont="1" applyBorder="1" applyAlignment="1">
      <alignment horizontal="center"/>
    </xf>
    <xf numFmtId="179" fontId="8" fillId="0" borderId="0" xfId="52" applyNumberFormat="1" applyFont="1" applyBorder="1" applyAlignment="1">
      <alignment horizontal="center"/>
    </xf>
    <xf numFmtId="179" fontId="6" fillId="0" borderId="0" xfId="52" applyNumberFormat="1" applyFont="1" applyFill="1" applyBorder="1" applyAlignment="1">
      <alignment horizontal="center"/>
    </xf>
    <xf numFmtId="179" fontId="6" fillId="78" borderId="0" xfId="52" applyNumberFormat="1" applyFont="1" applyFill="1" applyBorder="1"/>
    <xf numFmtId="38" fontId="67" fillId="79" borderId="0" xfId="70" applyNumberFormat="1" applyFont="1" applyFill="1" applyBorder="1"/>
    <xf numFmtId="38" fontId="109" fillId="0" borderId="0" xfId="70" applyNumberFormat="1" applyFont="1" applyFill="1" applyBorder="1"/>
    <xf numFmtId="37" fontId="67" fillId="78" borderId="0" xfId="0" applyNumberFormat="1" applyFont="1" applyFill="1" applyAlignment="1">
      <alignment horizontal="right"/>
    </xf>
    <xf numFmtId="37" fontId="67" fillId="0" borderId="0" xfId="0" applyNumberFormat="1" applyFont="1" applyBorder="1" applyAlignment="1">
      <alignment horizontal="right"/>
    </xf>
    <xf numFmtId="0" fontId="67" fillId="79" borderId="0" xfId="0" applyFont="1" applyFill="1" applyAlignment="1">
      <alignment horizontal="center"/>
    </xf>
    <xf numFmtId="38" fontId="67" fillId="102" borderId="0" xfId="70" applyNumberFormat="1" applyFont="1" applyFill="1"/>
    <xf numFmtId="0" fontId="109" fillId="0" borderId="0" xfId="0" applyFont="1" applyFill="1"/>
    <xf numFmtId="9" fontId="6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6" fillId="78" borderId="0" xfId="80" applyNumberFormat="1" applyFont="1" applyFill="1"/>
    <xf numFmtId="37" fontId="109" fillId="78" borderId="0" xfId="46" applyNumberFormat="1" applyFont="1" applyFill="1" applyAlignment="1"/>
    <xf numFmtId="0" fontId="19" fillId="0" borderId="0" xfId="0" applyFont="1"/>
    <xf numFmtId="5" fontId="6" fillId="79" borderId="0" xfId="70" applyNumberFormat="1" applyFont="1" applyFill="1"/>
    <xf numFmtId="37" fontId="6" fillId="79" borderId="0" xfId="70" applyNumberFormat="1" applyFont="1" applyFill="1"/>
    <xf numFmtId="0" fontId="70" fillId="0" borderId="0" xfId="0" applyFont="1"/>
    <xf numFmtId="175" fontId="114" fillId="0" borderId="0" xfId="74" applyNumberFormat="1" applyFont="1" applyFill="1" applyAlignment="1" applyProtection="1">
      <alignment horizontal="left"/>
    </xf>
    <xf numFmtId="0" fontId="3" fillId="79" borderId="0" xfId="70" applyFont="1" applyFill="1" applyAlignment="1">
      <alignment horizontal="center"/>
    </xf>
    <xf numFmtId="37" fontId="34" fillId="0" borderId="0" xfId="75" applyFill="1"/>
    <xf numFmtId="0" fontId="3" fillId="0" borderId="0" xfId="70" applyFont="1"/>
    <xf numFmtId="0" fontId="3" fillId="0" borderId="0" xfId="70"/>
    <xf numFmtId="37" fontId="34" fillId="78" borderId="0" xfId="75" applyFill="1"/>
    <xf numFmtId="49" fontId="34" fillId="0" borderId="0" xfId="74" applyNumberFormat="1" applyFill="1" applyBorder="1" applyAlignment="1">
      <alignment horizontal="left"/>
    </xf>
    <xf numFmtId="37" fontId="34" fillId="0" borderId="0" xfId="74" applyFill="1"/>
    <xf numFmtId="37" fontId="34" fillId="0" borderId="0" xfId="75" applyFont="1" applyFill="1"/>
    <xf numFmtId="175" fontId="47" fillId="0" borderId="0" xfId="74" applyNumberFormat="1" applyFont="1" applyFill="1" applyAlignment="1" applyProtection="1">
      <alignment horizontal="left"/>
    </xf>
    <xf numFmtId="43" fontId="3" fillId="79" borderId="0" xfId="46" applyFont="1" applyFill="1" applyAlignment="1">
      <alignment horizontal="center"/>
    </xf>
    <xf numFmtId="5" fontId="6" fillId="0" borderId="14" xfId="0" applyNumberFormat="1" applyFont="1" applyFill="1" applyBorder="1"/>
    <xf numFmtId="14" fontId="6" fillId="0" borderId="0" xfId="3436" applyNumberFormat="1" applyFont="1" applyAlignment="1">
      <alignment horizontal="left"/>
    </xf>
    <xf numFmtId="0" fontId="6" fillId="0" borderId="13" xfId="3436" applyNumberFormat="1" applyFont="1" applyBorder="1" applyAlignment="1">
      <alignment horizontal="center"/>
    </xf>
    <xf numFmtId="0" fontId="6" fillId="0" borderId="0" xfId="70" applyFont="1" applyBorder="1" applyAlignment="1">
      <alignment horizontal="center"/>
    </xf>
    <xf numFmtId="0" fontId="12" fillId="0" borderId="0" xfId="70" applyFont="1"/>
    <xf numFmtId="0" fontId="3" fillId="0" borderId="0" xfId="70" applyFont="1" applyAlignment="1">
      <alignment horizontal="center"/>
    </xf>
    <xf numFmtId="0" fontId="3" fillId="79" borderId="0" xfId="70" applyFont="1" applyFill="1"/>
    <xf numFmtId="5" fontId="6" fillId="0" borderId="0" xfId="70" applyNumberFormat="1" applyFont="1"/>
    <xf numFmtId="37" fontId="6" fillId="0" borderId="0" xfId="70" applyNumberFormat="1" applyFont="1"/>
    <xf numFmtId="43" fontId="3" fillId="79" borderId="0" xfId="46" applyFont="1" applyFill="1"/>
    <xf numFmtId="179" fontId="6" fillId="0" borderId="0" xfId="52" applyNumberFormat="1" applyFont="1"/>
    <xf numFmtId="0" fontId="8" fillId="0" borderId="0" xfId="70" applyFont="1" applyBorder="1"/>
    <xf numFmtId="37" fontId="115" fillId="79" borderId="0" xfId="70" applyNumberFormat="1" applyFont="1" applyFill="1" applyAlignment="1">
      <alignment horizontal="right"/>
    </xf>
    <xf numFmtId="5" fontId="115" fillId="79" borderId="0" xfId="70" applyNumberFormat="1" applyFont="1" applyFill="1" applyAlignment="1">
      <alignment horizontal="right"/>
    </xf>
    <xf numFmtId="179" fontId="115" fillId="79" borderId="0" xfId="52" applyNumberFormat="1" applyFont="1" applyFill="1" applyAlignment="1">
      <alignment horizontal="center"/>
    </xf>
    <xf numFmtId="179" fontId="67" fillId="79" borderId="0" xfId="52" applyNumberFormat="1" applyFont="1" applyFill="1" applyAlignment="1">
      <alignment horizontal="center"/>
    </xf>
    <xf numFmtId="172" fontId="6" fillId="103" borderId="0" xfId="46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78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67" fillId="0" borderId="0" xfId="0" applyFont="1"/>
    <xf numFmtId="49" fontId="116" fillId="0" borderId="0" xfId="73" applyNumberFormat="1" applyFont="1" applyFill="1"/>
    <xf numFmtId="17" fontId="116" fillId="0" borderId="0" xfId="73" applyNumberFormat="1" applyFont="1" applyFill="1"/>
    <xf numFmtId="17" fontId="116" fillId="0" borderId="0" xfId="73" quotePrefix="1" applyNumberFormat="1" applyFont="1" applyFill="1"/>
    <xf numFmtId="5" fontId="117" fillId="0" borderId="0" xfId="72" applyNumberFormat="1" applyFont="1"/>
    <xf numFmtId="5" fontId="109" fillId="0" borderId="0" xfId="0" applyNumberFormat="1" applyFont="1" applyProtection="1"/>
    <xf numFmtId="37" fontId="106" fillId="79" borderId="0" xfId="70" applyNumberFormat="1" applyFont="1" applyFill="1" applyBorder="1"/>
    <xf numFmtId="38" fontId="106" fillId="78" borderId="0" xfId="70" applyNumberFormat="1" applyFont="1" applyFill="1"/>
    <xf numFmtId="10" fontId="118" fillId="79" borderId="0" xfId="0" applyNumberFormat="1" applyFont="1" applyFill="1"/>
    <xf numFmtId="0" fontId="67" fillId="0" borderId="0" xfId="0" applyFont="1" applyAlignment="1">
      <alignment horizontal="right"/>
    </xf>
    <xf numFmtId="37" fontId="67" fillId="0" borderId="0" xfId="70" applyNumberFormat="1" applyFont="1" applyProtection="1"/>
    <xf numFmtId="5" fontId="106" fillId="79" borderId="0" xfId="6731" applyNumberFormat="1" applyFont="1" applyFill="1" applyProtection="1"/>
    <xf numFmtId="5" fontId="106" fillId="79" borderId="0" xfId="70" applyNumberFormat="1" applyFont="1" applyFill="1" applyProtection="1"/>
    <xf numFmtId="37" fontId="106" fillId="101" borderId="0" xfId="70" applyNumberFormat="1" applyFont="1" applyFill="1" applyProtection="1"/>
    <xf numFmtId="37" fontId="119" fillId="100" borderId="0" xfId="76" applyNumberFormat="1" applyFont="1" applyFill="1" applyProtection="1"/>
    <xf numFmtId="37" fontId="106" fillId="100" borderId="0" xfId="6693" applyNumberFormat="1" applyFont="1" applyFill="1" applyBorder="1"/>
    <xf numFmtId="37" fontId="106" fillId="100" borderId="0" xfId="70" applyNumberFormat="1" applyFont="1" applyFill="1" applyBorder="1"/>
    <xf numFmtId="39" fontId="106" fillId="100" borderId="0" xfId="6718" applyNumberFormat="1" applyFont="1" applyFill="1" applyBorder="1"/>
    <xf numFmtId="37" fontId="106" fillId="100" borderId="0" xfId="6708" applyNumberFormat="1" applyFont="1" applyFill="1" applyBorder="1"/>
    <xf numFmtId="37" fontId="119" fillId="100" borderId="0" xfId="76" applyNumberFormat="1" applyFont="1" applyFill="1" applyProtection="1">
      <protection locked="0"/>
    </xf>
    <xf numFmtId="39" fontId="106" fillId="100" borderId="0" xfId="6697" applyNumberFormat="1" applyFont="1" applyFill="1"/>
    <xf numFmtId="37" fontId="15" fillId="104" borderId="0" xfId="76" applyNumberFormat="1" applyFont="1" applyFill="1" applyProtection="1"/>
    <xf numFmtId="5" fontId="6" fillId="79" borderId="0" xfId="46" applyNumberFormat="1" applyFont="1" applyFill="1"/>
    <xf numFmtId="37" fontId="6" fillId="79" borderId="0" xfId="46" applyNumberFormat="1" applyFont="1" applyFill="1"/>
    <xf numFmtId="37" fontId="67" fillId="79" borderId="0" xfId="70" applyNumberFormat="1" applyFont="1" applyFill="1" applyAlignment="1">
      <alignment horizontal="right"/>
    </xf>
    <xf numFmtId="10" fontId="67" fillId="0" borderId="0" xfId="70" applyNumberFormat="1" applyFont="1" applyFill="1" applyProtection="1"/>
    <xf numFmtId="0" fontId="115" fillId="79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8869">
    <cellStyle name="20% - Accent1 10" xfId="232"/>
    <cellStyle name="20% - Accent1 10 2" xfId="231"/>
    <cellStyle name="20% - Accent1 10 2 2" xfId="235"/>
    <cellStyle name="20% - Accent1 10 2 2 2" xfId="234"/>
    <cellStyle name="20% - Accent1 10 2 2 2 2" xfId="6798"/>
    <cellStyle name="20% - Accent1 10 2 2 3" xfId="6799"/>
    <cellStyle name="20% - Accent1 10 2 3" xfId="236"/>
    <cellStyle name="20% - Accent1 10 2 3 2" xfId="233"/>
    <cellStyle name="20% - Accent1 10 2 3 2 2" xfId="6797"/>
    <cellStyle name="20% - Accent1 10 2 3 3" xfId="6800"/>
    <cellStyle name="20% - Accent1 10 2 4" xfId="238"/>
    <cellStyle name="20% - Accent1 10 2 4 2" xfId="239"/>
    <cellStyle name="20% - Accent1 10 2 4 2 2" xfId="6802"/>
    <cellStyle name="20% - Accent1 10 2 4 3" xfId="6801"/>
    <cellStyle name="20% - Accent1 10 2 5" xfId="240"/>
    <cellStyle name="20% - Accent1 10 2 5 2" xfId="6803"/>
    <cellStyle name="20% - Accent1 10 2 6" xfId="6795"/>
    <cellStyle name="20% - Accent1 10 2_ORACLE TRIAL BALANCE" xfId="241"/>
    <cellStyle name="20% - Accent1 10 3" xfId="242"/>
    <cellStyle name="20% - Accent1 10 3 2" xfId="243"/>
    <cellStyle name="20% - Accent1 10 3 2 2" xfId="6805"/>
    <cellStyle name="20% - Accent1 10 3 3" xfId="6804"/>
    <cellStyle name="20% - Accent1 10 4" xfId="244"/>
    <cellStyle name="20% - Accent1 10 4 2" xfId="245"/>
    <cellStyle name="20% - Accent1 10 4 2 2" xfId="6807"/>
    <cellStyle name="20% - Accent1 10 4 3" xfId="6806"/>
    <cellStyle name="20% - Accent1 10 5" xfId="246"/>
    <cellStyle name="20% - Accent1 10 5 2" xfId="247"/>
    <cellStyle name="20% - Accent1 10 5 2 2" xfId="6809"/>
    <cellStyle name="20% - Accent1 10 5 3" xfId="6808"/>
    <cellStyle name="20% - Accent1 10 6" xfId="248"/>
    <cellStyle name="20% - Accent1 10 6 2" xfId="6810"/>
    <cellStyle name="20% - Accent1 10 7" xfId="6796"/>
    <cellStyle name="20% - Accent1 10_ORACLE TRIAL BALANCE" xfId="249"/>
    <cellStyle name="20% - Accent1 11" xfId="250"/>
    <cellStyle name="20% - Accent1 11 2" xfId="251"/>
    <cellStyle name="20% - Accent1 11 2 2" xfId="252"/>
    <cellStyle name="20% - Accent1 11 2 2 2" xfId="6813"/>
    <cellStyle name="20% - Accent1 11 2 3" xfId="6812"/>
    <cellStyle name="20% - Accent1 11 3" xfId="253"/>
    <cellStyle name="20% - Accent1 11 3 2" xfId="254"/>
    <cellStyle name="20% - Accent1 11 3 2 2" xfId="6815"/>
    <cellStyle name="20% - Accent1 11 3 3" xfId="6814"/>
    <cellStyle name="20% - Accent1 11 4" xfId="255"/>
    <cellStyle name="20% - Accent1 11 4 2" xfId="256"/>
    <cellStyle name="20% - Accent1 11 4 2 2" xfId="6817"/>
    <cellStyle name="20% - Accent1 11 4 3" xfId="6816"/>
    <cellStyle name="20% - Accent1 11 5" xfId="257"/>
    <cellStyle name="20% - Accent1 11 5 2" xfId="6818"/>
    <cellStyle name="20% - Accent1 11 6" xfId="6811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2 2 2" xfId="6822"/>
    <cellStyle name="20% - Accent1 2 2 2 3" xfId="6821"/>
    <cellStyle name="20% - Accent1 2 2 3" xfId="267"/>
    <cellStyle name="20% - Accent1 2 2 3 2" xfId="268"/>
    <cellStyle name="20% - Accent1 2 2 3 2 2" xfId="6824"/>
    <cellStyle name="20% - Accent1 2 2 3 3" xfId="6823"/>
    <cellStyle name="20% - Accent1 2 2 4" xfId="269"/>
    <cellStyle name="20% - Accent1 2 2 4 2" xfId="270"/>
    <cellStyle name="20% - Accent1 2 2 4 2 2" xfId="6826"/>
    <cellStyle name="20% - Accent1 2 2 4 3" xfId="6825"/>
    <cellStyle name="20% - Accent1 2 2 5" xfId="271"/>
    <cellStyle name="20% - Accent1 2 2 5 2" xfId="272"/>
    <cellStyle name="20% - Accent1 2 2 5 2 2" xfId="6828"/>
    <cellStyle name="20% - Accent1 2 2 5 3" xfId="6827"/>
    <cellStyle name="20% - Accent1 2 2 6" xfId="273"/>
    <cellStyle name="20% - Accent1 2 2 6 2" xfId="6829"/>
    <cellStyle name="20% - Accent1 2 2 7" xfId="6820"/>
    <cellStyle name="20% - Accent1 2 2_ORACLE TRIAL BALANCE" xfId="274"/>
    <cellStyle name="20% - Accent1 2 3" xfId="275"/>
    <cellStyle name="20% - Accent1 2 3 2" xfId="276"/>
    <cellStyle name="20% - Accent1 2 3 2 2" xfId="6831"/>
    <cellStyle name="20% - Accent1 2 3 3" xfId="6830"/>
    <cellStyle name="20% - Accent1 2 4" xfId="277"/>
    <cellStyle name="20% - Accent1 2 4 2" xfId="278"/>
    <cellStyle name="20% - Accent1 2 4 2 2" xfId="6833"/>
    <cellStyle name="20% - Accent1 2 4 3" xfId="6832"/>
    <cellStyle name="20% - Accent1 2 5" xfId="279"/>
    <cellStyle name="20% - Accent1 2 5 2" xfId="280"/>
    <cellStyle name="20% - Accent1 2 5 2 2" xfId="6835"/>
    <cellStyle name="20% - Accent1 2 5 3" xfId="6834"/>
    <cellStyle name="20% - Accent1 2 6" xfId="281"/>
    <cellStyle name="20% - Accent1 2 6 2" xfId="282"/>
    <cellStyle name="20% - Accent1 2 6 2 2" xfId="6837"/>
    <cellStyle name="20% - Accent1 2 6 3" xfId="6836"/>
    <cellStyle name="20% - Accent1 2 7" xfId="283"/>
    <cellStyle name="20% - Accent1 2 7 2" xfId="6838"/>
    <cellStyle name="20% - Accent1 2 8" xfId="263"/>
    <cellStyle name="20% - Accent1 2 8 2" xfId="6819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2 2 2" xfId="6842"/>
    <cellStyle name="20% - Accent1 3 2 2 3" xfId="6841"/>
    <cellStyle name="20% - Accent1 3 2 3" xfId="289"/>
    <cellStyle name="20% - Accent1 3 2 3 2" xfId="290"/>
    <cellStyle name="20% - Accent1 3 2 3 2 2" xfId="6844"/>
    <cellStyle name="20% - Accent1 3 2 3 3" xfId="6843"/>
    <cellStyle name="20% - Accent1 3 2 4" xfId="291"/>
    <cellStyle name="20% - Accent1 3 2 4 2" xfId="292"/>
    <cellStyle name="20% - Accent1 3 2 4 2 2" xfId="6846"/>
    <cellStyle name="20% - Accent1 3 2 4 3" xfId="6845"/>
    <cellStyle name="20% - Accent1 3 2 5" xfId="293"/>
    <cellStyle name="20% - Accent1 3 2 5 2" xfId="6847"/>
    <cellStyle name="20% - Accent1 3 2 6" xfId="6840"/>
    <cellStyle name="20% - Accent1 3 2_ORACLE TRIAL BALANCE" xfId="294"/>
    <cellStyle name="20% - Accent1 3 3" xfId="295"/>
    <cellStyle name="20% - Accent1 3 3 2" xfId="296"/>
    <cellStyle name="20% - Accent1 3 3 2 2" xfId="6849"/>
    <cellStyle name="20% - Accent1 3 3 3" xfId="6848"/>
    <cellStyle name="20% - Accent1 3 4" xfId="297"/>
    <cellStyle name="20% - Accent1 3 4 2" xfId="298"/>
    <cellStyle name="20% - Accent1 3 4 2 2" xfId="6851"/>
    <cellStyle name="20% - Accent1 3 4 3" xfId="6850"/>
    <cellStyle name="20% - Accent1 3 5" xfId="299"/>
    <cellStyle name="20% - Accent1 3 6" xfId="300"/>
    <cellStyle name="20% - Accent1 3 7" xfId="301"/>
    <cellStyle name="20% - Accent1 3 8" xfId="302"/>
    <cellStyle name="20% - Accent1 3 8 2" xfId="6852"/>
    <cellStyle name="20% - Accent1 3 9" xfId="6839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2 2 2" xfId="6856"/>
    <cellStyle name="20% - Accent1 4 2 2 3" xfId="6855"/>
    <cellStyle name="20% - Accent1 4 2 3" xfId="308"/>
    <cellStyle name="20% - Accent1 4 2 3 2" xfId="309"/>
    <cellStyle name="20% - Accent1 4 2 3 2 2" xfId="6858"/>
    <cellStyle name="20% - Accent1 4 2 3 3" xfId="6857"/>
    <cellStyle name="20% - Accent1 4 2 4" xfId="310"/>
    <cellStyle name="20% - Accent1 4 2 4 2" xfId="311"/>
    <cellStyle name="20% - Accent1 4 2 4 2 2" xfId="6860"/>
    <cellStyle name="20% - Accent1 4 2 4 3" xfId="6859"/>
    <cellStyle name="20% - Accent1 4 2 5" xfId="312"/>
    <cellStyle name="20% - Accent1 4 2 5 2" xfId="6861"/>
    <cellStyle name="20% - Accent1 4 2 6" xfId="6854"/>
    <cellStyle name="20% - Accent1 4 2_ORACLE TRIAL BALANCE" xfId="313"/>
    <cellStyle name="20% - Accent1 4 3" xfId="314"/>
    <cellStyle name="20% - Accent1 4 3 2" xfId="315"/>
    <cellStyle name="20% - Accent1 4 3 2 2" xfId="6863"/>
    <cellStyle name="20% - Accent1 4 3 3" xfId="6862"/>
    <cellStyle name="20% - Accent1 4 4" xfId="316"/>
    <cellStyle name="20% - Accent1 4 4 2" xfId="317"/>
    <cellStyle name="20% - Accent1 4 4 2 2" xfId="6865"/>
    <cellStyle name="20% - Accent1 4 4 3" xfId="6864"/>
    <cellStyle name="20% - Accent1 4 5" xfId="318"/>
    <cellStyle name="20% - Accent1 4 5 2" xfId="319"/>
    <cellStyle name="20% - Accent1 4 5 2 2" xfId="6867"/>
    <cellStyle name="20% - Accent1 4 5 3" xfId="6866"/>
    <cellStyle name="20% - Accent1 4 6" xfId="320"/>
    <cellStyle name="20% - Accent1 4 6 2" xfId="6868"/>
    <cellStyle name="20% - Accent1 4 7" xfId="6853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2 2 2" xfId="6872"/>
    <cellStyle name="20% - Accent1 5 2 2 3" xfId="6871"/>
    <cellStyle name="20% - Accent1 5 2 3" xfId="326"/>
    <cellStyle name="20% - Accent1 5 2 3 2" xfId="327"/>
    <cellStyle name="20% - Accent1 5 2 3 2 2" xfId="6874"/>
    <cellStyle name="20% - Accent1 5 2 3 3" xfId="6873"/>
    <cellStyle name="20% - Accent1 5 2 4" xfId="328"/>
    <cellStyle name="20% - Accent1 5 2 4 2" xfId="329"/>
    <cellStyle name="20% - Accent1 5 2 4 2 2" xfId="6876"/>
    <cellStyle name="20% - Accent1 5 2 4 3" xfId="6875"/>
    <cellStyle name="20% - Accent1 5 2 5" xfId="330"/>
    <cellStyle name="20% - Accent1 5 2 5 2" xfId="6877"/>
    <cellStyle name="20% - Accent1 5 2 6" xfId="6870"/>
    <cellStyle name="20% - Accent1 5 2_ORACLE TRIAL BALANCE" xfId="331"/>
    <cellStyle name="20% - Accent1 5 3" xfId="332"/>
    <cellStyle name="20% - Accent1 5 3 2" xfId="333"/>
    <cellStyle name="20% - Accent1 5 3 2 2" xfId="6879"/>
    <cellStyle name="20% - Accent1 5 3 3" xfId="6878"/>
    <cellStyle name="20% - Accent1 5 4" xfId="334"/>
    <cellStyle name="20% - Accent1 5 4 2" xfId="335"/>
    <cellStyle name="20% - Accent1 5 4 2 2" xfId="6881"/>
    <cellStyle name="20% - Accent1 5 4 3" xfId="6880"/>
    <cellStyle name="20% - Accent1 5 5" xfId="336"/>
    <cellStyle name="20% - Accent1 5 5 2" xfId="337"/>
    <cellStyle name="20% - Accent1 5 5 2 2" xfId="6883"/>
    <cellStyle name="20% - Accent1 5 5 3" xfId="6882"/>
    <cellStyle name="20% - Accent1 5 6" xfId="338"/>
    <cellStyle name="20% - Accent1 5 6 2" xfId="6884"/>
    <cellStyle name="20% - Accent1 5 7" xfId="6869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2 2 2" xfId="6888"/>
    <cellStyle name="20% - Accent1 6 2 2 3" xfId="6887"/>
    <cellStyle name="20% - Accent1 6 2 3" xfId="344"/>
    <cellStyle name="20% - Accent1 6 2 3 2" xfId="345"/>
    <cellStyle name="20% - Accent1 6 2 3 2 2" xfId="6890"/>
    <cellStyle name="20% - Accent1 6 2 3 3" xfId="6889"/>
    <cellStyle name="20% - Accent1 6 2 4" xfId="346"/>
    <cellStyle name="20% - Accent1 6 2 4 2" xfId="347"/>
    <cellStyle name="20% - Accent1 6 2 4 2 2" xfId="6892"/>
    <cellStyle name="20% - Accent1 6 2 4 3" xfId="6891"/>
    <cellStyle name="20% - Accent1 6 2 5" xfId="348"/>
    <cellStyle name="20% - Accent1 6 2 5 2" xfId="6893"/>
    <cellStyle name="20% - Accent1 6 2 6" xfId="6886"/>
    <cellStyle name="20% - Accent1 6 2_ORACLE TRIAL BALANCE" xfId="349"/>
    <cellStyle name="20% - Accent1 6 3" xfId="350"/>
    <cellStyle name="20% - Accent1 6 3 2" xfId="351"/>
    <cellStyle name="20% - Accent1 6 3 2 2" xfId="6895"/>
    <cellStyle name="20% - Accent1 6 3 3" xfId="6894"/>
    <cellStyle name="20% - Accent1 6 4" xfId="352"/>
    <cellStyle name="20% - Accent1 6 4 2" xfId="353"/>
    <cellStyle name="20% - Accent1 6 4 2 2" xfId="6897"/>
    <cellStyle name="20% - Accent1 6 4 3" xfId="6896"/>
    <cellStyle name="20% - Accent1 6 5" xfId="354"/>
    <cellStyle name="20% - Accent1 6 5 2" xfId="355"/>
    <cellStyle name="20% - Accent1 6 5 2 2" xfId="6899"/>
    <cellStyle name="20% - Accent1 6 5 3" xfId="6898"/>
    <cellStyle name="20% - Accent1 6 6" xfId="356"/>
    <cellStyle name="20% - Accent1 6 6 2" xfId="6900"/>
    <cellStyle name="20% - Accent1 6 7" xfId="6885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2 2 2" xfId="6904"/>
    <cellStyle name="20% - Accent1 7 2 2 3" xfId="6903"/>
    <cellStyle name="20% - Accent1 7 2 3" xfId="362"/>
    <cellStyle name="20% - Accent1 7 2 3 2" xfId="363"/>
    <cellStyle name="20% - Accent1 7 2 3 2 2" xfId="6906"/>
    <cellStyle name="20% - Accent1 7 2 3 3" xfId="6905"/>
    <cellStyle name="20% - Accent1 7 2 4" xfId="364"/>
    <cellStyle name="20% - Accent1 7 2 4 2" xfId="365"/>
    <cellStyle name="20% - Accent1 7 2 4 2 2" xfId="6908"/>
    <cellStyle name="20% - Accent1 7 2 4 3" xfId="6907"/>
    <cellStyle name="20% - Accent1 7 2 5" xfId="366"/>
    <cellStyle name="20% - Accent1 7 2 5 2" xfId="6909"/>
    <cellStyle name="20% - Accent1 7 2 6" xfId="6902"/>
    <cellStyle name="20% - Accent1 7 2_ORACLE TRIAL BALANCE" xfId="367"/>
    <cellStyle name="20% - Accent1 7 3" xfId="368"/>
    <cellStyle name="20% - Accent1 7 3 2" xfId="369"/>
    <cellStyle name="20% - Accent1 7 3 2 2" xfId="6911"/>
    <cellStyle name="20% - Accent1 7 3 3" xfId="6910"/>
    <cellStyle name="20% - Accent1 7 4" xfId="370"/>
    <cellStyle name="20% - Accent1 7 4 2" xfId="371"/>
    <cellStyle name="20% - Accent1 7 4 2 2" xfId="6913"/>
    <cellStyle name="20% - Accent1 7 4 3" xfId="6912"/>
    <cellStyle name="20% - Accent1 7 5" xfId="372"/>
    <cellStyle name="20% - Accent1 7 5 2" xfId="373"/>
    <cellStyle name="20% - Accent1 7 5 2 2" xfId="6915"/>
    <cellStyle name="20% - Accent1 7 5 3" xfId="6914"/>
    <cellStyle name="20% - Accent1 7 6" xfId="374"/>
    <cellStyle name="20% - Accent1 7 6 2" xfId="6916"/>
    <cellStyle name="20% - Accent1 7 7" xfId="6901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6920"/>
    <cellStyle name="20% - Accent1 8 2 2 3" xfId="6919"/>
    <cellStyle name="20% - Accent1 8 2 3" xfId="380"/>
    <cellStyle name="20% - Accent1 8 2 3 2" xfId="381"/>
    <cellStyle name="20% - Accent1 8 2 3 2 2" xfId="6922"/>
    <cellStyle name="20% - Accent1 8 2 3 3" xfId="6921"/>
    <cellStyle name="20% - Accent1 8 2 4" xfId="382"/>
    <cellStyle name="20% - Accent1 8 2 4 2" xfId="383"/>
    <cellStyle name="20% - Accent1 8 2 4 2 2" xfId="6924"/>
    <cellStyle name="20% - Accent1 8 2 4 3" xfId="6923"/>
    <cellStyle name="20% - Accent1 8 2 5" xfId="384"/>
    <cellStyle name="20% - Accent1 8 2 5 2" xfId="6925"/>
    <cellStyle name="20% - Accent1 8 2 6" xfId="6918"/>
    <cellStyle name="20% - Accent1 8 2_ORACLE TRIAL BALANCE" xfId="385"/>
    <cellStyle name="20% - Accent1 8 3" xfId="386"/>
    <cellStyle name="20% - Accent1 8 3 2" xfId="387"/>
    <cellStyle name="20% - Accent1 8 3 2 2" xfId="6927"/>
    <cellStyle name="20% - Accent1 8 3 3" xfId="6926"/>
    <cellStyle name="20% - Accent1 8 4" xfId="388"/>
    <cellStyle name="20% - Accent1 8 4 2" xfId="389"/>
    <cellStyle name="20% - Accent1 8 4 2 2" xfId="6929"/>
    <cellStyle name="20% - Accent1 8 4 3" xfId="6928"/>
    <cellStyle name="20% - Accent1 8 5" xfId="390"/>
    <cellStyle name="20% - Accent1 8 5 2" xfId="391"/>
    <cellStyle name="20% - Accent1 8 5 2 2" xfId="6931"/>
    <cellStyle name="20% - Accent1 8 5 3" xfId="6930"/>
    <cellStyle name="20% - Accent1 8 6" xfId="392"/>
    <cellStyle name="20% - Accent1 8 6 2" xfId="6932"/>
    <cellStyle name="20% - Accent1 8 7" xfId="6917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2 2 2" xfId="6936"/>
    <cellStyle name="20% - Accent1 9 2 2 3" xfId="6935"/>
    <cellStyle name="20% - Accent1 9 2 3" xfId="398"/>
    <cellStyle name="20% - Accent1 9 2 3 2" xfId="399"/>
    <cellStyle name="20% - Accent1 9 2 3 2 2" xfId="6938"/>
    <cellStyle name="20% - Accent1 9 2 3 3" xfId="6937"/>
    <cellStyle name="20% - Accent1 9 2 4" xfId="400"/>
    <cellStyle name="20% - Accent1 9 2 4 2" xfId="401"/>
    <cellStyle name="20% - Accent1 9 2 4 2 2" xfId="6940"/>
    <cellStyle name="20% - Accent1 9 2 4 3" xfId="6939"/>
    <cellStyle name="20% - Accent1 9 2 5" xfId="402"/>
    <cellStyle name="20% - Accent1 9 2 5 2" xfId="6941"/>
    <cellStyle name="20% - Accent1 9 2 6" xfId="6934"/>
    <cellStyle name="20% - Accent1 9 2_ORACLE TRIAL BALANCE" xfId="403"/>
    <cellStyle name="20% - Accent1 9 3" xfId="404"/>
    <cellStyle name="20% - Accent1 9 3 2" xfId="405"/>
    <cellStyle name="20% - Accent1 9 3 2 2" xfId="6943"/>
    <cellStyle name="20% - Accent1 9 3 3" xfId="6942"/>
    <cellStyle name="20% - Accent1 9 4" xfId="406"/>
    <cellStyle name="20% - Accent1 9 4 2" xfId="407"/>
    <cellStyle name="20% - Accent1 9 4 2 2" xfId="6945"/>
    <cellStyle name="20% - Accent1 9 4 3" xfId="6944"/>
    <cellStyle name="20% - Accent1 9 5" xfId="408"/>
    <cellStyle name="20% - Accent1 9 5 2" xfId="409"/>
    <cellStyle name="20% - Accent1 9 5 2 2" xfId="6947"/>
    <cellStyle name="20% - Accent1 9 5 3" xfId="6946"/>
    <cellStyle name="20% - Accent1 9 6" xfId="410"/>
    <cellStyle name="20% - Accent1 9 6 2" xfId="6948"/>
    <cellStyle name="20% - Accent1 9 7" xfId="6933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2 2 2" xfId="6952"/>
    <cellStyle name="20% - Accent2 10 2 2 3" xfId="6951"/>
    <cellStyle name="20% - Accent2 10 2 3" xfId="416"/>
    <cellStyle name="20% - Accent2 10 2 3 2" xfId="417"/>
    <cellStyle name="20% - Accent2 10 2 3 2 2" xfId="6954"/>
    <cellStyle name="20% - Accent2 10 2 3 3" xfId="6953"/>
    <cellStyle name="20% - Accent2 10 2 4" xfId="418"/>
    <cellStyle name="20% - Accent2 10 2 4 2" xfId="419"/>
    <cellStyle name="20% - Accent2 10 2 4 2 2" xfId="6956"/>
    <cellStyle name="20% - Accent2 10 2 4 3" xfId="6955"/>
    <cellStyle name="20% - Accent2 10 2 5" xfId="420"/>
    <cellStyle name="20% - Accent2 10 2 5 2" xfId="6957"/>
    <cellStyle name="20% - Accent2 10 2 6" xfId="6950"/>
    <cellStyle name="20% - Accent2 10 2_ORACLE TRIAL BALANCE" xfId="421"/>
    <cellStyle name="20% - Accent2 10 3" xfId="422"/>
    <cellStyle name="20% - Accent2 10 3 2" xfId="423"/>
    <cellStyle name="20% - Accent2 10 3 2 2" xfId="6959"/>
    <cellStyle name="20% - Accent2 10 3 3" xfId="6958"/>
    <cellStyle name="20% - Accent2 10 4" xfId="424"/>
    <cellStyle name="20% - Accent2 10 4 2" xfId="425"/>
    <cellStyle name="20% - Accent2 10 4 2 2" xfId="6961"/>
    <cellStyle name="20% - Accent2 10 4 3" xfId="6960"/>
    <cellStyle name="20% - Accent2 10 5" xfId="426"/>
    <cellStyle name="20% - Accent2 10 5 2" xfId="427"/>
    <cellStyle name="20% - Accent2 10 5 2 2" xfId="6963"/>
    <cellStyle name="20% - Accent2 10 5 3" xfId="6962"/>
    <cellStyle name="20% - Accent2 10 6" xfId="428"/>
    <cellStyle name="20% - Accent2 10 6 2" xfId="6964"/>
    <cellStyle name="20% - Accent2 10 7" xfId="6949"/>
    <cellStyle name="20% - Accent2 10_ORACLE TRIAL BALANCE" xfId="429"/>
    <cellStyle name="20% - Accent2 11" xfId="430"/>
    <cellStyle name="20% - Accent2 11 2" xfId="431"/>
    <cellStyle name="20% - Accent2 11 2 2" xfId="432"/>
    <cellStyle name="20% - Accent2 11 2 2 2" xfId="6967"/>
    <cellStyle name="20% - Accent2 11 2 3" xfId="6966"/>
    <cellStyle name="20% - Accent2 11 3" xfId="433"/>
    <cellStyle name="20% - Accent2 11 3 2" xfId="434"/>
    <cellStyle name="20% - Accent2 11 3 2 2" xfId="6969"/>
    <cellStyle name="20% - Accent2 11 3 3" xfId="6968"/>
    <cellStyle name="20% - Accent2 11 4" xfId="435"/>
    <cellStyle name="20% - Accent2 11 4 2" xfId="436"/>
    <cellStyle name="20% - Accent2 11 4 2 2" xfId="6971"/>
    <cellStyle name="20% - Accent2 11 4 3" xfId="6970"/>
    <cellStyle name="20% - Accent2 11 5" xfId="437"/>
    <cellStyle name="20% - Accent2 11 5 2" xfId="6972"/>
    <cellStyle name="20% - Accent2 11 6" xfId="6965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2 2 2" xfId="6976"/>
    <cellStyle name="20% - Accent2 2 2 2 3" xfId="6975"/>
    <cellStyle name="20% - Accent2 2 2 3" xfId="447"/>
    <cellStyle name="20% - Accent2 2 2 3 2" xfId="448"/>
    <cellStyle name="20% - Accent2 2 2 3 2 2" xfId="6978"/>
    <cellStyle name="20% - Accent2 2 2 3 3" xfId="6977"/>
    <cellStyle name="20% - Accent2 2 2 4" xfId="449"/>
    <cellStyle name="20% - Accent2 2 2 4 2" xfId="450"/>
    <cellStyle name="20% - Accent2 2 2 4 2 2" xfId="6980"/>
    <cellStyle name="20% - Accent2 2 2 4 3" xfId="6979"/>
    <cellStyle name="20% - Accent2 2 2 5" xfId="451"/>
    <cellStyle name="20% - Accent2 2 2 5 2" xfId="452"/>
    <cellStyle name="20% - Accent2 2 2 5 2 2" xfId="6982"/>
    <cellStyle name="20% - Accent2 2 2 5 3" xfId="6981"/>
    <cellStyle name="20% - Accent2 2 2 6" xfId="453"/>
    <cellStyle name="20% - Accent2 2 2 6 2" xfId="6983"/>
    <cellStyle name="20% - Accent2 2 2 7" xfId="6974"/>
    <cellStyle name="20% - Accent2 2 2_ORACLE TRIAL BALANCE" xfId="454"/>
    <cellStyle name="20% - Accent2 2 3" xfId="455"/>
    <cellStyle name="20% - Accent2 2 3 2" xfId="456"/>
    <cellStyle name="20% - Accent2 2 3 2 2" xfId="6985"/>
    <cellStyle name="20% - Accent2 2 3 3" xfId="6984"/>
    <cellStyle name="20% - Accent2 2 4" xfId="457"/>
    <cellStyle name="20% - Accent2 2 4 2" xfId="458"/>
    <cellStyle name="20% - Accent2 2 4 2 2" xfId="6987"/>
    <cellStyle name="20% - Accent2 2 4 3" xfId="6986"/>
    <cellStyle name="20% - Accent2 2 5" xfId="459"/>
    <cellStyle name="20% - Accent2 2 5 2" xfId="460"/>
    <cellStyle name="20% - Accent2 2 5 2 2" xfId="6989"/>
    <cellStyle name="20% - Accent2 2 5 3" xfId="6988"/>
    <cellStyle name="20% - Accent2 2 6" xfId="461"/>
    <cellStyle name="20% - Accent2 2 6 2" xfId="462"/>
    <cellStyle name="20% - Accent2 2 6 2 2" xfId="6991"/>
    <cellStyle name="20% - Accent2 2 6 3" xfId="6990"/>
    <cellStyle name="20% - Accent2 2 7" xfId="463"/>
    <cellStyle name="20% - Accent2 2 7 2" xfId="6992"/>
    <cellStyle name="20% - Accent2 2 8" xfId="443"/>
    <cellStyle name="20% - Accent2 2 8 2" xfId="697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2 2 2" xfId="6996"/>
    <cellStyle name="20% - Accent2 3 2 2 3" xfId="6995"/>
    <cellStyle name="20% - Accent2 3 2 3" xfId="469"/>
    <cellStyle name="20% - Accent2 3 2 3 2" xfId="470"/>
    <cellStyle name="20% - Accent2 3 2 3 2 2" xfId="6998"/>
    <cellStyle name="20% - Accent2 3 2 3 3" xfId="6997"/>
    <cellStyle name="20% - Accent2 3 2 4" xfId="471"/>
    <cellStyle name="20% - Accent2 3 2 4 2" xfId="472"/>
    <cellStyle name="20% - Accent2 3 2 4 2 2" xfId="7000"/>
    <cellStyle name="20% - Accent2 3 2 4 3" xfId="6999"/>
    <cellStyle name="20% - Accent2 3 2 5" xfId="473"/>
    <cellStyle name="20% - Accent2 3 2 5 2" xfId="7001"/>
    <cellStyle name="20% - Accent2 3 2 6" xfId="6994"/>
    <cellStyle name="20% - Accent2 3 2_ORACLE TRIAL BALANCE" xfId="474"/>
    <cellStyle name="20% - Accent2 3 3" xfId="475"/>
    <cellStyle name="20% - Accent2 3 3 2" xfId="476"/>
    <cellStyle name="20% - Accent2 3 3 2 2" xfId="7003"/>
    <cellStyle name="20% - Accent2 3 3 3" xfId="7002"/>
    <cellStyle name="20% - Accent2 3 4" xfId="477"/>
    <cellStyle name="20% - Accent2 3 4 2" xfId="478"/>
    <cellStyle name="20% - Accent2 3 4 2 2" xfId="7005"/>
    <cellStyle name="20% - Accent2 3 4 3" xfId="7004"/>
    <cellStyle name="20% - Accent2 3 5" xfId="479"/>
    <cellStyle name="20% - Accent2 3 6" xfId="480"/>
    <cellStyle name="20% - Accent2 3 7" xfId="481"/>
    <cellStyle name="20% - Accent2 3 8" xfId="482"/>
    <cellStyle name="20% - Accent2 3 8 2" xfId="7006"/>
    <cellStyle name="20% - Accent2 3 9" xfId="6993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2 2 2" xfId="7010"/>
    <cellStyle name="20% - Accent2 4 2 2 3" xfId="7009"/>
    <cellStyle name="20% - Accent2 4 2 3" xfId="488"/>
    <cellStyle name="20% - Accent2 4 2 3 2" xfId="489"/>
    <cellStyle name="20% - Accent2 4 2 3 2 2" xfId="7012"/>
    <cellStyle name="20% - Accent2 4 2 3 3" xfId="7011"/>
    <cellStyle name="20% - Accent2 4 2 4" xfId="490"/>
    <cellStyle name="20% - Accent2 4 2 4 2" xfId="491"/>
    <cellStyle name="20% - Accent2 4 2 4 2 2" xfId="7014"/>
    <cellStyle name="20% - Accent2 4 2 4 3" xfId="7013"/>
    <cellStyle name="20% - Accent2 4 2 5" xfId="492"/>
    <cellStyle name="20% - Accent2 4 2 5 2" xfId="7015"/>
    <cellStyle name="20% - Accent2 4 2 6" xfId="7008"/>
    <cellStyle name="20% - Accent2 4 2_ORACLE TRIAL BALANCE" xfId="493"/>
    <cellStyle name="20% - Accent2 4 3" xfId="494"/>
    <cellStyle name="20% - Accent2 4 3 2" xfId="495"/>
    <cellStyle name="20% - Accent2 4 3 2 2" xfId="7017"/>
    <cellStyle name="20% - Accent2 4 3 3" xfId="7016"/>
    <cellStyle name="20% - Accent2 4 4" xfId="496"/>
    <cellStyle name="20% - Accent2 4 4 2" xfId="497"/>
    <cellStyle name="20% - Accent2 4 4 2 2" xfId="7019"/>
    <cellStyle name="20% - Accent2 4 4 3" xfId="7018"/>
    <cellStyle name="20% - Accent2 4 5" xfId="498"/>
    <cellStyle name="20% - Accent2 4 5 2" xfId="499"/>
    <cellStyle name="20% - Accent2 4 5 2 2" xfId="7021"/>
    <cellStyle name="20% - Accent2 4 5 3" xfId="7020"/>
    <cellStyle name="20% - Accent2 4 6" xfId="500"/>
    <cellStyle name="20% - Accent2 4 6 2" xfId="7022"/>
    <cellStyle name="20% - Accent2 4 7" xfId="7007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2 2 2" xfId="7026"/>
    <cellStyle name="20% - Accent2 5 2 2 3" xfId="7025"/>
    <cellStyle name="20% - Accent2 5 2 3" xfId="506"/>
    <cellStyle name="20% - Accent2 5 2 3 2" xfId="507"/>
    <cellStyle name="20% - Accent2 5 2 3 2 2" xfId="7028"/>
    <cellStyle name="20% - Accent2 5 2 3 3" xfId="7027"/>
    <cellStyle name="20% - Accent2 5 2 4" xfId="508"/>
    <cellStyle name="20% - Accent2 5 2 4 2" xfId="509"/>
    <cellStyle name="20% - Accent2 5 2 4 2 2" xfId="7030"/>
    <cellStyle name="20% - Accent2 5 2 4 3" xfId="7029"/>
    <cellStyle name="20% - Accent2 5 2 5" xfId="510"/>
    <cellStyle name="20% - Accent2 5 2 5 2" xfId="7031"/>
    <cellStyle name="20% - Accent2 5 2 6" xfId="7024"/>
    <cellStyle name="20% - Accent2 5 2_ORACLE TRIAL BALANCE" xfId="511"/>
    <cellStyle name="20% - Accent2 5 3" xfId="512"/>
    <cellStyle name="20% - Accent2 5 3 2" xfId="513"/>
    <cellStyle name="20% - Accent2 5 3 2 2" xfId="7033"/>
    <cellStyle name="20% - Accent2 5 3 3" xfId="7032"/>
    <cellStyle name="20% - Accent2 5 4" xfId="514"/>
    <cellStyle name="20% - Accent2 5 4 2" xfId="515"/>
    <cellStyle name="20% - Accent2 5 4 2 2" xfId="7035"/>
    <cellStyle name="20% - Accent2 5 4 3" xfId="7034"/>
    <cellStyle name="20% - Accent2 5 5" xfId="516"/>
    <cellStyle name="20% - Accent2 5 5 2" xfId="517"/>
    <cellStyle name="20% - Accent2 5 5 2 2" xfId="7037"/>
    <cellStyle name="20% - Accent2 5 5 3" xfId="7036"/>
    <cellStyle name="20% - Accent2 5 6" xfId="518"/>
    <cellStyle name="20% - Accent2 5 6 2" xfId="7038"/>
    <cellStyle name="20% - Accent2 5 7" xfId="7023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2 2 2" xfId="7042"/>
    <cellStyle name="20% - Accent2 6 2 2 3" xfId="7041"/>
    <cellStyle name="20% - Accent2 6 2 3" xfId="524"/>
    <cellStyle name="20% - Accent2 6 2 3 2" xfId="525"/>
    <cellStyle name="20% - Accent2 6 2 3 2 2" xfId="7044"/>
    <cellStyle name="20% - Accent2 6 2 3 3" xfId="7043"/>
    <cellStyle name="20% - Accent2 6 2 4" xfId="526"/>
    <cellStyle name="20% - Accent2 6 2 4 2" xfId="527"/>
    <cellStyle name="20% - Accent2 6 2 4 2 2" xfId="7046"/>
    <cellStyle name="20% - Accent2 6 2 4 3" xfId="7045"/>
    <cellStyle name="20% - Accent2 6 2 5" xfId="528"/>
    <cellStyle name="20% - Accent2 6 2 5 2" xfId="7047"/>
    <cellStyle name="20% - Accent2 6 2 6" xfId="7040"/>
    <cellStyle name="20% - Accent2 6 2_ORACLE TRIAL BALANCE" xfId="529"/>
    <cellStyle name="20% - Accent2 6 3" xfId="530"/>
    <cellStyle name="20% - Accent2 6 3 2" xfId="531"/>
    <cellStyle name="20% - Accent2 6 3 2 2" xfId="7049"/>
    <cellStyle name="20% - Accent2 6 3 3" xfId="7048"/>
    <cellStyle name="20% - Accent2 6 4" xfId="532"/>
    <cellStyle name="20% - Accent2 6 4 2" xfId="533"/>
    <cellStyle name="20% - Accent2 6 4 2 2" xfId="7051"/>
    <cellStyle name="20% - Accent2 6 4 3" xfId="7050"/>
    <cellStyle name="20% - Accent2 6 5" xfId="534"/>
    <cellStyle name="20% - Accent2 6 5 2" xfId="535"/>
    <cellStyle name="20% - Accent2 6 5 2 2" xfId="7053"/>
    <cellStyle name="20% - Accent2 6 5 3" xfId="7052"/>
    <cellStyle name="20% - Accent2 6 6" xfId="536"/>
    <cellStyle name="20% - Accent2 6 6 2" xfId="7054"/>
    <cellStyle name="20% - Accent2 6 7" xfId="7039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2 2 2" xfId="7058"/>
    <cellStyle name="20% - Accent2 7 2 2 3" xfId="7057"/>
    <cellStyle name="20% - Accent2 7 2 3" xfId="542"/>
    <cellStyle name="20% - Accent2 7 2 3 2" xfId="543"/>
    <cellStyle name="20% - Accent2 7 2 3 2 2" xfId="7060"/>
    <cellStyle name="20% - Accent2 7 2 3 3" xfId="7059"/>
    <cellStyle name="20% - Accent2 7 2 4" xfId="544"/>
    <cellStyle name="20% - Accent2 7 2 4 2" xfId="545"/>
    <cellStyle name="20% - Accent2 7 2 4 2 2" xfId="7062"/>
    <cellStyle name="20% - Accent2 7 2 4 3" xfId="7061"/>
    <cellStyle name="20% - Accent2 7 2 5" xfId="546"/>
    <cellStyle name="20% - Accent2 7 2 5 2" xfId="7063"/>
    <cellStyle name="20% - Accent2 7 2 6" xfId="7056"/>
    <cellStyle name="20% - Accent2 7 2_ORACLE TRIAL BALANCE" xfId="547"/>
    <cellStyle name="20% - Accent2 7 3" xfId="548"/>
    <cellStyle name="20% - Accent2 7 3 2" xfId="549"/>
    <cellStyle name="20% - Accent2 7 3 2 2" xfId="7065"/>
    <cellStyle name="20% - Accent2 7 3 3" xfId="7064"/>
    <cellStyle name="20% - Accent2 7 4" xfId="550"/>
    <cellStyle name="20% - Accent2 7 4 2" xfId="551"/>
    <cellStyle name="20% - Accent2 7 4 2 2" xfId="7067"/>
    <cellStyle name="20% - Accent2 7 4 3" xfId="7066"/>
    <cellStyle name="20% - Accent2 7 5" xfId="552"/>
    <cellStyle name="20% - Accent2 7 5 2" xfId="553"/>
    <cellStyle name="20% - Accent2 7 5 2 2" xfId="7069"/>
    <cellStyle name="20% - Accent2 7 5 3" xfId="7068"/>
    <cellStyle name="20% - Accent2 7 6" xfId="554"/>
    <cellStyle name="20% - Accent2 7 6 2" xfId="7070"/>
    <cellStyle name="20% - Accent2 7 7" xfId="7055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2 2 2" xfId="7074"/>
    <cellStyle name="20% - Accent2 8 2 2 3" xfId="7073"/>
    <cellStyle name="20% - Accent2 8 2 3" xfId="560"/>
    <cellStyle name="20% - Accent2 8 2 3 2" xfId="561"/>
    <cellStyle name="20% - Accent2 8 2 3 2 2" xfId="7076"/>
    <cellStyle name="20% - Accent2 8 2 3 3" xfId="7075"/>
    <cellStyle name="20% - Accent2 8 2 4" xfId="562"/>
    <cellStyle name="20% - Accent2 8 2 4 2" xfId="563"/>
    <cellStyle name="20% - Accent2 8 2 4 2 2" xfId="7078"/>
    <cellStyle name="20% - Accent2 8 2 4 3" xfId="7077"/>
    <cellStyle name="20% - Accent2 8 2 5" xfId="564"/>
    <cellStyle name="20% - Accent2 8 2 5 2" xfId="7079"/>
    <cellStyle name="20% - Accent2 8 2 6" xfId="7072"/>
    <cellStyle name="20% - Accent2 8 2_ORACLE TRIAL BALANCE" xfId="565"/>
    <cellStyle name="20% - Accent2 8 3" xfId="566"/>
    <cellStyle name="20% - Accent2 8 3 2" xfId="567"/>
    <cellStyle name="20% - Accent2 8 3 2 2" xfId="7081"/>
    <cellStyle name="20% - Accent2 8 3 3" xfId="7080"/>
    <cellStyle name="20% - Accent2 8 4" xfId="568"/>
    <cellStyle name="20% - Accent2 8 4 2" xfId="569"/>
    <cellStyle name="20% - Accent2 8 4 2 2" xfId="7083"/>
    <cellStyle name="20% - Accent2 8 4 3" xfId="7082"/>
    <cellStyle name="20% - Accent2 8 5" xfId="570"/>
    <cellStyle name="20% - Accent2 8 5 2" xfId="571"/>
    <cellStyle name="20% - Accent2 8 5 2 2" xfId="7085"/>
    <cellStyle name="20% - Accent2 8 5 3" xfId="7084"/>
    <cellStyle name="20% - Accent2 8 6" xfId="572"/>
    <cellStyle name="20% - Accent2 8 6 2" xfId="7086"/>
    <cellStyle name="20% - Accent2 8 7" xfId="7071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2 2 2" xfId="7090"/>
    <cellStyle name="20% - Accent2 9 2 2 3" xfId="7089"/>
    <cellStyle name="20% - Accent2 9 2 3" xfId="578"/>
    <cellStyle name="20% - Accent2 9 2 3 2" xfId="579"/>
    <cellStyle name="20% - Accent2 9 2 3 2 2" xfId="7092"/>
    <cellStyle name="20% - Accent2 9 2 3 3" xfId="7091"/>
    <cellStyle name="20% - Accent2 9 2 4" xfId="580"/>
    <cellStyle name="20% - Accent2 9 2 4 2" xfId="581"/>
    <cellStyle name="20% - Accent2 9 2 4 2 2" xfId="7094"/>
    <cellStyle name="20% - Accent2 9 2 4 3" xfId="7093"/>
    <cellStyle name="20% - Accent2 9 2 5" xfId="582"/>
    <cellStyle name="20% - Accent2 9 2 5 2" xfId="7095"/>
    <cellStyle name="20% - Accent2 9 2 6" xfId="7088"/>
    <cellStyle name="20% - Accent2 9 2_ORACLE TRIAL BALANCE" xfId="583"/>
    <cellStyle name="20% - Accent2 9 3" xfId="584"/>
    <cellStyle name="20% - Accent2 9 3 2" xfId="585"/>
    <cellStyle name="20% - Accent2 9 3 2 2" xfId="7097"/>
    <cellStyle name="20% - Accent2 9 3 3" xfId="7096"/>
    <cellStyle name="20% - Accent2 9 4" xfId="586"/>
    <cellStyle name="20% - Accent2 9 4 2" xfId="587"/>
    <cellStyle name="20% - Accent2 9 4 2 2" xfId="7099"/>
    <cellStyle name="20% - Accent2 9 4 3" xfId="7098"/>
    <cellStyle name="20% - Accent2 9 5" xfId="588"/>
    <cellStyle name="20% - Accent2 9 5 2" xfId="589"/>
    <cellStyle name="20% - Accent2 9 5 2 2" xfId="7101"/>
    <cellStyle name="20% - Accent2 9 5 3" xfId="7100"/>
    <cellStyle name="20% - Accent2 9 6" xfId="590"/>
    <cellStyle name="20% - Accent2 9 6 2" xfId="7102"/>
    <cellStyle name="20% - Accent2 9 7" xfId="7087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2 2 2" xfId="7106"/>
    <cellStyle name="20% - Accent3 10 2 2 3" xfId="7105"/>
    <cellStyle name="20% - Accent3 10 2 3" xfId="596"/>
    <cellStyle name="20% - Accent3 10 2 3 2" xfId="597"/>
    <cellStyle name="20% - Accent3 10 2 3 2 2" xfId="7108"/>
    <cellStyle name="20% - Accent3 10 2 3 3" xfId="7107"/>
    <cellStyle name="20% - Accent3 10 2 4" xfId="598"/>
    <cellStyle name="20% - Accent3 10 2 4 2" xfId="599"/>
    <cellStyle name="20% - Accent3 10 2 4 2 2" xfId="7110"/>
    <cellStyle name="20% - Accent3 10 2 4 3" xfId="7109"/>
    <cellStyle name="20% - Accent3 10 2 5" xfId="600"/>
    <cellStyle name="20% - Accent3 10 2 5 2" xfId="7111"/>
    <cellStyle name="20% - Accent3 10 2 6" xfId="7104"/>
    <cellStyle name="20% - Accent3 10 2_ORACLE TRIAL BALANCE" xfId="601"/>
    <cellStyle name="20% - Accent3 10 3" xfId="602"/>
    <cellStyle name="20% - Accent3 10 3 2" xfId="603"/>
    <cellStyle name="20% - Accent3 10 3 2 2" xfId="7113"/>
    <cellStyle name="20% - Accent3 10 3 3" xfId="7112"/>
    <cellStyle name="20% - Accent3 10 4" xfId="604"/>
    <cellStyle name="20% - Accent3 10 4 2" xfId="605"/>
    <cellStyle name="20% - Accent3 10 4 2 2" xfId="7115"/>
    <cellStyle name="20% - Accent3 10 4 3" xfId="7114"/>
    <cellStyle name="20% - Accent3 10 5" xfId="606"/>
    <cellStyle name="20% - Accent3 10 5 2" xfId="607"/>
    <cellStyle name="20% - Accent3 10 5 2 2" xfId="7117"/>
    <cellStyle name="20% - Accent3 10 5 3" xfId="7116"/>
    <cellStyle name="20% - Accent3 10 6" xfId="608"/>
    <cellStyle name="20% - Accent3 10 6 2" xfId="7118"/>
    <cellStyle name="20% - Accent3 10 7" xfId="7103"/>
    <cellStyle name="20% - Accent3 10_ORACLE TRIAL BALANCE" xfId="609"/>
    <cellStyle name="20% - Accent3 11" xfId="610"/>
    <cellStyle name="20% - Accent3 11 2" xfId="611"/>
    <cellStyle name="20% - Accent3 11 2 2" xfId="612"/>
    <cellStyle name="20% - Accent3 11 2 2 2" xfId="7121"/>
    <cellStyle name="20% - Accent3 11 2 3" xfId="7120"/>
    <cellStyle name="20% - Accent3 11 3" xfId="613"/>
    <cellStyle name="20% - Accent3 11 3 2" xfId="614"/>
    <cellStyle name="20% - Accent3 11 3 2 2" xfId="7123"/>
    <cellStyle name="20% - Accent3 11 3 3" xfId="7122"/>
    <cellStyle name="20% - Accent3 11 4" xfId="615"/>
    <cellStyle name="20% - Accent3 11 4 2" xfId="616"/>
    <cellStyle name="20% - Accent3 11 4 2 2" xfId="7125"/>
    <cellStyle name="20% - Accent3 11 4 3" xfId="7124"/>
    <cellStyle name="20% - Accent3 11 5" xfId="617"/>
    <cellStyle name="20% - Accent3 11 5 2" xfId="7126"/>
    <cellStyle name="20% - Accent3 11 6" xfId="7119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2 2 2" xfId="7130"/>
    <cellStyle name="20% - Accent3 2 2 2 3" xfId="7129"/>
    <cellStyle name="20% - Accent3 2 2 3" xfId="627"/>
    <cellStyle name="20% - Accent3 2 2 3 2" xfId="628"/>
    <cellStyle name="20% - Accent3 2 2 3 2 2" xfId="7132"/>
    <cellStyle name="20% - Accent3 2 2 3 3" xfId="7131"/>
    <cellStyle name="20% - Accent3 2 2 4" xfId="629"/>
    <cellStyle name="20% - Accent3 2 2 4 2" xfId="630"/>
    <cellStyle name="20% - Accent3 2 2 4 2 2" xfId="7134"/>
    <cellStyle name="20% - Accent3 2 2 4 3" xfId="7133"/>
    <cellStyle name="20% - Accent3 2 2 5" xfId="631"/>
    <cellStyle name="20% - Accent3 2 2 5 2" xfId="632"/>
    <cellStyle name="20% - Accent3 2 2 5 2 2" xfId="7136"/>
    <cellStyle name="20% - Accent3 2 2 5 3" xfId="7135"/>
    <cellStyle name="20% - Accent3 2 2 6" xfId="633"/>
    <cellStyle name="20% - Accent3 2 2 6 2" xfId="7137"/>
    <cellStyle name="20% - Accent3 2 2 7" xfId="7128"/>
    <cellStyle name="20% - Accent3 2 2_ORACLE TRIAL BALANCE" xfId="634"/>
    <cellStyle name="20% - Accent3 2 3" xfId="635"/>
    <cellStyle name="20% - Accent3 2 3 2" xfId="636"/>
    <cellStyle name="20% - Accent3 2 3 2 2" xfId="7139"/>
    <cellStyle name="20% - Accent3 2 3 3" xfId="7138"/>
    <cellStyle name="20% - Accent3 2 4" xfId="637"/>
    <cellStyle name="20% - Accent3 2 4 2" xfId="638"/>
    <cellStyle name="20% - Accent3 2 4 2 2" xfId="7141"/>
    <cellStyle name="20% - Accent3 2 4 3" xfId="7140"/>
    <cellStyle name="20% - Accent3 2 5" xfId="639"/>
    <cellStyle name="20% - Accent3 2 5 2" xfId="640"/>
    <cellStyle name="20% - Accent3 2 5 2 2" xfId="7143"/>
    <cellStyle name="20% - Accent3 2 5 3" xfId="7142"/>
    <cellStyle name="20% - Accent3 2 6" xfId="641"/>
    <cellStyle name="20% - Accent3 2 6 2" xfId="642"/>
    <cellStyle name="20% - Accent3 2 6 2 2" xfId="7145"/>
    <cellStyle name="20% - Accent3 2 6 3" xfId="7144"/>
    <cellStyle name="20% - Accent3 2 7" xfId="643"/>
    <cellStyle name="20% - Accent3 2 7 2" xfId="7146"/>
    <cellStyle name="20% - Accent3 2 8" xfId="623"/>
    <cellStyle name="20% - Accent3 2 8 2" xfId="7127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2 2 2" xfId="7150"/>
    <cellStyle name="20% - Accent3 3 2 2 3" xfId="7149"/>
    <cellStyle name="20% - Accent3 3 2 3" xfId="649"/>
    <cellStyle name="20% - Accent3 3 2 3 2" xfId="650"/>
    <cellStyle name="20% - Accent3 3 2 3 2 2" xfId="7152"/>
    <cellStyle name="20% - Accent3 3 2 3 3" xfId="7151"/>
    <cellStyle name="20% - Accent3 3 2 4" xfId="651"/>
    <cellStyle name="20% - Accent3 3 2 4 2" xfId="652"/>
    <cellStyle name="20% - Accent3 3 2 4 2 2" xfId="7154"/>
    <cellStyle name="20% - Accent3 3 2 4 3" xfId="7153"/>
    <cellStyle name="20% - Accent3 3 2 5" xfId="653"/>
    <cellStyle name="20% - Accent3 3 2 5 2" xfId="7155"/>
    <cellStyle name="20% - Accent3 3 2 6" xfId="7148"/>
    <cellStyle name="20% - Accent3 3 2_ORACLE TRIAL BALANCE" xfId="654"/>
    <cellStyle name="20% - Accent3 3 3" xfId="655"/>
    <cellStyle name="20% - Accent3 3 3 2" xfId="656"/>
    <cellStyle name="20% - Accent3 3 3 2 2" xfId="7157"/>
    <cellStyle name="20% - Accent3 3 3 3" xfId="7156"/>
    <cellStyle name="20% - Accent3 3 4" xfId="657"/>
    <cellStyle name="20% - Accent3 3 4 2" xfId="658"/>
    <cellStyle name="20% - Accent3 3 4 2 2" xfId="7159"/>
    <cellStyle name="20% - Accent3 3 4 3" xfId="7158"/>
    <cellStyle name="20% - Accent3 3 5" xfId="659"/>
    <cellStyle name="20% - Accent3 3 6" xfId="660"/>
    <cellStyle name="20% - Accent3 3 7" xfId="661"/>
    <cellStyle name="20% - Accent3 3 8" xfId="662"/>
    <cellStyle name="20% - Accent3 3 8 2" xfId="7160"/>
    <cellStyle name="20% - Accent3 3 9" xfId="7147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2 2 2" xfId="7164"/>
    <cellStyle name="20% - Accent3 4 2 2 3" xfId="7163"/>
    <cellStyle name="20% - Accent3 4 2 3" xfId="668"/>
    <cellStyle name="20% - Accent3 4 2 3 2" xfId="669"/>
    <cellStyle name="20% - Accent3 4 2 3 2 2" xfId="7166"/>
    <cellStyle name="20% - Accent3 4 2 3 3" xfId="7165"/>
    <cellStyle name="20% - Accent3 4 2 4" xfId="670"/>
    <cellStyle name="20% - Accent3 4 2 4 2" xfId="671"/>
    <cellStyle name="20% - Accent3 4 2 4 2 2" xfId="7168"/>
    <cellStyle name="20% - Accent3 4 2 4 3" xfId="7167"/>
    <cellStyle name="20% - Accent3 4 2 5" xfId="672"/>
    <cellStyle name="20% - Accent3 4 2 5 2" xfId="7169"/>
    <cellStyle name="20% - Accent3 4 2 6" xfId="7162"/>
    <cellStyle name="20% - Accent3 4 2_ORACLE TRIAL BALANCE" xfId="673"/>
    <cellStyle name="20% - Accent3 4 3" xfId="674"/>
    <cellStyle name="20% - Accent3 4 3 2" xfId="675"/>
    <cellStyle name="20% - Accent3 4 3 2 2" xfId="7171"/>
    <cellStyle name="20% - Accent3 4 3 3" xfId="7170"/>
    <cellStyle name="20% - Accent3 4 4" xfId="676"/>
    <cellStyle name="20% - Accent3 4 4 2" xfId="677"/>
    <cellStyle name="20% - Accent3 4 4 2 2" xfId="7173"/>
    <cellStyle name="20% - Accent3 4 4 3" xfId="7172"/>
    <cellStyle name="20% - Accent3 4 5" xfId="678"/>
    <cellStyle name="20% - Accent3 4 5 2" xfId="679"/>
    <cellStyle name="20% - Accent3 4 5 2 2" xfId="7175"/>
    <cellStyle name="20% - Accent3 4 5 3" xfId="7174"/>
    <cellStyle name="20% - Accent3 4 6" xfId="680"/>
    <cellStyle name="20% - Accent3 4 6 2" xfId="7176"/>
    <cellStyle name="20% - Accent3 4 7" xfId="7161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2 2 2" xfId="7180"/>
    <cellStyle name="20% - Accent3 5 2 2 3" xfId="7179"/>
    <cellStyle name="20% - Accent3 5 2 3" xfId="686"/>
    <cellStyle name="20% - Accent3 5 2 3 2" xfId="687"/>
    <cellStyle name="20% - Accent3 5 2 3 2 2" xfId="7182"/>
    <cellStyle name="20% - Accent3 5 2 3 3" xfId="7181"/>
    <cellStyle name="20% - Accent3 5 2 4" xfId="688"/>
    <cellStyle name="20% - Accent3 5 2 4 2" xfId="689"/>
    <cellStyle name="20% - Accent3 5 2 4 2 2" xfId="7184"/>
    <cellStyle name="20% - Accent3 5 2 4 3" xfId="7183"/>
    <cellStyle name="20% - Accent3 5 2 5" xfId="690"/>
    <cellStyle name="20% - Accent3 5 2 5 2" xfId="7185"/>
    <cellStyle name="20% - Accent3 5 2 6" xfId="7178"/>
    <cellStyle name="20% - Accent3 5 2_ORACLE TRIAL BALANCE" xfId="691"/>
    <cellStyle name="20% - Accent3 5 3" xfId="692"/>
    <cellStyle name="20% - Accent3 5 3 2" xfId="693"/>
    <cellStyle name="20% - Accent3 5 3 2 2" xfId="7187"/>
    <cellStyle name="20% - Accent3 5 3 3" xfId="7186"/>
    <cellStyle name="20% - Accent3 5 4" xfId="694"/>
    <cellStyle name="20% - Accent3 5 4 2" xfId="695"/>
    <cellStyle name="20% - Accent3 5 4 2 2" xfId="7189"/>
    <cellStyle name="20% - Accent3 5 4 3" xfId="7188"/>
    <cellStyle name="20% - Accent3 5 5" xfId="696"/>
    <cellStyle name="20% - Accent3 5 5 2" xfId="697"/>
    <cellStyle name="20% - Accent3 5 5 2 2" xfId="7191"/>
    <cellStyle name="20% - Accent3 5 5 3" xfId="7190"/>
    <cellStyle name="20% - Accent3 5 6" xfId="698"/>
    <cellStyle name="20% - Accent3 5 6 2" xfId="7192"/>
    <cellStyle name="20% - Accent3 5 7" xfId="7177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2 2 2" xfId="7196"/>
    <cellStyle name="20% - Accent3 6 2 2 3" xfId="7195"/>
    <cellStyle name="20% - Accent3 6 2 3" xfId="704"/>
    <cellStyle name="20% - Accent3 6 2 3 2" xfId="705"/>
    <cellStyle name="20% - Accent3 6 2 3 2 2" xfId="7198"/>
    <cellStyle name="20% - Accent3 6 2 3 3" xfId="7197"/>
    <cellStyle name="20% - Accent3 6 2 4" xfId="706"/>
    <cellStyle name="20% - Accent3 6 2 4 2" xfId="707"/>
    <cellStyle name="20% - Accent3 6 2 4 2 2" xfId="7200"/>
    <cellStyle name="20% - Accent3 6 2 4 3" xfId="7199"/>
    <cellStyle name="20% - Accent3 6 2 5" xfId="708"/>
    <cellStyle name="20% - Accent3 6 2 5 2" xfId="7201"/>
    <cellStyle name="20% - Accent3 6 2 6" xfId="7194"/>
    <cellStyle name="20% - Accent3 6 2_ORACLE TRIAL BALANCE" xfId="709"/>
    <cellStyle name="20% - Accent3 6 3" xfId="710"/>
    <cellStyle name="20% - Accent3 6 3 2" xfId="711"/>
    <cellStyle name="20% - Accent3 6 3 2 2" xfId="7203"/>
    <cellStyle name="20% - Accent3 6 3 3" xfId="7202"/>
    <cellStyle name="20% - Accent3 6 4" xfId="712"/>
    <cellStyle name="20% - Accent3 6 4 2" xfId="713"/>
    <cellStyle name="20% - Accent3 6 4 2 2" xfId="7205"/>
    <cellStyle name="20% - Accent3 6 4 3" xfId="7204"/>
    <cellStyle name="20% - Accent3 6 5" xfId="714"/>
    <cellStyle name="20% - Accent3 6 5 2" xfId="715"/>
    <cellStyle name="20% - Accent3 6 5 2 2" xfId="7207"/>
    <cellStyle name="20% - Accent3 6 5 3" xfId="7206"/>
    <cellStyle name="20% - Accent3 6 6" xfId="716"/>
    <cellStyle name="20% - Accent3 6 6 2" xfId="7208"/>
    <cellStyle name="20% - Accent3 6 7" xfId="7193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2 2 2" xfId="7212"/>
    <cellStyle name="20% - Accent3 7 2 2 3" xfId="7211"/>
    <cellStyle name="20% - Accent3 7 2 3" xfId="722"/>
    <cellStyle name="20% - Accent3 7 2 3 2" xfId="723"/>
    <cellStyle name="20% - Accent3 7 2 3 2 2" xfId="7214"/>
    <cellStyle name="20% - Accent3 7 2 3 3" xfId="7213"/>
    <cellStyle name="20% - Accent3 7 2 4" xfId="724"/>
    <cellStyle name="20% - Accent3 7 2 4 2" xfId="725"/>
    <cellStyle name="20% - Accent3 7 2 4 2 2" xfId="7216"/>
    <cellStyle name="20% - Accent3 7 2 4 3" xfId="7215"/>
    <cellStyle name="20% - Accent3 7 2 5" xfId="726"/>
    <cellStyle name="20% - Accent3 7 2 5 2" xfId="7217"/>
    <cellStyle name="20% - Accent3 7 2 6" xfId="7210"/>
    <cellStyle name="20% - Accent3 7 2_ORACLE TRIAL BALANCE" xfId="727"/>
    <cellStyle name="20% - Accent3 7 3" xfId="728"/>
    <cellStyle name="20% - Accent3 7 3 2" xfId="729"/>
    <cellStyle name="20% - Accent3 7 3 2 2" xfId="7219"/>
    <cellStyle name="20% - Accent3 7 3 3" xfId="7218"/>
    <cellStyle name="20% - Accent3 7 4" xfId="730"/>
    <cellStyle name="20% - Accent3 7 4 2" xfId="731"/>
    <cellStyle name="20% - Accent3 7 4 2 2" xfId="7221"/>
    <cellStyle name="20% - Accent3 7 4 3" xfId="7220"/>
    <cellStyle name="20% - Accent3 7 5" xfId="732"/>
    <cellStyle name="20% - Accent3 7 5 2" xfId="733"/>
    <cellStyle name="20% - Accent3 7 5 2 2" xfId="7223"/>
    <cellStyle name="20% - Accent3 7 5 3" xfId="7222"/>
    <cellStyle name="20% - Accent3 7 6" xfId="734"/>
    <cellStyle name="20% - Accent3 7 6 2" xfId="7224"/>
    <cellStyle name="20% - Accent3 7 7" xfId="7209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2 2 2" xfId="7228"/>
    <cellStyle name="20% - Accent3 8 2 2 3" xfId="7227"/>
    <cellStyle name="20% - Accent3 8 2 3" xfId="740"/>
    <cellStyle name="20% - Accent3 8 2 3 2" xfId="741"/>
    <cellStyle name="20% - Accent3 8 2 3 2 2" xfId="7230"/>
    <cellStyle name="20% - Accent3 8 2 3 3" xfId="7229"/>
    <cellStyle name="20% - Accent3 8 2 4" xfId="742"/>
    <cellStyle name="20% - Accent3 8 2 4 2" xfId="743"/>
    <cellStyle name="20% - Accent3 8 2 4 2 2" xfId="7232"/>
    <cellStyle name="20% - Accent3 8 2 4 3" xfId="7231"/>
    <cellStyle name="20% - Accent3 8 2 5" xfId="744"/>
    <cellStyle name="20% - Accent3 8 2 5 2" xfId="7233"/>
    <cellStyle name="20% - Accent3 8 2 6" xfId="7226"/>
    <cellStyle name="20% - Accent3 8 2_ORACLE TRIAL BALANCE" xfId="745"/>
    <cellStyle name="20% - Accent3 8 3" xfId="746"/>
    <cellStyle name="20% - Accent3 8 3 2" xfId="747"/>
    <cellStyle name="20% - Accent3 8 3 2 2" xfId="7235"/>
    <cellStyle name="20% - Accent3 8 3 3" xfId="7234"/>
    <cellStyle name="20% - Accent3 8 4" xfId="748"/>
    <cellStyle name="20% - Accent3 8 4 2" xfId="749"/>
    <cellStyle name="20% - Accent3 8 4 2 2" xfId="7237"/>
    <cellStyle name="20% - Accent3 8 4 3" xfId="7236"/>
    <cellStyle name="20% - Accent3 8 5" xfId="750"/>
    <cellStyle name="20% - Accent3 8 5 2" xfId="751"/>
    <cellStyle name="20% - Accent3 8 5 2 2" xfId="7239"/>
    <cellStyle name="20% - Accent3 8 5 3" xfId="7238"/>
    <cellStyle name="20% - Accent3 8 6" xfId="752"/>
    <cellStyle name="20% - Accent3 8 6 2" xfId="7240"/>
    <cellStyle name="20% - Accent3 8 7" xfId="7225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2 2 2" xfId="7244"/>
    <cellStyle name="20% - Accent3 9 2 2 3" xfId="7243"/>
    <cellStyle name="20% - Accent3 9 2 3" xfId="758"/>
    <cellStyle name="20% - Accent3 9 2 3 2" xfId="759"/>
    <cellStyle name="20% - Accent3 9 2 3 2 2" xfId="7246"/>
    <cellStyle name="20% - Accent3 9 2 3 3" xfId="7245"/>
    <cellStyle name="20% - Accent3 9 2 4" xfId="760"/>
    <cellStyle name="20% - Accent3 9 2 4 2" xfId="761"/>
    <cellStyle name="20% - Accent3 9 2 4 2 2" xfId="7248"/>
    <cellStyle name="20% - Accent3 9 2 4 3" xfId="7247"/>
    <cellStyle name="20% - Accent3 9 2 5" xfId="762"/>
    <cellStyle name="20% - Accent3 9 2 5 2" xfId="7249"/>
    <cellStyle name="20% - Accent3 9 2 6" xfId="7242"/>
    <cellStyle name="20% - Accent3 9 2_ORACLE TRIAL BALANCE" xfId="763"/>
    <cellStyle name="20% - Accent3 9 3" xfId="764"/>
    <cellStyle name="20% - Accent3 9 3 2" xfId="765"/>
    <cellStyle name="20% - Accent3 9 3 2 2" xfId="7251"/>
    <cellStyle name="20% - Accent3 9 3 3" xfId="7250"/>
    <cellStyle name="20% - Accent3 9 4" xfId="766"/>
    <cellStyle name="20% - Accent3 9 4 2" xfId="767"/>
    <cellStyle name="20% - Accent3 9 4 2 2" xfId="7253"/>
    <cellStyle name="20% - Accent3 9 4 3" xfId="7252"/>
    <cellStyle name="20% - Accent3 9 5" xfId="768"/>
    <cellStyle name="20% - Accent3 9 5 2" xfId="769"/>
    <cellStyle name="20% - Accent3 9 5 2 2" xfId="7255"/>
    <cellStyle name="20% - Accent3 9 5 3" xfId="7254"/>
    <cellStyle name="20% - Accent3 9 6" xfId="770"/>
    <cellStyle name="20% - Accent3 9 6 2" xfId="7256"/>
    <cellStyle name="20% - Accent3 9 7" xfId="7241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2 2 2" xfId="7260"/>
    <cellStyle name="20% - Accent4 10 2 2 3" xfId="7259"/>
    <cellStyle name="20% - Accent4 10 2 3" xfId="776"/>
    <cellStyle name="20% - Accent4 10 2 3 2" xfId="777"/>
    <cellStyle name="20% - Accent4 10 2 3 2 2" xfId="7262"/>
    <cellStyle name="20% - Accent4 10 2 3 3" xfId="7261"/>
    <cellStyle name="20% - Accent4 10 2 4" xfId="778"/>
    <cellStyle name="20% - Accent4 10 2 4 2" xfId="779"/>
    <cellStyle name="20% - Accent4 10 2 4 2 2" xfId="7264"/>
    <cellStyle name="20% - Accent4 10 2 4 3" xfId="7263"/>
    <cellStyle name="20% - Accent4 10 2 5" xfId="780"/>
    <cellStyle name="20% - Accent4 10 2 5 2" xfId="7265"/>
    <cellStyle name="20% - Accent4 10 2 6" xfId="7258"/>
    <cellStyle name="20% - Accent4 10 2_ORACLE TRIAL BALANCE" xfId="781"/>
    <cellStyle name="20% - Accent4 10 3" xfId="782"/>
    <cellStyle name="20% - Accent4 10 3 2" xfId="783"/>
    <cellStyle name="20% - Accent4 10 3 2 2" xfId="7267"/>
    <cellStyle name="20% - Accent4 10 3 3" xfId="7266"/>
    <cellStyle name="20% - Accent4 10 4" xfId="784"/>
    <cellStyle name="20% - Accent4 10 4 2" xfId="785"/>
    <cellStyle name="20% - Accent4 10 4 2 2" xfId="7269"/>
    <cellStyle name="20% - Accent4 10 4 3" xfId="7268"/>
    <cellStyle name="20% - Accent4 10 5" xfId="786"/>
    <cellStyle name="20% - Accent4 10 5 2" xfId="787"/>
    <cellStyle name="20% - Accent4 10 5 2 2" xfId="7271"/>
    <cellStyle name="20% - Accent4 10 5 3" xfId="7270"/>
    <cellStyle name="20% - Accent4 10 6" xfId="788"/>
    <cellStyle name="20% - Accent4 10 6 2" xfId="7272"/>
    <cellStyle name="20% - Accent4 10 7" xfId="7257"/>
    <cellStyle name="20% - Accent4 10_ORACLE TRIAL BALANCE" xfId="789"/>
    <cellStyle name="20% - Accent4 11" xfId="790"/>
    <cellStyle name="20% - Accent4 11 2" xfId="791"/>
    <cellStyle name="20% - Accent4 11 2 2" xfId="792"/>
    <cellStyle name="20% - Accent4 11 2 2 2" xfId="7275"/>
    <cellStyle name="20% - Accent4 11 2 3" xfId="7274"/>
    <cellStyle name="20% - Accent4 11 3" xfId="793"/>
    <cellStyle name="20% - Accent4 11 3 2" xfId="794"/>
    <cellStyle name="20% - Accent4 11 3 2 2" xfId="7277"/>
    <cellStyle name="20% - Accent4 11 3 3" xfId="7276"/>
    <cellStyle name="20% - Accent4 11 4" xfId="795"/>
    <cellStyle name="20% - Accent4 11 4 2" xfId="796"/>
    <cellStyle name="20% - Accent4 11 4 2 2" xfId="7279"/>
    <cellStyle name="20% - Accent4 11 4 3" xfId="7278"/>
    <cellStyle name="20% - Accent4 11 5" xfId="797"/>
    <cellStyle name="20% - Accent4 11 5 2" xfId="7280"/>
    <cellStyle name="20% - Accent4 11 6" xfId="7273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2 2 2" xfId="7284"/>
    <cellStyle name="20% - Accent4 2 2 2 3" xfId="7283"/>
    <cellStyle name="20% - Accent4 2 2 3" xfId="807"/>
    <cellStyle name="20% - Accent4 2 2 3 2" xfId="808"/>
    <cellStyle name="20% - Accent4 2 2 3 2 2" xfId="7286"/>
    <cellStyle name="20% - Accent4 2 2 3 3" xfId="7285"/>
    <cellStyle name="20% - Accent4 2 2 4" xfId="809"/>
    <cellStyle name="20% - Accent4 2 2 4 2" xfId="810"/>
    <cellStyle name="20% - Accent4 2 2 4 2 2" xfId="7288"/>
    <cellStyle name="20% - Accent4 2 2 4 3" xfId="7287"/>
    <cellStyle name="20% - Accent4 2 2 5" xfId="811"/>
    <cellStyle name="20% - Accent4 2 2 5 2" xfId="812"/>
    <cellStyle name="20% - Accent4 2 2 5 2 2" xfId="7290"/>
    <cellStyle name="20% - Accent4 2 2 5 3" xfId="7289"/>
    <cellStyle name="20% - Accent4 2 2 6" xfId="813"/>
    <cellStyle name="20% - Accent4 2 2 6 2" xfId="7291"/>
    <cellStyle name="20% - Accent4 2 2 7" xfId="7282"/>
    <cellStyle name="20% - Accent4 2 2_ORACLE TRIAL BALANCE" xfId="814"/>
    <cellStyle name="20% - Accent4 2 3" xfId="815"/>
    <cellStyle name="20% - Accent4 2 3 2" xfId="816"/>
    <cellStyle name="20% - Accent4 2 3 2 2" xfId="7293"/>
    <cellStyle name="20% - Accent4 2 3 3" xfId="7292"/>
    <cellStyle name="20% - Accent4 2 4" xfId="817"/>
    <cellStyle name="20% - Accent4 2 4 2" xfId="818"/>
    <cellStyle name="20% - Accent4 2 4 2 2" xfId="7295"/>
    <cellStyle name="20% - Accent4 2 4 3" xfId="7294"/>
    <cellStyle name="20% - Accent4 2 5" xfId="819"/>
    <cellStyle name="20% - Accent4 2 5 2" xfId="820"/>
    <cellStyle name="20% - Accent4 2 5 2 2" xfId="7297"/>
    <cellStyle name="20% - Accent4 2 5 3" xfId="7296"/>
    <cellStyle name="20% - Accent4 2 6" xfId="821"/>
    <cellStyle name="20% - Accent4 2 6 2" xfId="822"/>
    <cellStyle name="20% - Accent4 2 6 2 2" xfId="7299"/>
    <cellStyle name="20% - Accent4 2 6 3" xfId="7298"/>
    <cellStyle name="20% - Accent4 2 7" xfId="823"/>
    <cellStyle name="20% - Accent4 2 7 2" xfId="7300"/>
    <cellStyle name="20% - Accent4 2 8" xfId="803"/>
    <cellStyle name="20% - Accent4 2 8 2" xfId="7281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2 2 2" xfId="7304"/>
    <cellStyle name="20% - Accent4 3 2 2 3" xfId="7303"/>
    <cellStyle name="20% - Accent4 3 2 3" xfId="829"/>
    <cellStyle name="20% - Accent4 3 2 3 2" xfId="830"/>
    <cellStyle name="20% - Accent4 3 2 3 2 2" xfId="7306"/>
    <cellStyle name="20% - Accent4 3 2 3 3" xfId="7305"/>
    <cellStyle name="20% - Accent4 3 2 4" xfId="831"/>
    <cellStyle name="20% - Accent4 3 2 4 2" xfId="832"/>
    <cellStyle name="20% - Accent4 3 2 4 2 2" xfId="7308"/>
    <cellStyle name="20% - Accent4 3 2 4 3" xfId="7307"/>
    <cellStyle name="20% - Accent4 3 2 5" xfId="833"/>
    <cellStyle name="20% - Accent4 3 2 5 2" xfId="7309"/>
    <cellStyle name="20% - Accent4 3 2 6" xfId="7302"/>
    <cellStyle name="20% - Accent4 3 2_ORACLE TRIAL BALANCE" xfId="834"/>
    <cellStyle name="20% - Accent4 3 3" xfId="835"/>
    <cellStyle name="20% - Accent4 3 3 2" xfId="836"/>
    <cellStyle name="20% - Accent4 3 3 2 2" xfId="7311"/>
    <cellStyle name="20% - Accent4 3 3 3" xfId="7310"/>
    <cellStyle name="20% - Accent4 3 4" xfId="837"/>
    <cellStyle name="20% - Accent4 3 4 2" xfId="838"/>
    <cellStyle name="20% - Accent4 3 4 2 2" xfId="7313"/>
    <cellStyle name="20% - Accent4 3 4 3" xfId="7312"/>
    <cellStyle name="20% - Accent4 3 5" xfId="839"/>
    <cellStyle name="20% - Accent4 3 6" xfId="840"/>
    <cellStyle name="20% - Accent4 3 7" xfId="841"/>
    <cellStyle name="20% - Accent4 3 8" xfId="842"/>
    <cellStyle name="20% - Accent4 3 8 2" xfId="7314"/>
    <cellStyle name="20% - Accent4 3 9" xfId="7301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2 2 2" xfId="7318"/>
    <cellStyle name="20% - Accent4 4 2 2 3" xfId="7317"/>
    <cellStyle name="20% - Accent4 4 2 3" xfId="848"/>
    <cellStyle name="20% - Accent4 4 2 3 2" xfId="849"/>
    <cellStyle name="20% - Accent4 4 2 3 2 2" xfId="7320"/>
    <cellStyle name="20% - Accent4 4 2 3 3" xfId="7319"/>
    <cellStyle name="20% - Accent4 4 2 4" xfId="850"/>
    <cellStyle name="20% - Accent4 4 2 4 2" xfId="851"/>
    <cellStyle name="20% - Accent4 4 2 4 2 2" xfId="7322"/>
    <cellStyle name="20% - Accent4 4 2 4 3" xfId="7321"/>
    <cellStyle name="20% - Accent4 4 2 5" xfId="852"/>
    <cellStyle name="20% - Accent4 4 2 5 2" xfId="7323"/>
    <cellStyle name="20% - Accent4 4 2 6" xfId="7316"/>
    <cellStyle name="20% - Accent4 4 2_ORACLE TRIAL BALANCE" xfId="853"/>
    <cellStyle name="20% - Accent4 4 3" xfId="854"/>
    <cellStyle name="20% - Accent4 4 3 2" xfId="855"/>
    <cellStyle name="20% - Accent4 4 3 2 2" xfId="7325"/>
    <cellStyle name="20% - Accent4 4 3 3" xfId="7324"/>
    <cellStyle name="20% - Accent4 4 4" xfId="856"/>
    <cellStyle name="20% - Accent4 4 4 2" xfId="857"/>
    <cellStyle name="20% - Accent4 4 4 2 2" xfId="7327"/>
    <cellStyle name="20% - Accent4 4 4 3" xfId="7326"/>
    <cellStyle name="20% - Accent4 4 5" xfId="858"/>
    <cellStyle name="20% - Accent4 4 5 2" xfId="859"/>
    <cellStyle name="20% - Accent4 4 5 2 2" xfId="7329"/>
    <cellStyle name="20% - Accent4 4 5 3" xfId="7328"/>
    <cellStyle name="20% - Accent4 4 6" xfId="860"/>
    <cellStyle name="20% - Accent4 4 6 2" xfId="7330"/>
    <cellStyle name="20% - Accent4 4 7" xfId="7315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2 2 2" xfId="7334"/>
    <cellStyle name="20% - Accent4 5 2 2 3" xfId="7333"/>
    <cellStyle name="20% - Accent4 5 2 3" xfId="866"/>
    <cellStyle name="20% - Accent4 5 2 3 2" xfId="867"/>
    <cellStyle name="20% - Accent4 5 2 3 2 2" xfId="7336"/>
    <cellStyle name="20% - Accent4 5 2 3 3" xfId="7335"/>
    <cellStyle name="20% - Accent4 5 2 4" xfId="868"/>
    <cellStyle name="20% - Accent4 5 2 4 2" xfId="869"/>
    <cellStyle name="20% - Accent4 5 2 4 2 2" xfId="7338"/>
    <cellStyle name="20% - Accent4 5 2 4 3" xfId="7337"/>
    <cellStyle name="20% - Accent4 5 2 5" xfId="870"/>
    <cellStyle name="20% - Accent4 5 2 5 2" xfId="7339"/>
    <cellStyle name="20% - Accent4 5 2 6" xfId="7332"/>
    <cellStyle name="20% - Accent4 5 2_ORACLE TRIAL BALANCE" xfId="871"/>
    <cellStyle name="20% - Accent4 5 3" xfId="872"/>
    <cellStyle name="20% - Accent4 5 3 2" xfId="873"/>
    <cellStyle name="20% - Accent4 5 3 2 2" xfId="7341"/>
    <cellStyle name="20% - Accent4 5 3 3" xfId="7340"/>
    <cellStyle name="20% - Accent4 5 4" xfId="874"/>
    <cellStyle name="20% - Accent4 5 4 2" xfId="875"/>
    <cellStyle name="20% - Accent4 5 4 2 2" xfId="7343"/>
    <cellStyle name="20% - Accent4 5 4 3" xfId="7342"/>
    <cellStyle name="20% - Accent4 5 5" xfId="876"/>
    <cellStyle name="20% - Accent4 5 5 2" xfId="877"/>
    <cellStyle name="20% - Accent4 5 5 2 2" xfId="7345"/>
    <cellStyle name="20% - Accent4 5 5 3" xfId="7344"/>
    <cellStyle name="20% - Accent4 5 6" xfId="878"/>
    <cellStyle name="20% - Accent4 5 6 2" xfId="7346"/>
    <cellStyle name="20% - Accent4 5 7" xfId="7331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2 2 2" xfId="7350"/>
    <cellStyle name="20% - Accent4 6 2 2 3" xfId="7349"/>
    <cellStyle name="20% - Accent4 6 2 3" xfId="884"/>
    <cellStyle name="20% - Accent4 6 2 3 2" xfId="885"/>
    <cellStyle name="20% - Accent4 6 2 3 2 2" xfId="7352"/>
    <cellStyle name="20% - Accent4 6 2 3 3" xfId="7351"/>
    <cellStyle name="20% - Accent4 6 2 4" xfId="886"/>
    <cellStyle name="20% - Accent4 6 2 4 2" xfId="887"/>
    <cellStyle name="20% - Accent4 6 2 4 2 2" xfId="7354"/>
    <cellStyle name="20% - Accent4 6 2 4 3" xfId="7353"/>
    <cellStyle name="20% - Accent4 6 2 5" xfId="888"/>
    <cellStyle name="20% - Accent4 6 2 5 2" xfId="7355"/>
    <cellStyle name="20% - Accent4 6 2 6" xfId="7348"/>
    <cellStyle name="20% - Accent4 6 2_ORACLE TRIAL BALANCE" xfId="889"/>
    <cellStyle name="20% - Accent4 6 3" xfId="890"/>
    <cellStyle name="20% - Accent4 6 3 2" xfId="891"/>
    <cellStyle name="20% - Accent4 6 3 2 2" xfId="7357"/>
    <cellStyle name="20% - Accent4 6 3 3" xfId="7356"/>
    <cellStyle name="20% - Accent4 6 4" xfId="892"/>
    <cellStyle name="20% - Accent4 6 4 2" xfId="893"/>
    <cellStyle name="20% - Accent4 6 4 2 2" xfId="7359"/>
    <cellStyle name="20% - Accent4 6 4 3" xfId="7358"/>
    <cellStyle name="20% - Accent4 6 5" xfId="894"/>
    <cellStyle name="20% - Accent4 6 5 2" xfId="895"/>
    <cellStyle name="20% - Accent4 6 5 2 2" xfId="7361"/>
    <cellStyle name="20% - Accent4 6 5 3" xfId="7360"/>
    <cellStyle name="20% - Accent4 6 6" xfId="896"/>
    <cellStyle name="20% - Accent4 6 6 2" xfId="7362"/>
    <cellStyle name="20% - Accent4 6 7" xfId="7347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2 2 2" xfId="7366"/>
    <cellStyle name="20% - Accent4 7 2 2 3" xfId="7365"/>
    <cellStyle name="20% - Accent4 7 2 3" xfId="902"/>
    <cellStyle name="20% - Accent4 7 2 3 2" xfId="903"/>
    <cellStyle name="20% - Accent4 7 2 3 2 2" xfId="7368"/>
    <cellStyle name="20% - Accent4 7 2 3 3" xfId="7367"/>
    <cellStyle name="20% - Accent4 7 2 4" xfId="904"/>
    <cellStyle name="20% - Accent4 7 2 4 2" xfId="905"/>
    <cellStyle name="20% - Accent4 7 2 4 2 2" xfId="7370"/>
    <cellStyle name="20% - Accent4 7 2 4 3" xfId="7369"/>
    <cellStyle name="20% - Accent4 7 2 5" xfId="906"/>
    <cellStyle name="20% - Accent4 7 2 5 2" xfId="7371"/>
    <cellStyle name="20% - Accent4 7 2 6" xfId="7364"/>
    <cellStyle name="20% - Accent4 7 2_ORACLE TRIAL BALANCE" xfId="907"/>
    <cellStyle name="20% - Accent4 7 3" xfId="908"/>
    <cellStyle name="20% - Accent4 7 3 2" xfId="909"/>
    <cellStyle name="20% - Accent4 7 3 2 2" xfId="7373"/>
    <cellStyle name="20% - Accent4 7 3 3" xfId="7372"/>
    <cellStyle name="20% - Accent4 7 4" xfId="910"/>
    <cellStyle name="20% - Accent4 7 4 2" xfId="911"/>
    <cellStyle name="20% - Accent4 7 4 2 2" xfId="7375"/>
    <cellStyle name="20% - Accent4 7 4 3" xfId="7374"/>
    <cellStyle name="20% - Accent4 7 5" xfId="912"/>
    <cellStyle name="20% - Accent4 7 5 2" xfId="913"/>
    <cellStyle name="20% - Accent4 7 5 2 2" xfId="7377"/>
    <cellStyle name="20% - Accent4 7 5 3" xfId="7376"/>
    <cellStyle name="20% - Accent4 7 6" xfId="914"/>
    <cellStyle name="20% - Accent4 7 6 2" xfId="7378"/>
    <cellStyle name="20% - Accent4 7 7" xfId="7363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2 2 2" xfId="7382"/>
    <cellStyle name="20% - Accent4 8 2 2 3" xfId="7381"/>
    <cellStyle name="20% - Accent4 8 2 3" xfId="920"/>
    <cellStyle name="20% - Accent4 8 2 3 2" xfId="921"/>
    <cellStyle name="20% - Accent4 8 2 3 2 2" xfId="7384"/>
    <cellStyle name="20% - Accent4 8 2 3 3" xfId="7383"/>
    <cellStyle name="20% - Accent4 8 2 4" xfId="922"/>
    <cellStyle name="20% - Accent4 8 2 4 2" xfId="923"/>
    <cellStyle name="20% - Accent4 8 2 4 2 2" xfId="7386"/>
    <cellStyle name="20% - Accent4 8 2 4 3" xfId="7385"/>
    <cellStyle name="20% - Accent4 8 2 5" xfId="924"/>
    <cellStyle name="20% - Accent4 8 2 5 2" xfId="7387"/>
    <cellStyle name="20% - Accent4 8 2 6" xfId="7380"/>
    <cellStyle name="20% - Accent4 8 2_ORACLE TRIAL BALANCE" xfId="925"/>
    <cellStyle name="20% - Accent4 8 3" xfId="926"/>
    <cellStyle name="20% - Accent4 8 3 2" xfId="927"/>
    <cellStyle name="20% - Accent4 8 3 2 2" xfId="7389"/>
    <cellStyle name="20% - Accent4 8 3 3" xfId="7388"/>
    <cellStyle name="20% - Accent4 8 4" xfId="928"/>
    <cellStyle name="20% - Accent4 8 4 2" xfId="929"/>
    <cellStyle name="20% - Accent4 8 4 2 2" xfId="7391"/>
    <cellStyle name="20% - Accent4 8 4 3" xfId="7390"/>
    <cellStyle name="20% - Accent4 8 5" xfId="930"/>
    <cellStyle name="20% - Accent4 8 5 2" xfId="931"/>
    <cellStyle name="20% - Accent4 8 5 2 2" xfId="7393"/>
    <cellStyle name="20% - Accent4 8 5 3" xfId="7392"/>
    <cellStyle name="20% - Accent4 8 6" xfId="932"/>
    <cellStyle name="20% - Accent4 8 6 2" xfId="7394"/>
    <cellStyle name="20% - Accent4 8 7" xfId="7379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2 2 2" xfId="7398"/>
    <cellStyle name="20% - Accent4 9 2 2 3" xfId="7397"/>
    <cellStyle name="20% - Accent4 9 2 3" xfId="938"/>
    <cellStyle name="20% - Accent4 9 2 3 2" xfId="939"/>
    <cellStyle name="20% - Accent4 9 2 3 2 2" xfId="7400"/>
    <cellStyle name="20% - Accent4 9 2 3 3" xfId="7399"/>
    <cellStyle name="20% - Accent4 9 2 4" xfId="940"/>
    <cellStyle name="20% - Accent4 9 2 4 2" xfId="941"/>
    <cellStyle name="20% - Accent4 9 2 4 2 2" xfId="7402"/>
    <cellStyle name="20% - Accent4 9 2 4 3" xfId="7401"/>
    <cellStyle name="20% - Accent4 9 2 5" xfId="942"/>
    <cellStyle name="20% - Accent4 9 2 5 2" xfId="7403"/>
    <cellStyle name="20% - Accent4 9 2 6" xfId="7396"/>
    <cellStyle name="20% - Accent4 9 2_ORACLE TRIAL BALANCE" xfId="943"/>
    <cellStyle name="20% - Accent4 9 3" xfId="944"/>
    <cellStyle name="20% - Accent4 9 3 2" xfId="945"/>
    <cellStyle name="20% - Accent4 9 3 2 2" xfId="7405"/>
    <cellStyle name="20% - Accent4 9 3 3" xfId="7404"/>
    <cellStyle name="20% - Accent4 9 4" xfId="946"/>
    <cellStyle name="20% - Accent4 9 4 2" xfId="947"/>
    <cellStyle name="20% - Accent4 9 4 2 2" xfId="7407"/>
    <cellStyle name="20% - Accent4 9 4 3" xfId="7406"/>
    <cellStyle name="20% - Accent4 9 5" xfId="948"/>
    <cellStyle name="20% - Accent4 9 5 2" xfId="949"/>
    <cellStyle name="20% - Accent4 9 5 2 2" xfId="7409"/>
    <cellStyle name="20% - Accent4 9 5 3" xfId="7408"/>
    <cellStyle name="20% - Accent4 9 6" xfId="950"/>
    <cellStyle name="20% - Accent4 9 6 2" xfId="7410"/>
    <cellStyle name="20% - Accent4 9 7" xfId="7395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2 2 2" xfId="7414"/>
    <cellStyle name="20% - Accent5 10 2 2 3" xfId="7413"/>
    <cellStyle name="20% - Accent5 10 2 3" xfId="956"/>
    <cellStyle name="20% - Accent5 10 2 3 2" xfId="957"/>
    <cellStyle name="20% - Accent5 10 2 3 2 2" xfId="7416"/>
    <cellStyle name="20% - Accent5 10 2 3 3" xfId="7415"/>
    <cellStyle name="20% - Accent5 10 2 4" xfId="958"/>
    <cellStyle name="20% - Accent5 10 2 4 2" xfId="959"/>
    <cellStyle name="20% - Accent5 10 2 4 2 2" xfId="7418"/>
    <cellStyle name="20% - Accent5 10 2 4 3" xfId="7417"/>
    <cellStyle name="20% - Accent5 10 2 5" xfId="960"/>
    <cellStyle name="20% - Accent5 10 2 5 2" xfId="7419"/>
    <cellStyle name="20% - Accent5 10 2 6" xfId="7412"/>
    <cellStyle name="20% - Accent5 10 2_ORACLE TRIAL BALANCE" xfId="961"/>
    <cellStyle name="20% - Accent5 10 3" xfId="962"/>
    <cellStyle name="20% - Accent5 10 3 2" xfId="963"/>
    <cellStyle name="20% - Accent5 10 3 2 2" xfId="7421"/>
    <cellStyle name="20% - Accent5 10 3 3" xfId="7420"/>
    <cellStyle name="20% - Accent5 10 4" xfId="964"/>
    <cellStyle name="20% - Accent5 10 4 2" xfId="965"/>
    <cellStyle name="20% - Accent5 10 4 2 2" xfId="7423"/>
    <cellStyle name="20% - Accent5 10 4 3" xfId="7422"/>
    <cellStyle name="20% - Accent5 10 5" xfId="966"/>
    <cellStyle name="20% - Accent5 10 5 2" xfId="967"/>
    <cellStyle name="20% - Accent5 10 5 2 2" xfId="7425"/>
    <cellStyle name="20% - Accent5 10 5 3" xfId="7424"/>
    <cellStyle name="20% - Accent5 10 6" xfId="968"/>
    <cellStyle name="20% - Accent5 10 6 2" xfId="7426"/>
    <cellStyle name="20% - Accent5 10 7" xfId="7411"/>
    <cellStyle name="20% - Accent5 10_ORACLE TRIAL BALANCE" xfId="969"/>
    <cellStyle name="20% - Accent5 11" xfId="970"/>
    <cellStyle name="20% - Accent5 11 2" xfId="971"/>
    <cellStyle name="20% - Accent5 11 2 2" xfId="972"/>
    <cellStyle name="20% - Accent5 11 2 2 2" xfId="7429"/>
    <cellStyle name="20% - Accent5 11 2 3" xfId="7428"/>
    <cellStyle name="20% - Accent5 11 3" xfId="973"/>
    <cellStyle name="20% - Accent5 11 3 2" xfId="974"/>
    <cellStyle name="20% - Accent5 11 3 2 2" xfId="7431"/>
    <cellStyle name="20% - Accent5 11 3 3" xfId="7430"/>
    <cellStyle name="20% - Accent5 11 4" xfId="975"/>
    <cellStyle name="20% - Accent5 11 4 2" xfId="976"/>
    <cellStyle name="20% - Accent5 11 4 2 2" xfId="7433"/>
    <cellStyle name="20% - Accent5 11 4 3" xfId="7432"/>
    <cellStyle name="20% - Accent5 11 5" xfId="977"/>
    <cellStyle name="20% - Accent5 11 5 2" xfId="7434"/>
    <cellStyle name="20% - Accent5 11 6" xfId="742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2 2 2" xfId="7438"/>
    <cellStyle name="20% - Accent5 2 2 2 3" xfId="7437"/>
    <cellStyle name="20% - Accent5 2 2 3" xfId="987"/>
    <cellStyle name="20% - Accent5 2 2 3 2" xfId="988"/>
    <cellStyle name="20% - Accent5 2 2 3 2 2" xfId="7440"/>
    <cellStyle name="20% - Accent5 2 2 3 3" xfId="7439"/>
    <cellStyle name="20% - Accent5 2 2 4" xfId="989"/>
    <cellStyle name="20% - Accent5 2 2 4 2" xfId="990"/>
    <cellStyle name="20% - Accent5 2 2 4 2 2" xfId="7442"/>
    <cellStyle name="20% - Accent5 2 2 4 3" xfId="7441"/>
    <cellStyle name="20% - Accent5 2 2 5" xfId="991"/>
    <cellStyle name="20% - Accent5 2 2 5 2" xfId="992"/>
    <cellStyle name="20% - Accent5 2 2 5 2 2" xfId="7444"/>
    <cellStyle name="20% - Accent5 2 2 5 3" xfId="7443"/>
    <cellStyle name="20% - Accent5 2 2 6" xfId="993"/>
    <cellStyle name="20% - Accent5 2 2 6 2" xfId="7445"/>
    <cellStyle name="20% - Accent5 2 2 7" xfId="7436"/>
    <cellStyle name="20% - Accent5 2 2_ORACLE TRIAL BALANCE" xfId="994"/>
    <cellStyle name="20% - Accent5 2 3" xfId="995"/>
    <cellStyle name="20% - Accent5 2 3 2" xfId="996"/>
    <cellStyle name="20% - Accent5 2 3 2 2" xfId="7447"/>
    <cellStyle name="20% - Accent5 2 3 3" xfId="7446"/>
    <cellStyle name="20% - Accent5 2 4" xfId="997"/>
    <cellStyle name="20% - Accent5 2 4 2" xfId="998"/>
    <cellStyle name="20% - Accent5 2 4 2 2" xfId="7449"/>
    <cellStyle name="20% - Accent5 2 4 3" xfId="7448"/>
    <cellStyle name="20% - Accent5 2 5" xfId="999"/>
    <cellStyle name="20% - Accent5 2 5 2" xfId="1000"/>
    <cellStyle name="20% - Accent5 2 5 2 2" xfId="7451"/>
    <cellStyle name="20% - Accent5 2 5 3" xfId="7450"/>
    <cellStyle name="20% - Accent5 2 6" xfId="1001"/>
    <cellStyle name="20% - Accent5 2 6 2" xfId="1002"/>
    <cellStyle name="20% - Accent5 2 6 2 2" xfId="7453"/>
    <cellStyle name="20% - Accent5 2 6 3" xfId="7452"/>
    <cellStyle name="20% - Accent5 2 7" xfId="1003"/>
    <cellStyle name="20% - Accent5 2 7 2" xfId="7454"/>
    <cellStyle name="20% - Accent5 2 8" xfId="983"/>
    <cellStyle name="20% - Accent5 2 8 2" xfId="7435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2 2 2" xfId="7458"/>
    <cellStyle name="20% - Accent5 3 2 2 3" xfId="7457"/>
    <cellStyle name="20% - Accent5 3 2 3" xfId="1009"/>
    <cellStyle name="20% - Accent5 3 2 3 2" xfId="1010"/>
    <cellStyle name="20% - Accent5 3 2 3 2 2" xfId="7460"/>
    <cellStyle name="20% - Accent5 3 2 3 3" xfId="7459"/>
    <cellStyle name="20% - Accent5 3 2 4" xfId="1011"/>
    <cellStyle name="20% - Accent5 3 2 4 2" xfId="1012"/>
    <cellStyle name="20% - Accent5 3 2 4 2 2" xfId="7462"/>
    <cellStyle name="20% - Accent5 3 2 4 3" xfId="7461"/>
    <cellStyle name="20% - Accent5 3 2 5" xfId="1013"/>
    <cellStyle name="20% - Accent5 3 2 5 2" xfId="7463"/>
    <cellStyle name="20% - Accent5 3 2 6" xfId="7456"/>
    <cellStyle name="20% - Accent5 3 2_ORACLE TRIAL BALANCE" xfId="1014"/>
    <cellStyle name="20% - Accent5 3 3" xfId="1015"/>
    <cellStyle name="20% - Accent5 3 3 2" xfId="1016"/>
    <cellStyle name="20% - Accent5 3 3 2 2" xfId="7465"/>
    <cellStyle name="20% - Accent5 3 3 3" xfId="7464"/>
    <cellStyle name="20% - Accent5 3 4" xfId="1017"/>
    <cellStyle name="20% - Accent5 3 4 2" xfId="1018"/>
    <cellStyle name="20% - Accent5 3 4 2 2" xfId="7467"/>
    <cellStyle name="20% - Accent5 3 4 3" xfId="7466"/>
    <cellStyle name="20% - Accent5 3 5" xfId="1019"/>
    <cellStyle name="20% - Accent5 3 6" xfId="1020"/>
    <cellStyle name="20% - Accent5 3 7" xfId="1021"/>
    <cellStyle name="20% - Accent5 3 8" xfId="1022"/>
    <cellStyle name="20% - Accent5 3 8 2" xfId="7468"/>
    <cellStyle name="20% - Accent5 3 9" xfId="7455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2 2 2" xfId="7472"/>
    <cellStyle name="20% - Accent5 4 2 2 3" xfId="7471"/>
    <cellStyle name="20% - Accent5 4 2 3" xfId="1028"/>
    <cellStyle name="20% - Accent5 4 2 3 2" xfId="1029"/>
    <cellStyle name="20% - Accent5 4 2 3 2 2" xfId="7474"/>
    <cellStyle name="20% - Accent5 4 2 3 3" xfId="7473"/>
    <cellStyle name="20% - Accent5 4 2 4" xfId="1030"/>
    <cellStyle name="20% - Accent5 4 2 4 2" xfId="1031"/>
    <cellStyle name="20% - Accent5 4 2 4 2 2" xfId="7476"/>
    <cellStyle name="20% - Accent5 4 2 4 3" xfId="7475"/>
    <cellStyle name="20% - Accent5 4 2 5" xfId="1032"/>
    <cellStyle name="20% - Accent5 4 2 5 2" xfId="7477"/>
    <cellStyle name="20% - Accent5 4 2 6" xfId="7470"/>
    <cellStyle name="20% - Accent5 4 2_ORACLE TRIAL BALANCE" xfId="1033"/>
    <cellStyle name="20% - Accent5 4 3" xfId="1034"/>
    <cellStyle name="20% - Accent5 4 3 2" xfId="1035"/>
    <cellStyle name="20% - Accent5 4 3 2 2" xfId="7479"/>
    <cellStyle name="20% - Accent5 4 3 3" xfId="7478"/>
    <cellStyle name="20% - Accent5 4 4" xfId="1036"/>
    <cellStyle name="20% - Accent5 4 4 2" xfId="1037"/>
    <cellStyle name="20% - Accent5 4 4 2 2" xfId="7481"/>
    <cellStyle name="20% - Accent5 4 4 3" xfId="7480"/>
    <cellStyle name="20% - Accent5 4 5" xfId="1038"/>
    <cellStyle name="20% - Accent5 4 5 2" xfId="1039"/>
    <cellStyle name="20% - Accent5 4 5 2 2" xfId="7483"/>
    <cellStyle name="20% - Accent5 4 5 3" xfId="7482"/>
    <cellStyle name="20% - Accent5 4 6" xfId="1040"/>
    <cellStyle name="20% - Accent5 4 6 2" xfId="7484"/>
    <cellStyle name="20% - Accent5 4 7" xfId="7469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2 2 2" xfId="7488"/>
    <cellStyle name="20% - Accent5 5 2 2 3" xfId="7487"/>
    <cellStyle name="20% - Accent5 5 2 3" xfId="1046"/>
    <cellStyle name="20% - Accent5 5 2 3 2" xfId="1047"/>
    <cellStyle name="20% - Accent5 5 2 3 2 2" xfId="7490"/>
    <cellStyle name="20% - Accent5 5 2 3 3" xfId="7489"/>
    <cellStyle name="20% - Accent5 5 2 4" xfId="1048"/>
    <cellStyle name="20% - Accent5 5 2 4 2" xfId="1049"/>
    <cellStyle name="20% - Accent5 5 2 4 2 2" xfId="7492"/>
    <cellStyle name="20% - Accent5 5 2 4 3" xfId="7491"/>
    <cellStyle name="20% - Accent5 5 2 5" xfId="1050"/>
    <cellStyle name="20% - Accent5 5 2 5 2" xfId="7493"/>
    <cellStyle name="20% - Accent5 5 2 6" xfId="7486"/>
    <cellStyle name="20% - Accent5 5 2_ORACLE TRIAL BALANCE" xfId="1051"/>
    <cellStyle name="20% - Accent5 5 3" xfId="1052"/>
    <cellStyle name="20% - Accent5 5 3 2" xfId="1053"/>
    <cellStyle name="20% - Accent5 5 3 2 2" xfId="7495"/>
    <cellStyle name="20% - Accent5 5 3 3" xfId="7494"/>
    <cellStyle name="20% - Accent5 5 4" xfId="1054"/>
    <cellStyle name="20% - Accent5 5 4 2" xfId="1055"/>
    <cellStyle name="20% - Accent5 5 4 2 2" xfId="7497"/>
    <cellStyle name="20% - Accent5 5 4 3" xfId="7496"/>
    <cellStyle name="20% - Accent5 5 5" xfId="1056"/>
    <cellStyle name="20% - Accent5 5 5 2" xfId="1057"/>
    <cellStyle name="20% - Accent5 5 5 2 2" xfId="7499"/>
    <cellStyle name="20% - Accent5 5 5 3" xfId="7498"/>
    <cellStyle name="20% - Accent5 5 6" xfId="1058"/>
    <cellStyle name="20% - Accent5 5 6 2" xfId="7500"/>
    <cellStyle name="20% - Accent5 5 7" xfId="7485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2 2 2" xfId="7504"/>
    <cellStyle name="20% - Accent5 6 2 2 3" xfId="7503"/>
    <cellStyle name="20% - Accent5 6 2 3" xfId="1064"/>
    <cellStyle name="20% - Accent5 6 2 3 2" xfId="1065"/>
    <cellStyle name="20% - Accent5 6 2 3 2 2" xfId="7506"/>
    <cellStyle name="20% - Accent5 6 2 3 3" xfId="7505"/>
    <cellStyle name="20% - Accent5 6 2 4" xfId="1066"/>
    <cellStyle name="20% - Accent5 6 2 4 2" xfId="1067"/>
    <cellStyle name="20% - Accent5 6 2 4 2 2" xfId="7508"/>
    <cellStyle name="20% - Accent5 6 2 4 3" xfId="7507"/>
    <cellStyle name="20% - Accent5 6 2 5" xfId="1068"/>
    <cellStyle name="20% - Accent5 6 2 5 2" xfId="7509"/>
    <cellStyle name="20% - Accent5 6 2 6" xfId="7502"/>
    <cellStyle name="20% - Accent5 6 2_ORACLE TRIAL BALANCE" xfId="1069"/>
    <cellStyle name="20% - Accent5 6 3" xfId="1070"/>
    <cellStyle name="20% - Accent5 6 3 2" xfId="1071"/>
    <cellStyle name="20% - Accent5 6 3 2 2" xfId="7511"/>
    <cellStyle name="20% - Accent5 6 3 3" xfId="7510"/>
    <cellStyle name="20% - Accent5 6 4" xfId="1072"/>
    <cellStyle name="20% - Accent5 6 4 2" xfId="1073"/>
    <cellStyle name="20% - Accent5 6 4 2 2" xfId="7513"/>
    <cellStyle name="20% - Accent5 6 4 3" xfId="7512"/>
    <cellStyle name="20% - Accent5 6 5" xfId="1074"/>
    <cellStyle name="20% - Accent5 6 5 2" xfId="1075"/>
    <cellStyle name="20% - Accent5 6 5 2 2" xfId="7515"/>
    <cellStyle name="20% - Accent5 6 5 3" xfId="7514"/>
    <cellStyle name="20% - Accent5 6 6" xfId="1076"/>
    <cellStyle name="20% - Accent5 6 6 2" xfId="7516"/>
    <cellStyle name="20% - Accent5 6 7" xfId="7501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2 2 2" xfId="7520"/>
    <cellStyle name="20% - Accent5 7 2 2 3" xfId="7519"/>
    <cellStyle name="20% - Accent5 7 2 3" xfId="1082"/>
    <cellStyle name="20% - Accent5 7 2 3 2" xfId="1083"/>
    <cellStyle name="20% - Accent5 7 2 3 2 2" xfId="7522"/>
    <cellStyle name="20% - Accent5 7 2 3 3" xfId="7521"/>
    <cellStyle name="20% - Accent5 7 2 4" xfId="1084"/>
    <cellStyle name="20% - Accent5 7 2 4 2" xfId="1085"/>
    <cellStyle name="20% - Accent5 7 2 4 2 2" xfId="7524"/>
    <cellStyle name="20% - Accent5 7 2 4 3" xfId="7523"/>
    <cellStyle name="20% - Accent5 7 2 5" xfId="1086"/>
    <cellStyle name="20% - Accent5 7 2 5 2" xfId="7525"/>
    <cellStyle name="20% - Accent5 7 2 6" xfId="7518"/>
    <cellStyle name="20% - Accent5 7 2_ORACLE TRIAL BALANCE" xfId="1087"/>
    <cellStyle name="20% - Accent5 7 3" xfId="1088"/>
    <cellStyle name="20% - Accent5 7 3 2" xfId="1089"/>
    <cellStyle name="20% - Accent5 7 3 2 2" xfId="7527"/>
    <cellStyle name="20% - Accent5 7 3 3" xfId="7526"/>
    <cellStyle name="20% - Accent5 7 4" xfId="1090"/>
    <cellStyle name="20% - Accent5 7 4 2" xfId="1091"/>
    <cellStyle name="20% - Accent5 7 4 2 2" xfId="7529"/>
    <cellStyle name="20% - Accent5 7 4 3" xfId="7528"/>
    <cellStyle name="20% - Accent5 7 5" xfId="1092"/>
    <cellStyle name="20% - Accent5 7 5 2" xfId="1093"/>
    <cellStyle name="20% - Accent5 7 5 2 2" xfId="7531"/>
    <cellStyle name="20% - Accent5 7 5 3" xfId="7530"/>
    <cellStyle name="20% - Accent5 7 6" xfId="1094"/>
    <cellStyle name="20% - Accent5 7 6 2" xfId="7532"/>
    <cellStyle name="20% - Accent5 7 7" xfId="7517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2 2 2" xfId="7536"/>
    <cellStyle name="20% - Accent5 8 2 2 3" xfId="7535"/>
    <cellStyle name="20% - Accent5 8 2 3" xfId="1100"/>
    <cellStyle name="20% - Accent5 8 2 3 2" xfId="1101"/>
    <cellStyle name="20% - Accent5 8 2 3 2 2" xfId="7538"/>
    <cellStyle name="20% - Accent5 8 2 3 3" xfId="7537"/>
    <cellStyle name="20% - Accent5 8 2 4" xfId="1102"/>
    <cellStyle name="20% - Accent5 8 2 4 2" xfId="1103"/>
    <cellStyle name="20% - Accent5 8 2 4 2 2" xfId="7540"/>
    <cellStyle name="20% - Accent5 8 2 4 3" xfId="7539"/>
    <cellStyle name="20% - Accent5 8 2 5" xfId="1104"/>
    <cellStyle name="20% - Accent5 8 2 5 2" xfId="7541"/>
    <cellStyle name="20% - Accent5 8 2 6" xfId="7534"/>
    <cellStyle name="20% - Accent5 8 2_ORACLE TRIAL BALANCE" xfId="1105"/>
    <cellStyle name="20% - Accent5 8 3" xfId="1106"/>
    <cellStyle name="20% - Accent5 8 3 2" xfId="1107"/>
    <cellStyle name="20% - Accent5 8 3 2 2" xfId="7543"/>
    <cellStyle name="20% - Accent5 8 3 3" xfId="7542"/>
    <cellStyle name="20% - Accent5 8 4" xfId="1108"/>
    <cellStyle name="20% - Accent5 8 4 2" xfId="1109"/>
    <cellStyle name="20% - Accent5 8 4 2 2" xfId="7545"/>
    <cellStyle name="20% - Accent5 8 4 3" xfId="7544"/>
    <cellStyle name="20% - Accent5 8 5" xfId="1110"/>
    <cellStyle name="20% - Accent5 8 5 2" xfId="1111"/>
    <cellStyle name="20% - Accent5 8 5 2 2" xfId="7547"/>
    <cellStyle name="20% - Accent5 8 5 3" xfId="7546"/>
    <cellStyle name="20% - Accent5 8 6" xfId="1112"/>
    <cellStyle name="20% - Accent5 8 6 2" xfId="7548"/>
    <cellStyle name="20% - Accent5 8 7" xfId="7533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2 2 2" xfId="7552"/>
    <cellStyle name="20% - Accent5 9 2 2 3" xfId="7551"/>
    <cellStyle name="20% - Accent5 9 2 3" xfId="1118"/>
    <cellStyle name="20% - Accent5 9 2 3 2" xfId="1119"/>
    <cellStyle name="20% - Accent5 9 2 3 2 2" xfId="7554"/>
    <cellStyle name="20% - Accent5 9 2 3 3" xfId="7553"/>
    <cellStyle name="20% - Accent5 9 2 4" xfId="1120"/>
    <cellStyle name="20% - Accent5 9 2 4 2" xfId="1121"/>
    <cellStyle name="20% - Accent5 9 2 4 2 2" xfId="7556"/>
    <cellStyle name="20% - Accent5 9 2 4 3" xfId="7555"/>
    <cellStyle name="20% - Accent5 9 2 5" xfId="1122"/>
    <cellStyle name="20% - Accent5 9 2 5 2" xfId="7557"/>
    <cellStyle name="20% - Accent5 9 2 6" xfId="7550"/>
    <cellStyle name="20% - Accent5 9 2_ORACLE TRIAL BALANCE" xfId="1123"/>
    <cellStyle name="20% - Accent5 9 3" xfId="1124"/>
    <cellStyle name="20% - Accent5 9 3 2" xfId="1125"/>
    <cellStyle name="20% - Accent5 9 3 2 2" xfId="7559"/>
    <cellStyle name="20% - Accent5 9 3 3" xfId="7558"/>
    <cellStyle name="20% - Accent5 9 4" xfId="1126"/>
    <cellStyle name="20% - Accent5 9 4 2" xfId="1127"/>
    <cellStyle name="20% - Accent5 9 4 2 2" xfId="7561"/>
    <cellStyle name="20% - Accent5 9 4 3" xfId="7560"/>
    <cellStyle name="20% - Accent5 9 5" xfId="1128"/>
    <cellStyle name="20% - Accent5 9 5 2" xfId="1129"/>
    <cellStyle name="20% - Accent5 9 5 2 2" xfId="7563"/>
    <cellStyle name="20% - Accent5 9 5 3" xfId="7562"/>
    <cellStyle name="20% - Accent5 9 6" xfId="1130"/>
    <cellStyle name="20% - Accent5 9 6 2" xfId="7564"/>
    <cellStyle name="20% - Accent5 9 7" xfId="7549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2 2 2" xfId="7568"/>
    <cellStyle name="20% - Accent6 10 2 2 3" xfId="7567"/>
    <cellStyle name="20% - Accent6 10 2 3" xfId="1136"/>
    <cellStyle name="20% - Accent6 10 2 3 2" xfId="1137"/>
    <cellStyle name="20% - Accent6 10 2 3 2 2" xfId="7570"/>
    <cellStyle name="20% - Accent6 10 2 3 3" xfId="7569"/>
    <cellStyle name="20% - Accent6 10 2 4" xfId="1138"/>
    <cellStyle name="20% - Accent6 10 2 4 2" xfId="1139"/>
    <cellStyle name="20% - Accent6 10 2 4 2 2" xfId="7572"/>
    <cellStyle name="20% - Accent6 10 2 4 3" xfId="7571"/>
    <cellStyle name="20% - Accent6 10 2 5" xfId="1140"/>
    <cellStyle name="20% - Accent6 10 2 5 2" xfId="7573"/>
    <cellStyle name="20% - Accent6 10 2 6" xfId="7566"/>
    <cellStyle name="20% - Accent6 10 2_ORACLE TRIAL BALANCE" xfId="1141"/>
    <cellStyle name="20% - Accent6 10 3" xfId="1142"/>
    <cellStyle name="20% - Accent6 10 3 2" xfId="1143"/>
    <cellStyle name="20% - Accent6 10 3 2 2" xfId="7575"/>
    <cellStyle name="20% - Accent6 10 3 3" xfId="7574"/>
    <cellStyle name="20% - Accent6 10 4" xfId="1144"/>
    <cellStyle name="20% - Accent6 10 4 2" xfId="1145"/>
    <cellStyle name="20% - Accent6 10 4 2 2" xfId="7577"/>
    <cellStyle name="20% - Accent6 10 4 3" xfId="7576"/>
    <cellStyle name="20% - Accent6 10 5" xfId="1146"/>
    <cellStyle name="20% - Accent6 10 5 2" xfId="1147"/>
    <cellStyle name="20% - Accent6 10 5 2 2" xfId="7579"/>
    <cellStyle name="20% - Accent6 10 5 3" xfId="7578"/>
    <cellStyle name="20% - Accent6 10 6" xfId="1148"/>
    <cellStyle name="20% - Accent6 10 6 2" xfId="7580"/>
    <cellStyle name="20% - Accent6 10 7" xfId="7565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2 2 2" xfId="7583"/>
    <cellStyle name="20% - Accent6 11 2 3" xfId="7582"/>
    <cellStyle name="20% - Accent6 11 3" xfId="1153"/>
    <cellStyle name="20% - Accent6 11 3 2" xfId="1154"/>
    <cellStyle name="20% - Accent6 11 3 2 2" xfId="7585"/>
    <cellStyle name="20% - Accent6 11 3 3" xfId="7584"/>
    <cellStyle name="20% - Accent6 11 4" xfId="1155"/>
    <cellStyle name="20% - Accent6 11 4 2" xfId="1156"/>
    <cellStyle name="20% - Accent6 11 4 2 2" xfId="7587"/>
    <cellStyle name="20% - Accent6 11 4 3" xfId="7586"/>
    <cellStyle name="20% - Accent6 11 5" xfId="1157"/>
    <cellStyle name="20% - Accent6 11 5 2" xfId="7588"/>
    <cellStyle name="20% - Accent6 11 6" xfId="7581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2 2 2" xfId="7592"/>
    <cellStyle name="20% - Accent6 2 2 2 3" xfId="7591"/>
    <cellStyle name="20% - Accent6 2 2 3" xfId="1167"/>
    <cellStyle name="20% - Accent6 2 2 3 2" xfId="1168"/>
    <cellStyle name="20% - Accent6 2 2 3 2 2" xfId="7594"/>
    <cellStyle name="20% - Accent6 2 2 3 3" xfId="7593"/>
    <cellStyle name="20% - Accent6 2 2 4" xfId="1169"/>
    <cellStyle name="20% - Accent6 2 2 4 2" xfId="1170"/>
    <cellStyle name="20% - Accent6 2 2 4 2 2" xfId="7596"/>
    <cellStyle name="20% - Accent6 2 2 4 3" xfId="7595"/>
    <cellStyle name="20% - Accent6 2 2 5" xfId="1171"/>
    <cellStyle name="20% - Accent6 2 2 5 2" xfId="1172"/>
    <cellStyle name="20% - Accent6 2 2 5 2 2" xfId="7598"/>
    <cellStyle name="20% - Accent6 2 2 5 3" xfId="7597"/>
    <cellStyle name="20% - Accent6 2 2 6" xfId="1173"/>
    <cellStyle name="20% - Accent6 2 2 6 2" xfId="7599"/>
    <cellStyle name="20% - Accent6 2 2 7" xfId="7590"/>
    <cellStyle name="20% - Accent6 2 2_ORACLE TRIAL BALANCE" xfId="1174"/>
    <cellStyle name="20% - Accent6 2 3" xfId="1175"/>
    <cellStyle name="20% - Accent6 2 3 2" xfId="1176"/>
    <cellStyle name="20% - Accent6 2 3 2 2" xfId="7601"/>
    <cellStyle name="20% - Accent6 2 3 3" xfId="7600"/>
    <cellStyle name="20% - Accent6 2 4" xfId="1177"/>
    <cellStyle name="20% - Accent6 2 4 2" xfId="1178"/>
    <cellStyle name="20% - Accent6 2 4 2 2" xfId="7603"/>
    <cellStyle name="20% - Accent6 2 4 3" xfId="7602"/>
    <cellStyle name="20% - Accent6 2 5" xfId="1179"/>
    <cellStyle name="20% - Accent6 2 5 2" xfId="1180"/>
    <cellStyle name="20% - Accent6 2 5 2 2" xfId="7605"/>
    <cellStyle name="20% - Accent6 2 5 3" xfId="7604"/>
    <cellStyle name="20% - Accent6 2 6" xfId="1181"/>
    <cellStyle name="20% - Accent6 2 6 2" xfId="1182"/>
    <cellStyle name="20% - Accent6 2 6 2 2" xfId="7607"/>
    <cellStyle name="20% - Accent6 2 6 3" xfId="7606"/>
    <cellStyle name="20% - Accent6 2 7" xfId="1183"/>
    <cellStyle name="20% - Accent6 2 7 2" xfId="7608"/>
    <cellStyle name="20% - Accent6 2 8" xfId="1163"/>
    <cellStyle name="20% - Accent6 2 8 2" xfId="7589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2 2 2" xfId="7612"/>
    <cellStyle name="20% - Accent6 3 2 2 3" xfId="7611"/>
    <cellStyle name="20% - Accent6 3 2 3" xfId="1189"/>
    <cellStyle name="20% - Accent6 3 2 3 2" xfId="1190"/>
    <cellStyle name="20% - Accent6 3 2 3 2 2" xfId="7614"/>
    <cellStyle name="20% - Accent6 3 2 3 3" xfId="7613"/>
    <cellStyle name="20% - Accent6 3 2 4" xfId="1191"/>
    <cellStyle name="20% - Accent6 3 2 4 2" xfId="1192"/>
    <cellStyle name="20% - Accent6 3 2 4 2 2" xfId="7616"/>
    <cellStyle name="20% - Accent6 3 2 4 3" xfId="7615"/>
    <cellStyle name="20% - Accent6 3 2 5" xfId="1193"/>
    <cellStyle name="20% - Accent6 3 2 5 2" xfId="7617"/>
    <cellStyle name="20% - Accent6 3 2 6" xfId="7610"/>
    <cellStyle name="20% - Accent6 3 2_ORACLE TRIAL BALANCE" xfId="1194"/>
    <cellStyle name="20% - Accent6 3 3" xfId="1195"/>
    <cellStyle name="20% - Accent6 3 3 2" xfId="1196"/>
    <cellStyle name="20% - Accent6 3 3 2 2" xfId="7619"/>
    <cellStyle name="20% - Accent6 3 3 3" xfId="7618"/>
    <cellStyle name="20% - Accent6 3 4" xfId="1197"/>
    <cellStyle name="20% - Accent6 3 4 2" xfId="1198"/>
    <cellStyle name="20% - Accent6 3 4 2 2" xfId="7621"/>
    <cellStyle name="20% - Accent6 3 4 3" xfId="7620"/>
    <cellStyle name="20% - Accent6 3 5" xfId="1199"/>
    <cellStyle name="20% - Accent6 3 6" xfId="1200"/>
    <cellStyle name="20% - Accent6 3 7" xfId="1201"/>
    <cellStyle name="20% - Accent6 3 8" xfId="1202"/>
    <cellStyle name="20% - Accent6 3 8 2" xfId="7622"/>
    <cellStyle name="20% - Accent6 3 9" xfId="7609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2 2 2" xfId="7626"/>
    <cellStyle name="20% - Accent6 4 2 2 3" xfId="7625"/>
    <cellStyle name="20% - Accent6 4 2 3" xfId="1208"/>
    <cellStyle name="20% - Accent6 4 2 3 2" xfId="1209"/>
    <cellStyle name="20% - Accent6 4 2 3 2 2" xfId="7628"/>
    <cellStyle name="20% - Accent6 4 2 3 3" xfId="7627"/>
    <cellStyle name="20% - Accent6 4 2 4" xfId="1210"/>
    <cellStyle name="20% - Accent6 4 2 4 2" xfId="1211"/>
    <cellStyle name="20% - Accent6 4 2 4 2 2" xfId="7630"/>
    <cellStyle name="20% - Accent6 4 2 4 3" xfId="7629"/>
    <cellStyle name="20% - Accent6 4 2 5" xfId="1212"/>
    <cellStyle name="20% - Accent6 4 2 5 2" xfId="7631"/>
    <cellStyle name="20% - Accent6 4 2 6" xfId="7624"/>
    <cellStyle name="20% - Accent6 4 2_ORACLE TRIAL BALANCE" xfId="1213"/>
    <cellStyle name="20% - Accent6 4 3" xfId="1214"/>
    <cellStyle name="20% - Accent6 4 3 2" xfId="1215"/>
    <cellStyle name="20% - Accent6 4 3 2 2" xfId="7633"/>
    <cellStyle name="20% - Accent6 4 3 3" xfId="7632"/>
    <cellStyle name="20% - Accent6 4 4" xfId="1216"/>
    <cellStyle name="20% - Accent6 4 4 2" xfId="1217"/>
    <cellStyle name="20% - Accent6 4 4 2 2" xfId="7635"/>
    <cellStyle name="20% - Accent6 4 4 3" xfId="7634"/>
    <cellStyle name="20% - Accent6 4 5" xfId="1218"/>
    <cellStyle name="20% - Accent6 4 5 2" xfId="1219"/>
    <cellStyle name="20% - Accent6 4 5 2 2" xfId="7637"/>
    <cellStyle name="20% - Accent6 4 5 3" xfId="7636"/>
    <cellStyle name="20% - Accent6 4 6" xfId="1220"/>
    <cellStyle name="20% - Accent6 4 6 2" xfId="7638"/>
    <cellStyle name="20% - Accent6 4 7" xfId="7623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2 2 2" xfId="7642"/>
    <cellStyle name="20% - Accent6 5 2 2 3" xfId="7641"/>
    <cellStyle name="20% - Accent6 5 2 3" xfId="1226"/>
    <cellStyle name="20% - Accent6 5 2 3 2" xfId="1227"/>
    <cellStyle name="20% - Accent6 5 2 3 2 2" xfId="7644"/>
    <cellStyle name="20% - Accent6 5 2 3 3" xfId="7643"/>
    <cellStyle name="20% - Accent6 5 2 4" xfId="1228"/>
    <cellStyle name="20% - Accent6 5 2 4 2" xfId="1229"/>
    <cellStyle name="20% - Accent6 5 2 4 2 2" xfId="7646"/>
    <cellStyle name="20% - Accent6 5 2 4 3" xfId="7645"/>
    <cellStyle name="20% - Accent6 5 2 5" xfId="1230"/>
    <cellStyle name="20% - Accent6 5 2 5 2" xfId="7647"/>
    <cellStyle name="20% - Accent6 5 2 6" xfId="7640"/>
    <cellStyle name="20% - Accent6 5 2_ORACLE TRIAL BALANCE" xfId="1231"/>
    <cellStyle name="20% - Accent6 5 3" xfId="1232"/>
    <cellStyle name="20% - Accent6 5 3 2" xfId="1233"/>
    <cellStyle name="20% - Accent6 5 3 2 2" xfId="7649"/>
    <cellStyle name="20% - Accent6 5 3 3" xfId="7648"/>
    <cellStyle name="20% - Accent6 5 4" xfId="1234"/>
    <cellStyle name="20% - Accent6 5 4 2" xfId="1235"/>
    <cellStyle name="20% - Accent6 5 4 2 2" xfId="7651"/>
    <cellStyle name="20% - Accent6 5 4 3" xfId="7650"/>
    <cellStyle name="20% - Accent6 5 5" xfId="1236"/>
    <cellStyle name="20% - Accent6 5 5 2" xfId="1237"/>
    <cellStyle name="20% - Accent6 5 5 2 2" xfId="7653"/>
    <cellStyle name="20% - Accent6 5 5 3" xfId="7652"/>
    <cellStyle name="20% - Accent6 5 6" xfId="1238"/>
    <cellStyle name="20% - Accent6 5 6 2" xfId="7654"/>
    <cellStyle name="20% - Accent6 5 7" xfId="7639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2 2 2" xfId="7658"/>
    <cellStyle name="20% - Accent6 6 2 2 3" xfId="7657"/>
    <cellStyle name="20% - Accent6 6 2 3" xfId="1244"/>
    <cellStyle name="20% - Accent6 6 2 3 2" xfId="1245"/>
    <cellStyle name="20% - Accent6 6 2 3 2 2" xfId="7660"/>
    <cellStyle name="20% - Accent6 6 2 3 3" xfId="7659"/>
    <cellStyle name="20% - Accent6 6 2 4" xfId="1246"/>
    <cellStyle name="20% - Accent6 6 2 4 2" xfId="1247"/>
    <cellStyle name="20% - Accent6 6 2 4 2 2" xfId="7662"/>
    <cellStyle name="20% - Accent6 6 2 4 3" xfId="7661"/>
    <cellStyle name="20% - Accent6 6 2 5" xfId="1248"/>
    <cellStyle name="20% - Accent6 6 2 5 2" xfId="7663"/>
    <cellStyle name="20% - Accent6 6 2 6" xfId="7656"/>
    <cellStyle name="20% - Accent6 6 2_ORACLE TRIAL BALANCE" xfId="1249"/>
    <cellStyle name="20% - Accent6 6 3" xfId="1250"/>
    <cellStyle name="20% - Accent6 6 3 2" xfId="1251"/>
    <cellStyle name="20% - Accent6 6 3 2 2" xfId="7665"/>
    <cellStyle name="20% - Accent6 6 3 3" xfId="7664"/>
    <cellStyle name="20% - Accent6 6 4" xfId="1252"/>
    <cellStyle name="20% - Accent6 6 4 2" xfId="1253"/>
    <cellStyle name="20% - Accent6 6 4 2 2" xfId="7667"/>
    <cellStyle name="20% - Accent6 6 4 3" xfId="7666"/>
    <cellStyle name="20% - Accent6 6 5" xfId="1254"/>
    <cellStyle name="20% - Accent6 6 5 2" xfId="1255"/>
    <cellStyle name="20% - Accent6 6 5 2 2" xfId="7669"/>
    <cellStyle name="20% - Accent6 6 5 3" xfId="7668"/>
    <cellStyle name="20% - Accent6 6 6" xfId="1256"/>
    <cellStyle name="20% - Accent6 6 6 2" xfId="7670"/>
    <cellStyle name="20% - Accent6 6 7" xfId="7655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2 2 2" xfId="7674"/>
    <cellStyle name="20% - Accent6 7 2 2 3" xfId="7673"/>
    <cellStyle name="20% - Accent6 7 2 3" xfId="1262"/>
    <cellStyle name="20% - Accent6 7 2 3 2" xfId="1263"/>
    <cellStyle name="20% - Accent6 7 2 3 2 2" xfId="7676"/>
    <cellStyle name="20% - Accent6 7 2 3 3" xfId="7675"/>
    <cellStyle name="20% - Accent6 7 2 4" xfId="1264"/>
    <cellStyle name="20% - Accent6 7 2 4 2" xfId="1265"/>
    <cellStyle name="20% - Accent6 7 2 4 2 2" xfId="7678"/>
    <cellStyle name="20% - Accent6 7 2 4 3" xfId="7677"/>
    <cellStyle name="20% - Accent6 7 2 5" xfId="1266"/>
    <cellStyle name="20% - Accent6 7 2 5 2" xfId="7679"/>
    <cellStyle name="20% - Accent6 7 2 6" xfId="7672"/>
    <cellStyle name="20% - Accent6 7 2_ORACLE TRIAL BALANCE" xfId="1267"/>
    <cellStyle name="20% - Accent6 7 3" xfId="1268"/>
    <cellStyle name="20% - Accent6 7 3 2" xfId="1269"/>
    <cellStyle name="20% - Accent6 7 3 2 2" xfId="7681"/>
    <cellStyle name="20% - Accent6 7 3 3" xfId="7680"/>
    <cellStyle name="20% - Accent6 7 4" xfId="1270"/>
    <cellStyle name="20% - Accent6 7 4 2" xfId="1271"/>
    <cellStyle name="20% - Accent6 7 4 2 2" xfId="7683"/>
    <cellStyle name="20% - Accent6 7 4 3" xfId="7682"/>
    <cellStyle name="20% - Accent6 7 5" xfId="1272"/>
    <cellStyle name="20% - Accent6 7 5 2" xfId="1273"/>
    <cellStyle name="20% - Accent6 7 5 2 2" xfId="7685"/>
    <cellStyle name="20% - Accent6 7 5 3" xfId="7684"/>
    <cellStyle name="20% - Accent6 7 6" xfId="1274"/>
    <cellStyle name="20% - Accent6 7 6 2" xfId="7686"/>
    <cellStyle name="20% - Accent6 7 7" xfId="7671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2 2 2" xfId="7690"/>
    <cellStyle name="20% - Accent6 8 2 2 3" xfId="7689"/>
    <cellStyle name="20% - Accent6 8 2 3" xfId="1280"/>
    <cellStyle name="20% - Accent6 8 2 3 2" xfId="1281"/>
    <cellStyle name="20% - Accent6 8 2 3 2 2" xfId="7692"/>
    <cellStyle name="20% - Accent6 8 2 3 3" xfId="7691"/>
    <cellStyle name="20% - Accent6 8 2 4" xfId="1282"/>
    <cellStyle name="20% - Accent6 8 2 4 2" xfId="1283"/>
    <cellStyle name="20% - Accent6 8 2 4 2 2" xfId="7694"/>
    <cellStyle name="20% - Accent6 8 2 4 3" xfId="7693"/>
    <cellStyle name="20% - Accent6 8 2 5" xfId="1284"/>
    <cellStyle name="20% - Accent6 8 2 5 2" xfId="7695"/>
    <cellStyle name="20% - Accent6 8 2 6" xfId="7688"/>
    <cellStyle name="20% - Accent6 8 2_ORACLE TRIAL BALANCE" xfId="1285"/>
    <cellStyle name="20% - Accent6 8 3" xfId="1286"/>
    <cellStyle name="20% - Accent6 8 3 2" xfId="1287"/>
    <cellStyle name="20% - Accent6 8 3 2 2" xfId="7697"/>
    <cellStyle name="20% - Accent6 8 3 3" xfId="7696"/>
    <cellStyle name="20% - Accent6 8 4" xfId="1288"/>
    <cellStyle name="20% - Accent6 8 4 2" xfId="1289"/>
    <cellStyle name="20% - Accent6 8 4 2 2" xfId="7699"/>
    <cellStyle name="20% - Accent6 8 4 3" xfId="7698"/>
    <cellStyle name="20% - Accent6 8 5" xfId="1290"/>
    <cellStyle name="20% - Accent6 8 5 2" xfId="1291"/>
    <cellStyle name="20% - Accent6 8 5 2 2" xfId="7701"/>
    <cellStyle name="20% - Accent6 8 5 3" xfId="7700"/>
    <cellStyle name="20% - Accent6 8 6" xfId="1292"/>
    <cellStyle name="20% - Accent6 8 6 2" xfId="7702"/>
    <cellStyle name="20% - Accent6 8 7" xfId="7687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2 2 2" xfId="7706"/>
    <cellStyle name="20% - Accent6 9 2 2 3" xfId="7705"/>
    <cellStyle name="20% - Accent6 9 2 3" xfId="1298"/>
    <cellStyle name="20% - Accent6 9 2 3 2" xfId="1299"/>
    <cellStyle name="20% - Accent6 9 2 3 2 2" xfId="7708"/>
    <cellStyle name="20% - Accent6 9 2 3 3" xfId="7707"/>
    <cellStyle name="20% - Accent6 9 2 4" xfId="1300"/>
    <cellStyle name="20% - Accent6 9 2 4 2" xfId="1301"/>
    <cellStyle name="20% - Accent6 9 2 4 2 2" xfId="7710"/>
    <cellStyle name="20% - Accent6 9 2 4 3" xfId="7709"/>
    <cellStyle name="20% - Accent6 9 2 5" xfId="1302"/>
    <cellStyle name="20% - Accent6 9 2 5 2" xfId="7711"/>
    <cellStyle name="20% - Accent6 9 2 6" xfId="7704"/>
    <cellStyle name="20% - Accent6 9 2_ORACLE TRIAL BALANCE" xfId="1303"/>
    <cellStyle name="20% - Accent6 9 3" xfId="1304"/>
    <cellStyle name="20% - Accent6 9 3 2" xfId="1305"/>
    <cellStyle name="20% - Accent6 9 3 2 2" xfId="7713"/>
    <cellStyle name="20% - Accent6 9 3 3" xfId="7712"/>
    <cellStyle name="20% - Accent6 9 4" xfId="1306"/>
    <cellStyle name="20% - Accent6 9 4 2" xfId="1307"/>
    <cellStyle name="20% - Accent6 9 4 2 2" xfId="7715"/>
    <cellStyle name="20% - Accent6 9 4 3" xfId="7714"/>
    <cellStyle name="20% - Accent6 9 5" xfId="1308"/>
    <cellStyle name="20% - Accent6 9 5 2" xfId="1309"/>
    <cellStyle name="20% - Accent6 9 5 2 2" xfId="7717"/>
    <cellStyle name="20% - Accent6 9 5 3" xfId="7716"/>
    <cellStyle name="20% - Accent6 9 6" xfId="1310"/>
    <cellStyle name="20% - Accent6 9 6 2" xfId="7718"/>
    <cellStyle name="20% - Accent6 9 7" xfId="7703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2 2 2" xfId="7722"/>
    <cellStyle name="40% - Accent1 10 2 2 3" xfId="7721"/>
    <cellStyle name="40% - Accent1 10 2 3" xfId="1316"/>
    <cellStyle name="40% - Accent1 10 2 3 2" xfId="1317"/>
    <cellStyle name="40% - Accent1 10 2 3 2 2" xfId="7724"/>
    <cellStyle name="40% - Accent1 10 2 3 3" xfId="7723"/>
    <cellStyle name="40% - Accent1 10 2 4" xfId="1318"/>
    <cellStyle name="40% - Accent1 10 2 4 2" xfId="1319"/>
    <cellStyle name="40% - Accent1 10 2 4 2 2" xfId="7726"/>
    <cellStyle name="40% - Accent1 10 2 4 3" xfId="7725"/>
    <cellStyle name="40% - Accent1 10 2 5" xfId="1320"/>
    <cellStyle name="40% - Accent1 10 2 5 2" xfId="7727"/>
    <cellStyle name="40% - Accent1 10 2 6" xfId="7720"/>
    <cellStyle name="40% - Accent1 10 2_ORACLE TRIAL BALANCE" xfId="1321"/>
    <cellStyle name="40% - Accent1 10 3" xfId="1322"/>
    <cellStyle name="40% - Accent1 10 3 2" xfId="1323"/>
    <cellStyle name="40% - Accent1 10 3 2 2" xfId="7729"/>
    <cellStyle name="40% - Accent1 10 3 3" xfId="7728"/>
    <cellStyle name="40% - Accent1 10 4" xfId="1324"/>
    <cellStyle name="40% - Accent1 10 4 2" xfId="1325"/>
    <cellStyle name="40% - Accent1 10 4 2 2" xfId="7731"/>
    <cellStyle name="40% - Accent1 10 4 3" xfId="7730"/>
    <cellStyle name="40% - Accent1 10 5" xfId="1326"/>
    <cellStyle name="40% - Accent1 10 5 2" xfId="1327"/>
    <cellStyle name="40% - Accent1 10 5 2 2" xfId="7733"/>
    <cellStyle name="40% - Accent1 10 5 3" xfId="7732"/>
    <cellStyle name="40% - Accent1 10 6" xfId="1328"/>
    <cellStyle name="40% - Accent1 10 6 2" xfId="7734"/>
    <cellStyle name="40% - Accent1 10 7" xfId="7719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2 2 2" xfId="7737"/>
    <cellStyle name="40% - Accent1 11 2 3" xfId="7736"/>
    <cellStyle name="40% - Accent1 11 3" xfId="1333"/>
    <cellStyle name="40% - Accent1 11 3 2" xfId="1334"/>
    <cellStyle name="40% - Accent1 11 3 2 2" xfId="7739"/>
    <cellStyle name="40% - Accent1 11 3 3" xfId="7738"/>
    <cellStyle name="40% - Accent1 11 4" xfId="1335"/>
    <cellStyle name="40% - Accent1 11 4 2" xfId="1336"/>
    <cellStyle name="40% - Accent1 11 4 2 2" xfId="7741"/>
    <cellStyle name="40% - Accent1 11 4 3" xfId="7740"/>
    <cellStyle name="40% - Accent1 11 5" xfId="1337"/>
    <cellStyle name="40% - Accent1 11 5 2" xfId="7742"/>
    <cellStyle name="40% - Accent1 11 6" xfId="7735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2 2 2" xfId="7746"/>
    <cellStyle name="40% - Accent1 2 2 2 3" xfId="7745"/>
    <cellStyle name="40% - Accent1 2 2 3" xfId="1347"/>
    <cellStyle name="40% - Accent1 2 2 3 2" xfId="1348"/>
    <cellStyle name="40% - Accent1 2 2 3 2 2" xfId="7748"/>
    <cellStyle name="40% - Accent1 2 2 3 3" xfId="7747"/>
    <cellStyle name="40% - Accent1 2 2 4" xfId="1349"/>
    <cellStyle name="40% - Accent1 2 2 4 2" xfId="1350"/>
    <cellStyle name="40% - Accent1 2 2 4 2 2" xfId="7750"/>
    <cellStyle name="40% - Accent1 2 2 4 3" xfId="7749"/>
    <cellStyle name="40% - Accent1 2 2 5" xfId="1351"/>
    <cellStyle name="40% - Accent1 2 2 5 2" xfId="1352"/>
    <cellStyle name="40% - Accent1 2 2 5 2 2" xfId="7752"/>
    <cellStyle name="40% - Accent1 2 2 5 3" xfId="7751"/>
    <cellStyle name="40% - Accent1 2 2 6" xfId="1353"/>
    <cellStyle name="40% - Accent1 2 2 6 2" xfId="7753"/>
    <cellStyle name="40% - Accent1 2 2 7" xfId="7744"/>
    <cellStyle name="40% - Accent1 2 2_ORACLE TRIAL BALANCE" xfId="1354"/>
    <cellStyle name="40% - Accent1 2 3" xfId="1355"/>
    <cellStyle name="40% - Accent1 2 3 2" xfId="1356"/>
    <cellStyle name="40% - Accent1 2 3 2 2" xfId="7755"/>
    <cellStyle name="40% - Accent1 2 3 3" xfId="7754"/>
    <cellStyle name="40% - Accent1 2 4" xfId="1357"/>
    <cellStyle name="40% - Accent1 2 4 2" xfId="1358"/>
    <cellStyle name="40% - Accent1 2 4 2 2" xfId="7757"/>
    <cellStyle name="40% - Accent1 2 4 3" xfId="7756"/>
    <cellStyle name="40% - Accent1 2 5" xfId="1359"/>
    <cellStyle name="40% - Accent1 2 5 2" xfId="1360"/>
    <cellStyle name="40% - Accent1 2 5 2 2" xfId="7759"/>
    <cellStyle name="40% - Accent1 2 5 3" xfId="7758"/>
    <cellStyle name="40% - Accent1 2 6" xfId="1361"/>
    <cellStyle name="40% - Accent1 2 6 2" xfId="1362"/>
    <cellStyle name="40% - Accent1 2 6 2 2" xfId="7761"/>
    <cellStyle name="40% - Accent1 2 6 3" xfId="7760"/>
    <cellStyle name="40% - Accent1 2 7" xfId="1363"/>
    <cellStyle name="40% - Accent1 2 7 2" xfId="7762"/>
    <cellStyle name="40% - Accent1 2 8" xfId="1343"/>
    <cellStyle name="40% - Accent1 2 8 2" xfId="77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2 2 2" xfId="7766"/>
    <cellStyle name="40% - Accent1 3 2 2 3" xfId="7765"/>
    <cellStyle name="40% - Accent1 3 2 3" xfId="1369"/>
    <cellStyle name="40% - Accent1 3 2 3 2" xfId="1370"/>
    <cellStyle name="40% - Accent1 3 2 3 2 2" xfId="7768"/>
    <cellStyle name="40% - Accent1 3 2 3 3" xfId="7767"/>
    <cellStyle name="40% - Accent1 3 2 4" xfId="1371"/>
    <cellStyle name="40% - Accent1 3 2 4 2" xfId="1372"/>
    <cellStyle name="40% - Accent1 3 2 4 2 2" xfId="7770"/>
    <cellStyle name="40% - Accent1 3 2 4 3" xfId="7769"/>
    <cellStyle name="40% - Accent1 3 2 5" xfId="1373"/>
    <cellStyle name="40% - Accent1 3 2 5 2" xfId="7771"/>
    <cellStyle name="40% - Accent1 3 2 6" xfId="7764"/>
    <cellStyle name="40% - Accent1 3 2_ORACLE TRIAL BALANCE" xfId="1374"/>
    <cellStyle name="40% - Accent1 3 3" xfId="1375"/>
    <cellStyle name="40% - Accent1 3 3 2" xfId="1376"/>
    <cellStyle name="40% - Accent1 3 3 2 2" xfId="7773"/>
    <cellStyle name="40% - Accent1 3 3 3" xfId="7772"/>
    <cellStyle name="40% - Accent1 3 4" xfId="1377"/>
    <cellStyle name="40% - Accent1 3 4 2" xfId="1378"/>
    <cellStyle name="40% - Accent1 3 4 2 2" xfId="7775"/>
    <cellStyle name="40% - Accent1 3 4 3" xfId="7774"/>
    <cellStyle name="40% - Accent1 3 5" xfId="1379"/>
    <cellStyle name="40% - Accent1 3 6" xfId="1380"/>
    <cellStyle name="40% - Accent1 3 7" xfId="1381"/>
    <cellStyle name="40% - Accent1 3 8" xfId="1382"/>
    <cellStyle name="40% - Accent1 3 8 2" xfId="7776"/>
    <cellStyle name="40% - Accent1 3 9" xfId="7763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2 2 2" xfId="7780"/>
    <cellStyle name="40% - Accent1 4 2 2 3" xfId="7779"/>
    <cellStyle name="40% - Accent1 4 2 3" xfId="1388"/>
    <cellStyle name="40% - Accent1 4 2 3 2" xfId="1389"/>
    <cellStyle name="40% - Accent1 4 2 3 2 2" xfId="7782"/>
    <cellStyle name="40% - Accent1 4 2 3 3" xfId="7781"/>
    <cellStyle name="40% - Accent1 4 2 4" xfId="1390"/>
    <cellStyle name="40% - Accent1 4 2 4 2" xfId="1391"/>
    <cellStyle name="40% - Accent1 4 2 4 2 2" xfId="7784"/>
    <cellStyle name="40% - Accent1 4 2 4 3" xfId="7783"/>
    <cellStyle name="40% - Accent1 4 2 5" xfId="1392"/>
    <cellStyle name="40% - Accent1 4 2 5 2" xfId="7785"/>
    <cellStyle name="40% - Accent1 4 2 6" xfId="7778"/>
    <cellStyle name="40% - Accent1 4 2_ORACLE TRIAL BALANCE" xfId="1393"/>
    <cellStyle name="40% - Accent1 4 3" xfId="1394"/>
    <cellStyle name="40% - Accent1 4 3 2" xfId="1395"/>
    <cellStyle name="40% - Accent1 4 3 2 2" xfId="7787"/>
    <cellStyle name="40% - Accent1 4 3 3" xfId="7786"/>
    <cellStyle name="40% - Accent1 4 4" xfId="1396"/>
    <cellStyle name="40% - Accent1 4 4 2" xfId="1397"/>
    <cellStyle name="40% - Accent1 4 4 2 2" xfId="7789"/>
    <cellStyle name="40% - Accent1 4 4 3" xfId="7788"/>
    <cellStyle name="40% - Accent1 4 5" xfId="1398"/>
    <cellStyle name="40% - Accent1 4 5 2" xfId="1399"/>
    <cellStyle name="40% - Accent1 4 5 2 2" xfId="7791"/>
    <cellStyle name="40% - Accent1 4 5 3" xfId="7790"/>
    <cellStyle name="40% - Accent1 4 6" xfId="1400"/>
    <cellStyle name="40% - Accent1 4 6 2" xfId="7792"/>
    <cellStyle name="40% - Accent1 4 7" xfId="7777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2 2 2" xfId="7796"/>
    <cellStyle name="40% - Accent1 5 2 2 3" xfId="7795"/>
    <cellStyle name="40% - Accent1 5 2 3" xfId="1406"/>
    <cellStyle name="40% - Accent1 5 2 3 2" xfId="1407"/>
    <cellStyle name="40% - Accent1 5 2 3 2 2" xfId="7798"/>
    <cellStyle name="40% - Accent1 5 2 3 3" xfId="7797"/>
    <cellStyle name="40% - Accent1 5 2 4" xfId="1408"/>
    <cellStyle name="40% - Accent1 5 2 4 2" xfId="1409"/>
    <cellStyle name="40% - Accent1 5 2 4 2 2" xfId="7800"/>
    <cellStyle name="40% - Accent1 5 2 4 3" xfId="7799"/>
    <cellStyle name="40% - Accent1 5 2 5" xfId="1410"/>
    <cellStyle name="40% - Accent1 5 2 5 2" xfId="7801"/>
    <cellStyle name="40% - Accent1 5 2 6" xfId="7794"/>
    <cellStyle name="40% - Accent1 5 2_ORACLE TRIAL BALANCE" xfId="1411"/>
    <cellStyle name="40% - Accent1 5 3" xfId="1412"/>
    <cellStyle name="40% - Accent1 5 3 2" xfId="1413"/>
    <cellStyle name="40% - Accent1 5 3 2 2" xfId="7803"/>
    <cellStyle name="40% - Accent1 5 3 3" xfId="7802"/>
    <cellStyle name="40% - Accent1 5 4" xfId="1414"/>
    <cellStyle name="40% - Accent1 5 4 2" xfId="1415"/>
    <cellStyle name="40% - Accent1 5 4 2 2" xfId="7805"/>
    <cellStyle name="40% - Accent1 5 4 3" xfId="7804"/>
    <cellStyle name="40% - Accent1 5 5" xfId="1416"/>
    <cellStyle name="40% - Accent1 5 5 2" xfId="1417"/>
    <cellStyle name="40% - Accent1 5 5 2 2" xfId="7807"/>
    <cellStyle name="40% - Accent1 5 5 3" xfId="7806"/>
    <cellStyle name="40% - Accent1 5 6" xfId="1418"/>
    <cellStyle name="40% - Accent1 5 6 2" xfId="7808"/>
    <cellStyle name="40% - Accent1 5 7" xfId="7793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2 2 2" xfId="7812"/>
    <cellStyle name="40% - Accent1 6 2 2 3" xfId="7811"/>
    <cellStyle name="40% - Accent1 6 2 3" xfId="1424"/>
    <cellStyle name="40% - Accent1 6 2 3 2" xfId="1425"/>
    <cellStyle name="40% - Accent1 6 2 3 2 2" xfId="7814"/>
    <cellStyle name="40% - Accent1 6 2 3 3" xfId="7813"/>
    <cellStyle name="40% - Accent1 6 2 4" xfId="1426"/>
    <cellStyle name="40% - Accent1 6 2 4 2" xfId="1427"/>
    <cellStyle name="40% - Accent1 6 2 4 2 2" xfId="7816"/>
    <cellStyle name="40% - Accent1 6 2 4 3" xfId="7815"/>
    <cellStyle name="40% - Accent1 6 2 5" xfId="1428"/>
    <cellStyle name="40% - Accent1 6 2 5 2" xfId="7817"/>
    <cellStyle name="40% - Accent1 6 2 6" xfId="7810"/>
    <cellStyle name="40% - Accent1 6 2_ORACLE TRIAL BALANCE" xfId="1429"/>
    <cellStyle name="40% - Accent1 6 3" xfId="1430"/>
    <cellStyle name="40% - Accent1 6 3 2" xfId="1431"/>
    <cellStyle name="40% - Accent1 6 3 2 2" xfId="7819"/>
    <cellStyle name="40% - Accent1 6 3 3" xfId="7818"/>
    <cellStyle name="40% - Accent1 6 4" xfId="1432"/>
    <cellStyle name="40% - Accent1 6 4 2" xfId="1433"/>
    <cellStyle name="40% - Accent1 6 4 2 2" xfId="7821"/>
    <cellStyle name="40% - Accent1 6 4 3" xfId="7820"/>
    <cellStyle name="40% - Accent1 6 5" xfId="1434"/>
    <cellStyle name="40% - Accent1 6 5 2" xfId="1435"/>
    <cellStyle name="40% - Accent1 6 5 2 2" xfId="7823"/>
    <cellStyle name="40% - Accent1 6 5 3" xfId="7822"/>
    <cellStyle name="40% - Accent1 6 6" xfId="1436"/>
    <cellStyle name="40% - Accent1 6 6 2" xfId="7824"/>
    <cellStyle name="40% - Accent1 6 7" xfId="7809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2 2 2" xfId="7828"/>
    <cellStyle name="40% - Accent1 7 2 2 3" xfId="7827"/>
    <cellStyle name="40% - Accent1 7 2 3" xfId="1442"/>
    <cellStyle name="40% - Accent1 7 2 3 2" xfId="1443"/>
    <cellStyle name="40% - Accent1 7 2 3 2 2" xfId="7830"/>
    <cellStyle name="40% - Accent1 7 2 3 3" xfId="7829"/>
    <cellStyle name="40% - Accent1 7 2 4" xfId="1444"/>
    <cellStyle name="40% - Accent1 7 2 4 2" xfId="1445"/>
    <cellStyle name="40% - Accent1 7 2 4 2 2" xfId="7832"/>
    <cellStyle name="40% - Accent1 7 2 4 3" xfId="7831"/>
    <cellStyle name="40% - Accent1 7 2 5" xfId="1446"/>
    <cellStyle name="40% - Accent1 7 2 5 2" xfId="7833"/>
    <cellStyle name="40% - Accent1 7 2 6" xfId="7826"/>
    <cellStyle name="40% - Accent1 7 2_ORACLE TRIAL BALANCE" xfId="1447"/>
    <cellStyle name="40% - Accent1 7 3" xfId="1448"/>
    <cellStyle name="40% - Accent1 7 3 2" xfId="1449"/>
    <cellStyle name="40% - Accent1 7 3 2 2" xfId="7835"/>
    <cellStyle name="40% - Accent1 7 3 3" xfId="7834"/>
    <cellStyle name="40% - Accent1 7 4" xfId="1450"/>
    <cellStyle name="40% - Accent1 7 4 2" xfId="1451"/>
    <cellStyle name="40% - Accent1 7 4 2 2" xfId="7837"/>
    <cellStyle name="40% - Accent1 7 4 3" xfId="7836"/>
    <cellStyle name="40% - Accent1 7 5" xfId="1452"/>
    <cellStyle name="40% - Accent1 7 5 2" xfId="1453"/>
    <cellStyle name="40% - Accent1 7 5 2 2" xfId="7839"/>
    <cellStyle name="40% - Accent1 7 5 3" xfId="7838"/>
    <cellStyle name="40% - Accent1 7 6" xfId="1454"/>
    <cellStyle name="40% - Accent1 7 6 2" xfId="7840"/>
    <cellStyle name="40% - Accent1 7 7" xfId="7825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2 2 2" xfId="7844"/>
    <cellStyle name="40% - Accent1 8 2 2 3" xfId="7843"/>
    <cellStyle name="40% - Accent1 8 2 3" xfId="1460"/>
    <cellStyle name="40% - Accent1 8 2 3 2" xfId="1461"/>
    <cellStyle name="40% - Accent1 8 2 3 2 2" xfId="7846"/>
    <cellStyle name="40% - Accent1 8 2 3 3" xfId="7845"/>
    <cellStyle name="40% - Accent1 8 2 4" xfId="1462"/>
    <cellStyle name="40% - Accent1 8 2 4 2" xfId="1463"/>
    <cellStyle name="40% - Accent1 8 2 4 2 2" xfId="7848"/>
    <cellStyle name="40% - Accent1 8 2 4 3" xfId="7847"/>
    <cellStyle name="40% - Accent1 8 2 5" xfId="1464"/>
    <cellStyle name="40% - Accent1 8 2 5 2" xfId="7849"/>
    <cellStyle name="40% - Accent1 8 2 6" xfId="7842"/>
    <cellStyle name="40% - Accent1 8 2_ORACLE TRIAL BALANCE" xfId="1465"/>
    <cellStyle name="40% - Accent1 8 3" xfId="1466"/>
    <cellStyle name="40% - Accent1 8 3 2" xfId="1467"/>
    <cellStyle name="40% - Accent1 8 3 2 2" xfId="7851"/>
    <cellStyle name="40% - Accent1 8 3 3" xfId="7850"/>
    <cellStyle name="40% - Accent1 8 4" xfId="1468"/>
    <cellStyle name="40% - Accent1 8 4 2" xfId="1469"/>
    <cellStyle name="40% - Accent1 8 4 2 2" xfId="7853"/>
    <cellStyle name="40% - Accent1 8 4 3" xfId="7852"/>
    <cellStyle name="40% - Accent1 8 5" xfId="1470"/>
    <cellStyle name="40% - Accent1 8 5 2" xfId="1471"/>
    <cellStyle name="40% - Accent1 8 5 2 2" xfId="7855"/>
    <cellStyle name="40% - Accent1 8 5 3" xfId="7854"/>
    <cellStyle name="40% - Accent1 8 6" xfId="1472"/>
    <cellStyle name="40% - Accent1 8 6 2" xfId="7856"/>
    <cellStyle name="40% - Accent1 8 7" xfId="7841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2 2 2" xfId="7860"/>
    <cellStyle name="40% - Accent1 9 2 2 3" xfId="7859"/>
    <cellStyle name="40% - Accent1 9 2 3" xfId="1478"/>
    <cellStyle name="40% - Accent1 9 2 3 2" xfId="1479"/>
    <cellStyle name="40% - Accent1 9 2 3 2 2" xfId="7862"/>
    <cellStyle name="40% - Accent1 9 2 3 3" xfId="7861"/>
    <cellStyle name="40% - Accent1 9 2 4" xfId="1480"/>
    <cellStyle name="40% - Accent1 9 2 4 2" xfId="1481"/>
    <cellStyle name="40% - Accent1 9 2 4 2 2" xfId="7864"/>
    <cellStyle name="40% - Accent1 9 2 4 3" xfId="7863"/>
    <cellStyle name="40% - Accent1 9 2 5" xfId="1482"/>
    <cellStyle name="40% - Accent1 9 2 5 2" xfId="7865"/>
    <cellStyle name="40% - Accent1 9 2 6" xfId="7858"/>
    <cellStyle name="40% - Accent1 9 2_ORACLE TRIAL BALANCE" xfId="1483"/>
    <cellStyle name="40% - Accent1 9 3" xfId="1484"/>
    <cellStyle name="40% - Accent1 9 3 2" xfId="1485"/>
    <cellStyle name="40% - Accent1 9 3 2 2" xfId="7867"/>
    <cellStyle name="40% - Accent1 9 3 3" xfId="7866"/>
    <cellStyle name="40% - Accent1 9 4" xfId="1486"/>
    <cellStyle name="40% - Accent1 9 4 2" xfId="1487"/>
    <cellStyle name="40% - Accent1 9 4 2 2" xfId="7869"/>
    <cellStyle name="40% - Accent1 9 4 3" xfId="7868"/>
    <cellStyle name="40% - Accent1 9 5" xfId="1488"/>
    <cellStyle name="40% - Accent1 9 5 2" xfId="1489"/>
    <cellStyle name="40% - Accent1 9 5 2 2" xfId="7871"/>
    <cellStyle name="40% - Accent1 9 5 3" xfId="7870"/>
    <cellStyle name="40% - Accent1 9 6" xfId="1490"/>
    <cellStyle name="40% - Accent1 9 6 2" xfId="7872"/>
    <cellStyle name="40% - Accent1 9 7" xfId="7857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2 2 2" xfId="7876"/>
    <cellStyle name="40% - Accent2 10 2 2 3" xfId="7875"/>
    <cellStyle name="40% - Accent2 10 2 3" xfId="1496"/>
    <cellStyle name="40% - Accent2 10 2 3 2" xfId="1497"/>
    <cellStyle name="40% - Accent2 10 2 3 2 2" xfId="7878"/>
    <cellStyle name="40% - Accent2 10 2 3 3" xfId="7877"/>
    <cellStyle name="40% - Accent2 10 2 4" xfId="1498"/>
    <cellStyle name="40% - Accent2 10 2 4 2" xfId="1499"/>
    <cellStyle name="40% - Accent2 10 2 4 2 2" xfId="7880"/>
    <cellStyle name="40% - Accent2 10 2 4 3" xfId="7879"/>
    <cellStyle name="40% - Accent2 10 2 5" xfId="1500"/>
    <cellStyle name="40% - Accent2 10 2 5 2" xfId="7881"/>
    <cellStyle name="40% - Accent2 10 2 6" xfId="7874"/>
    <cellStyle name="40% - Accent2 10 2_ORACLE TRIAL BALANCE" xfId="1501"/>
    <cellStyle name="40% - Accent2 10 3" xfId="1502"/>
    <cellStyle name="40% - Accent2 10 3 2" xfId="1503"/>
    <cellStyle name="40% - Accent2 10 3 2 2" xfId="7883"/>
    <cellStyle name="40% - Accent2 10 3 3" xfId="7882"/>
    <cellStyle name="40% - Accent2 10 4" xfId="1504"/>
    <cellStyle name="40% - Accent2 10 4 2" xfId="1505"/>
    <cellStyle name="40% - Accent2 10 4 2 2" xfId="7885"/>
    <cellStyle name="40% - Accent2 10 4 3" xfId="7884"/>
    <cellStyle name="40% - Accent2 10 5" xfId="1506"/>
    <cellStyle name="40% - Accent2 10 5 2" xfId="1507"/>
    <cellStyle name="40% - Accent2 10 5 2 2" xfId="7887"/>
    <cellStyle name="40% - Accent2 10 5 3" xfId="7886"/>
    <cellStyle name="40% - Accent2 10 6" xfId="1508"/>
    <cellStyle name="40% - Accent2 10 6 2" xfId="7888"/>
    <cellStyle name="40% - Accent2 10 7" xfId="7873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2 2 2" xfId="7891"/>
    <cellStyle name="40% - Accent2 11 2 3" xfId="7890"/>
    <cellStyle name="40% - Accent2 11 3" xfId="1513"/>
    <cellStyle name="40% - Accent2 11 3 2" xfId="1514"/>
    <cellStyle name="40% - Accent2 11 3 2 2" xfId="7893"/>
    <cellStyle name="40% - Accent2 11 3 3" xfId="7892"/>
    <cellStyle name="40% - Accent2 11 4" xfId="1515"/>
    <cellStyle name="40% - Accent2 11 4 2" xfId="1516"/>
    <cellStyle name="40% - Accent2 11 4 2 2" xfId="7895"/>
    <cellStyle name="40% - Accent2 11 4 3" xfId="7894"/>
    <cellStyle name="40% - Accent2 11 5" xfId="1517"/>
    <cellStyle name="40% - Accent2 11 5 2" xfId="7896"/>
    <cellStyle name="40% - Accent2 11 6" xfId="7889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2 2 2" xfId="7900"/>
    <cellStyle name="40% - Accent2 2 2 2 3" xfId="7899"/>
    <cellStyle name="40% - Accent2 2 2 3" xfId="1527"/>
    <cellStyle name="40% - Accent2 2 2 3 2" xfId="1528"/>
    <cellStyle name="40% - Accent2 2 2 3 2 2" xfId="7902"/>
    <cellStyle name="40% - Accent2 2 2 3 3" xfId="7901"/>
    <cellStyle name="40% - Accent2 2 2 4" xfId="1529"/>
    <cellStyle name="40% - Accent2 2 2 4 2" xfId="1530"/>
    <cellStyle name="40% - Accent2 2 2 4 2 2" xfId="7904"/>
    <cellStyle name="40% - Accent2 2 2 4 3" xfId="7903"/>
    <cellStyle name="40% - Accent2 2 2 5" xfId="1531"/>
    <cellStyle name="40% - Accent2 2 2 5 2" xfId="1532"/>
    <cellStyle name="40% - Accent2 2 2 5 2 2" xfId="7906"/>
    <cellStyle name="40% - Accent2 2 2 5 3" xfId="7905"/>
    <cellStyle name="40% - Accent2 2 2 6" xfId="1533"/>
    <cellStyle name="40% - Accent2 2 2 6 2" xfId="7907"/>
    <cellStyle name="40% - Accent2 2 2 7" xfId="7898"/>
    <cellStyle name="40% - Accent2 2 2_ORACLE TRIAL BALANCE" xfId="1534"/>
    <cellStyle name="40% - Accent2 2 3" xfId="1535"/>
    <cellStyle name="40% - Accent2 2 3 2" xfId="1536"/>
    <cellStyle name="40% - Accent2 2 3 2 2" xfId="7909"/>
    <cellStyle name="40% - Accent2 2 3 3" xfId="7908"/>
    <cellStyle name="40% - Accent2 2 4" xfId="1537"/>
    <cellStyle name="40% - Accent2 2 4 2" xfId="1538"/>
    <cellStyle name="40% - Accent2 2 4 2 2" xfId="7911"/>
    <cellStyle name="40% - Accent2 2 4 3" xfId="7910"/>
    <cellStyle name="40% - Accent2 2 5" xfId="1539"/>
    <cellStyle name="40% - Accent2 2 5 2" xfId="1540"/>
    <cellStyle name="40% - Accent2 2 5 2 2" xfId="7913"/>
    <cellStyle name="40% - Accent2 2 5 3" xfId="7912"/>
    <cellStyle name="40% - Accent2 2 6" xfId="1541"/>
    <cellStyle name="40% - Accent2 2 6 2" xfId="1542"/>
    <cellStyle name="40% - Accent2 2 6 2 2" xfId="7915"/>
    <cellStyle name="40% - Accent2 2 6 3" xfId="7914"/>
    <cellStyle name="40% - Accent2 2 7" xfId="1543"/>
    <cellStyle name="40% - Accent2 2 7 2" xfId="7916"/>
    <cellStyle name="40% - Accent2 2 8" xfId="1523"/>
    <cellStyle name="40% - Accent2 2 8 2" xfId="7897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2 2 2" xfId="7920"/>
    <cellStyle name="40% - Accent2 3 2 2 3" xfId="7919"/>
    <cellStyle name="40% - Accent2 3 2 3" xfId="1549"/>
    <cellStyle name="40% - Accent2 3 2 3 2" xfId="1550"/>
    <cellStyle name="40% - Accent2 3 2 3 2 2" xfId="7922"/>
    <cellStyle name="40% - Accent2 3 2 3 3" xfId="7921"/>
    <cellStyle name="40% - Accent2 3 2 4" xfId="1551"/>
    <cellStyle name="40% - Accent2 3 2 4 2" xfId="1552"/>
    <cellStyle name="40% - Accent2 3 2 4 2 2" xfId="7924"/>
    <cellStyle name="40% - Accent2 3 2 4 3" xfId="7923"/>
    <cellStyle name="40% - Accent2 3 2 5" xfId="1553"/>
    <cellStyle name="40% - Accent2 3 2 5 2" xfId="7925"/>
    <cellStyle name="40% - Accent2 3 2 6" xfId="7918"/>
    <cellStyle name="40% - Accent2 3 2_ORACLE TRIAL BALANCE" xfId="1554"/>
    <cellStyle name="40% - Accent2 3 3" xfId="1555"/>
    <cellStyle name="40% - Accent2 3 3 2" xfId="1556"/>
    <cellStyle name="40% - Accent2 3 3 2 2" xfId="7927"/>
    <cellStyle name="40% - Accent2 3 3 3" xfId="7926"/>
    <cellStyle name="40% - Accent2 3 4" xfId="1557"/>
    <cellStyle name="40% - Accent2 3 4 2" xfId="1558"/>
    <cellStyle name="40% - Accent2 3 4 2 2" xfId="7929"/>
    <cellStyle name="40% - Accent2 3 4 3" xfId="7928"/>
    <cellStyle name="40% - Accent2 3 5" xfId="1559"/>
    <cellStyle name="40% - Accent2 3 6" xfId="1560"/>
    <cellStyle name="40% - Accent2 3 7" xfId="1561"/>
    <cellStyle name="40% - Accent2 3 8" xfId="1562"/>
    <cellStyle name="40% - Accent2 3 8 2" xfId="7930"/>
    <cellStyle name="40% - Accent2 3 9" xfId="7917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2 2 2" xfId="7934"/>
    <cellStyle name="40% - Accent2 4 2 2 3" xfId="7933"/>
    <cellStyle name="40% - Accent2 4 2 3" xfId="1568"/>
    <cellStyle name="40% - Accent2 4 2 3 2" xfId="1569"/>
    <cellStyle name="40% - Accent2 4 2 3 2 2" xfId="7936"/>
    <cellStyle name="40% - Accent2 4 2 3 3" xfId="7935"/>
    <cellStyle name="40% - Accent2 4 2 4" xfId="1570"/>
    <cellStyle name="40% - Accent2 4 2 4 2" xfId="1571"/>
    <cellStyle name="40% - Accent2 4 2 4 2 2" xfId="7938"/>
    <cellStyle name="40% - Accent2 4 2 4 3" xfId="7937"/>
    <cellStyle name="40% - Accent2 4 2 5" xfId="1572"/>
    <cellStyle name="40% - Accent2 4 2 5 2" xfId="7939"/>
    <cellStyle name="40% - Accent2 4 2 6" xfId="7932"/>
    <cellStyle name="40% - Accent2 4 2_ORACLE TRIAL BALANCE" xfId="1573"/>
    <cellStyle name="40% - Accent2 4 3" xfId="1574"/>
    <cellStyle name="40% - Accent2 4 3 2" xfId="1575"/>
    <cellStyle name="40% - Accent2 4 3 2 2" xfId="7941"/>
    <cellStyle name="40% - Accent2 4 3 3" xfId="7940"/>
    <cellStyle name="40% - Accent2 4 4" xfId="1576"/>
    <cellStyle name="40% - Accent2 4 4 2" xfId="1577"/>
    <cellStyle name="40% - Accent2 4 4 2 2" xfId="7943"/>
    <cellStyle name="40% - Accent2 4 4 3" xfId="7942"/>
    <cellStyle name="40% - Accent2 4 5" xfId="1578"/>
    <cellStyle name="40% - Accent2 4 5 2" xfId="1579"/>
    <cellStyle name="40% - Accent2 4 5 2 2" xfId="7945"/>
    <cellStyle name="40% - Accent2 4 5 3" xfId="7944"/>
    <cellStyle name="40% - Accent2 4 6" xfId="1580"/>
    <cellStyle name="40% - Accent2 4 6 2" xfId="7946"/>
    <cellStyle name="40% - Accent2 4 7" xfId="7931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2 2 2" xfId="7950"/>
    <cellStyle name="40% - Accent2 5 2 2 3" xfId="7949"/>
    <cellStyle name="40% - Accent2 5 2 3" xfId="1586"/>
    <cellStyle name="40% - Accent2 5 2 3 2" xfId="1587"/>
    <cellStyle name="40% - Accent2 5 2 3 2 2" xfId="7952"/>
    <cellStyle name="40% - Accent2 5 2 3 3" xfId="7951"/>
    <cellStyle name="40% - Accent2 5 2 4" xfId="1588"/>
    <cellStyle name="40% - Accent2 5 2 4 2" xfId="1589"/>
    <cellStyle name="40% - Accent2 5 2 4 2 2" xfId="7954"/>
    <cellStyle name="40% - Accent2 5 2 4 3" xfId="7953"/>
    <cellStyle name="40% - Accent2 5 2 5" xfId="1590"/>
    <cellStyle name="40% - Accent2 5 2 5 2" xfId="7955"/>
    <cellStyle name="40% - Accent2 5 2 6" xfId="7948"/>
    <cellStyle name="40% - Accent2 5 2_ORACLE TRIAL BALANCE" xfId="1591"/>
    <cellStyle name="40% - Accent2 5 3" xfId="1592"/>
    <cellStyle name="40% - Accent2 5 3 2" xfId="1593"/>
    <cellStyle name="40% - Accent2 5 3 2 2" xfId="7957"/>
    <cellStyle name="40% - Accent2 5 3 3" xfId="7956"/>
    <cellStyle name="40% - Accent2 5 4" xfId="1594"/>
    <cellStyle name="40% - Accent2 5 4 2" xfId="1595"/>
    <cellStyle name="40% - Accent2 5 4 2 2" xfId="7959"/>
    <cellStyle name="40% - Accent2 5 4 3" xfId="7958"/>
    <cellStyle name="40% - Accent2 5 5" xfId="1596"/>
    <cellStyle name="40% - Accent2 5 5 2" xfId="1597"/>
    <cellStyle name="40% - Accent2 5 5 2 2" xfId="7961"/>
    <cellStyle name="40% - Accent2 5 5 3" xfId="7960"/>
    <cellStyle name="40% - Accent2 5 6" xfId="1598"/>
    <cellStyle name="40% - Accent2 5 6 2" xfId="7962"/>
    <cellStyle name="40% - Accent2 5 7" xfId="7947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2 2 2" xfId="7966"/>
    <cellStyle name="40% - Accent2 6 2 2 3" xfId="7965"/>
    <cellStyle name="40% - Accent2 6 2 3" xfId="1604"/>
    <cellStyle name="40% - Accent2 6 2 3 2" xfId="1605"/>
    <cellStyle name="40% - Accent2 6 2 3 2 2" xfId="7968"/>
    <cellStyle name="40% - Accent2 6 2 3 3" xfId="7967"/>
    <cellStyle name="40% - Accent2 6 2 4" xfId="1606"/>
    <cellStyle name="40% - Accent2 6 2 4 2" xfId="1607"/>
    <cellStyle name="40% - Accent2 6 2 4 2 2" xfId="7970"/>
    <cellStyle name="40% - Accent2 6 2 4 3" xfId="7969"/>
    <cellStyle name="40% - Accent2 6 2 5" xfId="1608"/>
    <cellStyle name="40% - Accent2 6 2 5 2" xfId="7971"/>
    <cellStyle name="40% - Accent2 6 2 6" xfId="7964"/>
    <cellStyle name="40% - Accent2 6 2_ORACLE TRIAL BALANCE" xfId="1609"/>
    <cellStyle name="40% - Accent2 6 3" xfId="1610"/>
    <cellStyle name="40% - Accent2 6 3 2" xfId="1611"/>
    <cellStyle name="40% - Accent2 6 3 2 2" xfId="7973"/>
    <cellStyle name="40% - Accent2 6 3 3" xfId="7972"/>
    <cellStyle name="40% - Accent2 6 4" xfId="1612"/>
    <cellStyle name="40% - Accent2 6 4 2" xfId="1613"/>
    <cellStyle name="40% - Accent2 6 4 2 2" xfId="7975"/>
    <cellStyle name="40% - Accent2 6 4 3" xfId="7974"/>
    <cellStyle name="40% - Accent2 6 5" xfId="1614"/>
    <cellStyle name="40% - Accent2 6 5 2" xfId="1615"/>
    <cellStyle name="40% - Accent2 6 5 2 2" xfId="7977"/>
    <cellStyle name="40% - Accent2 6 5 3" xfId="7976"/>
    <cellStyle name="40% - Accent2 6 6" xfId="1616"/>
    <cellStyle name="40% - Accent2 6 6 2" xfId="7978"/>
    <cellStyle name="40% - Accent2 6 7" xfId="7963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2 2 2" xfId="7982"/>
    <cellStyle name="40% - Accent2 7 2 2 3" xfId="7981"/>
    <cellStyle name="40% - Accent2 7 2 3" xfId="1622"/>
    <cellStyle name="40% - Accent2 7 2 3 2" xfId="1623"/>
    <cellStyle name="40% - Accent2 7 2 3 2 2" xfId="7984"/>
    <cellStyle name="40% - Accent2 7 2 3 3" xfId="7983"/>
    <cellStyle name="40% - Accent2 7 2 4" xfId="1624"/>
    <cellStyle name="40% - Accent2 7 2 4 2" xfId="1625"/>
    <cellStyle name="40% - Accent2 7 2 4 2 2" xfId="7986"/>
    <cellStyle name="40% - Accent2 7 2 4 3" xfId="7985"/>
    <cellStyle name="40% - Accent2 7 2 5" xfId="1626"/>
    <cellStyle name="40% - Accent2 7 2 5 2" xfId="7987"/>
    <cellStyle name="40% - Accent2 7 2 6" xfId="7980"/>
    <cellStyle name="40% - Accent2 7 2_ORACLE TRIAL BALANCE" xfId="1627"/>
    <cellStyle name="40% - Accent2 7 3" xfId="1628"/>
    <cellStyle name="40% - Accent2 7 3 2" xfId="1629"/>
    <cellStyle name="40% - Accent2 7 3 2 2" xfId="7989"/>
    <cellStyle name="40% - Accent2 7 3 3" xfId="7988"/>
    <cellStyle name="40% - Accent2 7 4" xfId="1630"/>
    <cellStyle name="40% - Accent2 7 4 2" xfId="1631"/>
    <cellStyle name="40% - Accent2 7 4 2 2" xfId="7991"/>
    <cellStyle name="40% - Accent2 7 4 3" xfId="7990"/>
    <cellStyle name="40% - Accent2 7 5" xfId="1632"/>
    <cellStyle name="40% - Accent2 7 5 2" xfId="1633"/>
    <cellStyle name="40% - Accent2 7 5 2 2" xfId="7993"/>
    <cellStyle name="40% - Accent2 7 5 3" xfId="7992"/>
    <cellStyle name="40% - Accent2 7 6" xfId="1634"/>
    <cellStyle name="40% - Accent2 7 6 2" xfId="7994"/>
    <cellStyle name="40% - Accent2 7 7" xfId="7979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2 2 2" xfId="7998"/>
    <cellStyle name="40% - Accent2 8 2 2 3" xfId="7997"/>
    <cellStyle name="40% - Accent2 8 2 3" xfId="1640"/>
    <cellStyle name="40% - Accent2 8 2 3 2" xfId="1641"/>
    <cellStyle name="40% - Accent2 8 2 3 2 2" xfId="8000"/>
    <cellStyle name="40% - Accent2 8 2 3 3" xfId="7999"/>
    <cellStyle name="40% - Accent2 8 2 4" xfId="1642"/>
    <cellStyle name="40% - Accent2 8 2 4 2" xfId="1643"/>
    <cellStyle name="40% - Accent2 8 2 4 2 2" xfId="8002"/>
    <cellStyle name="40% - Accent2 8 2 4 3" xfId="8001"/>
    <cellStyle name="40% - Accent2 8 2 5" xfId="1644"/>
    <cellStyle name="40% - Accent2 8 2 5 2" xfId="8003"/>
    <cellStyle name="40% - Accent2 8 2 6" xfId="7996"/>
    <cellStyle name="40% - Accent2 8 2_ORACLE TRIAL BALANCE" xfId="1645"/>
    <cellStyle name="40% - Accent2 8 3" xfId="1646"/>
    <cellStyle name="40% - Accent2 8 3 2" xfId="1647"/>
    <cellStyle name="40% - Accent2 8 3 2 2" xfId="8005"/>
    <cellStyle name="40% - Accent2 8 3 3" xfId="8004"/>
    <cellStyle name="40% - Accent2 8 4" xfId="1648"/>
    <cellStyle name="40% - Accent2 8 4 2" xfId="1649"/>
    <cellStyle name="40% - Accent2 8 4 2 2" xfId="8007"/>
    <cellStyle name="40% - Accent2 8 4 3" xfId="8006"/>
    <cellStyle name="40% - Accent2 8 5" xfId="1650"/>
    <cellStyle name="40% - Accent2 8 5 2" xfId="1651"/>
    <cellStyle name="40% - Accent2 8 5 2 2" xfId="8009"/>
    <cellStyle name="40% - Accent2 8 5 3" xfId="8008"/>
    <cellStyle name="40% - Accent2 8 6" xfId="1652"/>
    <cellStyle name="40% - Accent2 8 6 2" xfId="8010"/>
    <cellStyle name="40% - Accent2 8 7" xfId="7995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2 2 2" xfId="8014"/>
    <cellStyle name="40% - Accent2 9 2 2 3" xfId="8013"/>
    <cellStyle name="40% - Accent2 9 2 3" xfId="1658"/>
    <cellStyle name="40% - Accent2 9 2 3 2" xfId="1659"/>
    <cellStyle name="40% - Accent2 9 2 3 2 2" xfId="8016"/>
    <cellStyle name="40% - Accent2 9 2 3 3" xfId="8015"/>
    <cellStyle name="40% - Accent2 9 2 4" xfId="1660"/>
    <cellStyle name="40% - Accent2 9 2 4 2" xfId="1661"/>
    <cellStyle name="40% - Accent2 9 2 4 2 2" xfId="8018"/>
    <cellStyle name="40% - Accent2 9 2 4 3" xfId="8017"/>
    <cellStyle name="40% - Accent2 9 2 5" xfId="1662"/>
    <cellStyle name="40% - Accent2 9 2 5 2" xfId="8019"/>
    <cellStyle name="40% - Accent2 9 2 6" xfId="8012"/>
    <cellStyle name="40% - Accent2 9 2_ORACLE TRIAL BALANCE" xfId="1663"/>
    <cellStyle name="40% - Accent2 9 3" xfId="1664"/>
    <cellStyle name="40% - Accent2 9 3 2" xfId="1665"/>
    <cellStyle name="40% - Accent2 9 3 2 2" xfId="8021"/>
    <cellStyle name="40% - Accent2 9 3 3" xfId="8020"/>
    <cellStyle name="40% - Accent2 9 4" xfId="1666"/>
    <cellStyle name="40% - Accent2 9 4 2" xfId="1667"/>
    <cellStyle name="40% - Accent2 9 4 2 2" xfId="8023"/>
    <cellStyle name="40% - Accent2 9 4 3" xfId="8022"/>
    <cellStyle name="40% - Accent2 9 5" xfId="1668"/>
    <cellStyle name="40% - Accent2 9 5 2" xfId="1669"/>
    <cellStyle name="40% - Accent2 9 5 2 2" xfId="8025"/>
    <cellStyle name="40% - Accent2 9 5 3" xfId="8024"/>
    <cellStyle name="40% - Accent2 9 6" xfId="1670"/>
    <cellStyle name="40% - Accent2 9 6 2" xfId="8026"/>
    <cellStyle name="40% - Accent2 9 7" xfId="8011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2 2 2" xfId="8030"/>
    <cellStyle name="40% - Accent3 10 2 2 3" xfId="8029"/>
    <cellStyle name="40% - Accent3 10 2 3" xfId="1676"/>
    <cellStyle name="40% - Accent3 10 2 3 2" xfId="1677"/>
    <cellStyle name="40% - Accent3 10 2 3 2 2" xfId="8032"/>
    <cellStyle name="40% - Accent3 10 2 3 3" xfId="8031"/>
    <cellStyle name="40% - Accent3 10 2 4" xfId="1678"/>
    <cellStyle name="40% - Accent3 10 2 4 2" xfId="1679"/>
    <cellStyle name="40% - Accent3 10 2 4 2 2" xfId="8034"/>
    <cellStyle name="40% - Accent3 10 2 4 3" xfId="8033"/>
    <cellStyle name="40% - Accent3 10 2 5" xfId="1680"/>
    <cellStyle name="40% - Accent3 10 2 5 2" xfId="8035"/>
    <cellStyle name="40% - Accent3 10 2 6" xfId="8028"/>
    <cellStyle name="40% - Accent3 10 2_ORACLE TRIAL BALANCE" xfId="1681"/>
    <cellStyle name="40% - Accent3 10 3" xfId="1682"/>
    <cellStyle name="40% - Accent3 10 3 2" xfId="1683"/>
    <cellStyle name="40% - Accent3 10 3 2 2" xfId="8037"/>
    <cellStyle name="40% - Accent3 10 3 3" xfId="8036"/>
    <cellStyle name="40% - Accent3 10 4" xfId="1684"/>
    <cellStyle name="40% - Accent3 10 4 2" xfId="1685"/>
    <cellStyle name="40% - Accent3 10 4 2 2" xfId="8039"/>
    <cellStyle name="40% - Accent3 10 4 3" xfId="8038"/>
    <cellStyle name="40% - Accent3 10 5" xfId="1686"/>
    <cellStyle name="40% - Accent3 10 5 2" xfId="1687"/>
    <cellStyle name="40% - Accent3 10 5 2 2" xfId="8041"/>
    <cellStyle name="40% - Accent3 10 5 3" xfId="8040"/>
    <cellStyle name="40% - Accent3 10 6" xfId="1688"/>
    <cellStyle name="40% - Accent3 10 6 2" xfId="8042"/>
    <cellStyle name="40% - Accent3 10 7" xfId="8027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2 2 2" xfId="8045"/>
    <cellStyle name="40% - Accent3 11 2 3" xfId="8044"/>
    <cellStyle name="40% - Accent3 11 3" xfId="1693"/>
    <cellStyle name="40% - Accent3 11 3 2" xfId="1694"/>
    <cellStyle name="40% - Accent3 11 3 2 2" xfId="8047"/>
    <cellStyle name="40% - Accent3 11 3 3" xfId="8046"/>
    <cellStyle name="40% - Accent3 11 4" xfId="1695"/>
    <cellStyle name="40% - Accent3 11 4 2" xfId="1696"/>
    <cellStyle name="40% - Accent3 11 4 2 2" xfId="8049"/>
    <cellStyle name="40% - Accent3 11 4 3" xfId="8048"/>
    <cellStyle name="40% - Accent3 11 5" xfId="1697"/>
    <cellStyle name="40% - Accent3 11 5 2" xfId="8050"/>
    <cellStyle name="40% - Accent3 11 6" xfId="8043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2 2 2" xfId="8054"/>
    <cellStyle name="40% - Accent3 2 2 2 3" xfId="8053"/>
    <cellStyle name="40% - Accent3 2 2 3" xfId="1707"/>
    <cellStyle name="40% - Accent3 2 2 3 2" xfId="1708"/>
    <cellStyle name="40% - Accent3 2 2 3 2 2" xfId="8056"/>
    <cellStyle name="40% - Accent3 2 2 3 3" xfId="8055"/>
    <cellStyle name="40% - Accent3 2 2 4" xfId="1709"/>
    <cellStyle name="40% - Accent3 2 2 4 2" xfId="1710"/>
    <cellStyle name="40% - Accent3 2 2 4 2 2" xfId="8058"/>
    <cellStyle name="40% - Accent3 2 2 4 3" xfId="8057"/>
    <cellStyle name="40% - Accent3 2 2 5" xfId="1711"/>
    <cellStyle name="40% - Accent3 2 2 5 2" xfId="1712"/>
    <cellStyle name="40% - Accent3 2 2 5 2 2" xfId="8060"/>
    <cellStyle name="40% - Accent3 2 2 5 3" xfId="8059"/>
    <cellStyle name="40% - Accent3 2 2 6" xfId="1713"/>
    <cellStyle name="40% - Accent3 2 2 6 2" xfId="8061"/>
    <cellStyle name="40% - Accent3 2 2 7" xfId="8052"/>
    <cellStyle name="40% - Accent3 2 2_ORACLE TRIAL BALANCE" xfId="1714"/>
    <cellStyle name="40% - Accent3 2 3" xfId="1715"/>
    <cellStyle name="40% - Accent3 2 3 2" xfId="1716"/>
    <cellStyle name="40% - Accent3 2 3 2 2" xfId="8063"/>
    <cellStyle name="40% - Accent3 2 3 3" xfId="8062"/>
    <cellStyle name="40% - Accent3 2 4" xfId="1717"/>
    <cellStyle name="40% - Accent3 2 4 2" xfId="1718"/>
    <cellStyle name="40% - Accent3 2 4 2 2" xfId="8065"/>
    <cellStyle name="40% - Accent3 2 4 3" xfId="8064"/>
    <cellStyle name="40% - Accent3 2 5" xfId="1719"/>
    <cellStyle name="40% - Accent3 2 5 2" xfId="1720"/>
    <cellStyle name="40% - Accent3 2 5 2 2" xfId="8067"/>
    <cellStyle name="40% - Accent3 2 5 3" xfId="8066"/>
    <cellStyle name="40% - Accent3 2 6" xfId="1721"/>
    <cellStyle name="40% - Accent3 2 6 2" xfId="1722"/>
    <cellStyle name="40% - Accent3 2 6 2 2" xfId="8069"/>
    <cellStyle name="40% - Accent3 2 6 3" xfId="8068"/>
    <cellStyle name="40% - Accent3 2 7" xfId="1723"/>
    <cellStyle name="40% - Accent3 2 7 2" xfId="8070"/>
    <cellStyle name="40% - Accent3 2 8" xfId="1703"/>
    <cellStyle name="40% - Accent3 2 8 2" xfId="8051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2 2 2" xfId="8074"/>
    <cellStyle name="40% - Accent3 3 2 2 3" xfId="8073"/>
    <cellStyle name="40% - Accent3 3 2 3" xfId="1729"/>
    <cellStyle name="40% - Accent3 3 2 3 2" xfId="1730"/>
    <cellStyle name="40% - Accent3 3 2 3 2 2" xfId="8076"/>
    <cellStyle name="40% - Accent3 3 2 3 3" xfId="8075"/>
    <cellStyle name="40% - Accent3 3 2 4" xfId="1731"/>
    <cellStyle name="40% - Accent3 3 2 4 2" xfId="1732"/>
    <cellStyle name="40% - Accent3 3 2 4 2 2" xfId="8078"/>
    <cellStyle name="40% - Accent3 3 2 4 3" xfId="8077"/>
    <cellStyle name="40% - Accent3 3 2 5" xfId="1733"/>
    <cellStyle name="40% - Accent3 3 2 5 2" xfId="8079"/>
    <cellStyle name="40% - Accent3 3 2 6" xfId="8072"/>
    <cellStyle name="40% - Accent3 3 2_ORACLE TRIAL BALANCE" xfId="1734"/>
    <cellStyle name="40% - Accent3 3 3" xfId="1735"/>
    <cellStyle name="40% - Accent3 3 3 2" xfId="1736"/>
    <cellStyle name="40% - Accent3 3 3 2 2" xfId="8081"/>
    <cellStyle name="40% - Accent3 3 3 3" xfId="8080"/>
    <cellStyle name="40% - Accent3 3 4" xfId="1737"/>
    <cellStyle name="40% - Accent3 3 4 2" xfId="1738"/>
    <cellStyle name="40% - Accent3 3 4 2 2" xfId="8083"/>
    <cellStyle name="40% - Accent3 3 4 3" xfId="8082"/>
    <cellStyle name="40% - Accent3 3 5" xfId="1739"/>
    <cellStyle name="40% - Accent3 3 6" xfId="1740"/>
    <cellStyle name="40% - Accent3 3 7" xfId="1741"/>
    <cellStyle name="40% - Accent3 3 8" xfId="1742"/>
    <cellStyle name="40% - Accent3 3 8 2" xfId="8084"/>
    <cellStyle name="40% - Accent3 3 9" xfId="8071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2 2 2" xfId="8088"/>
    <cellStyle name="40% - Accent3 4 2 2 3" xfId="8087"/>
    <cellStyle name="40% - Accent3 4 2 3" xfId="1748"/>
    <cellStyle name="40% - Accent3 4 2 3 2" xfId="1749"/>
    <cellStyle name="40% - Accent3 4 2 3 2 2" xfId="8090"/>
    <cellStyle name="40% - Accent3 4 2 3 3" xfId="8089"/>
    <cellStyle name="40% - Accent3 4 2 4" xfId="1750"/>
    <cellStyle name="40% - Accent3 4 2 4 2" xfId="1751"/>
    <cellStyle name="40% - Accent3 4 2 4 2 2" xfId="8092"/>
    <cellStyle name="40% - Accent3 4 2 4 3" xfId="8091"/>
    <cellStyle name="40% - Accent3 4 2 5" xfId="1752"/>
    <cellStyle name="40% - Accent3 4 2 5 2" xfId="8093"/>
    <cellStyle name="40% - Accent3 4 2 6" xfId="8086"/>
    <cellStyle name="40% - Accent3 4 2_ORACLE TRIAL BALANCE" xfId="1753"/>
    <cellStyle name="40% - Accent3 4 3" xfId="1754"/>
    <cellStyle name="40% - Accent3 4 3 2" xfId="1755"/>
    <cellStyle name="40% - Accent3 4 3 2 2" xfId="8095"/>
    <cellStyle name="40% - Accent3 4 3 3" xfId="8094"/>
    <cellStyle name="40% - Accent3 4 4" xfId="1756"/>
    <cellStyle name="40% - Accent3 4 4 2" xfId="1757"/>
    <cellStyle name="40% - Accent3 4 4 2 2" xfId="8097"/>
    <cellStyle name="40% - Accent3 4 4 3" xfId="8096"/>
    <cellStyle name="40% - Accent3 4 5" xfId="1758"/>
    <cellStyle name="40% - Accent3 4 5 2" xfId="1759"/>
    <cellStyle name="40% - Accent3 4 5 2 2" xfId="8099"/>
    <cellStyle name="40% - Accent3 4 5 3" xfId="8098"/>
    <cellStyle name="40% - Accent3 4 6" xfId="1760"/>
    <cellStyle name="40% - Accent3 4 6 2" xfId="8100"/>
    <cellStyle name="40% - Accent3 4 7" xfId="8085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2 2 2" xfId="8104"/>
    <cellStyle name="40% - Accent3 5 2 2 3" xfId="8103"/>
    <cellStyle name="40% - Accent3 5 2 3" xfId="1766"/>
    <cellStyle name="40% - Accent3 5 2 3 2" xfId="1767"/>
    <cellStyle name="40% - Accent3 5 2 3 2 2" xfId="8106"/>
    <cellStyle name="40% - Accent3 5 2 3 3" xfId="8105"/>
    <cellStyle name="40% - Accent3 5 2 4" xfId="1768"/>
    <cellStyle name="40% - Accent3 5 2 4 2" xfId="1769"/>
    <cellStyle name="40% - Accent3 5 2 4 2 2" xfId="8108"/>
    <cellStyle name="40% - Accent3 5 2 4 3" xfId="8107"/>
    <cellStyle name="40% - Accent3 5 2 5" xfId="1770"/>
    <cellStyle name="40% - Accent3 5 2 5 2" xfId="8109"/>
    <cellStyle name="40% - Accent3 5 2 6" xfId="8102"/>
    <cellStyle name="40% - Accent3 5 2_ORACLE TRIAL BALANCE" xfId="1771"/>
    <cellStyle name="40% - Accent3 5 3" xfId="1772"/>
    <cellStyle name="40% - Accent3 5 3 2" xfId="1773"/>
    <cellStyle name="40% - Accent3 5 3 2 2" xfId="8111"/>
    <cellStyle name="40% - Accent3 5 3 3" xfId="8110"/>
    <cellStyle name="40% - Accent3 5 4" xfId="1774"/>
    <cellStyle name="40% - Accent3 5 4 2" xfId="1775"/>
    <cellStyle name="40% - Accent3 5 4 2 2" xfId="8113"/>
    <cellStyle name="40% - Accent3 5 4 3" xfId="8112"/>
    <cellStyle name="40% - Accent3 5 5" xfId="1776"/>
    <cellStyle name="40% - Accent3 5 5 2" xfId="1777"/>
    <cellStyle name="40% - Accent3 5 5 2 2" xfId="8115"/>
    <cellStyle name="40% - Accent3 5 5 3" xfId="8114"/>
    <cellStyle name="40% - Accent3 5 6" xfId="1778"/>
    <cellStyle name="40% - Accent3 5 6 2" xfId="8116"/>
    <cellStyle name="40% - Accent3 5 7" xfId="8101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2 2 2" xfId="8120"/>
    <cellStyle name="40% - Accent3 6 2 2 3" xfId="8119"/>
    <cellStyle name="40% - Accent3 6 2 3" xfId="1784"/>
    <cellStyle name="40% - Accent3 6 2 3 2" xfId="1785"/>
    <cellStyle name="40% - Accent3 6 2 3 2 2" xfId="8122"/>
    <cellStyle name="40% - Accent3 6 2 3 3" xfId="8121"/>
    <cellStyle name="40% - Accent3 6 2 4" xfId="1786"/>
    <cellStyle name="40% - Accent3 6 2 4 2" xfId="1787"/>
    <cellStyle name="40% - Accent3 6 2 4 2 2" xfId="8124"/>
    <cellStyle name="40% - Accent3 6 2 4 3" xfId="8123"/>
    <cellStyle name="40% - Accent3 6 2 5" xfId="1788"/>
    <cellStyle name="40% - Accent3 6 2 5 2" xfId="8125"/>
    <cellStyle name="40% - Accent3 6 2 6" xfId="8118"/>
    <cellStyle name="40% - Accent3 6 2_ORACLE TRIAL BALANCE" xfId="1789"/>
    <cellStyle name="40% - Accent3 6 3" xfId="1790"/>
    <cellStyle name="40% - Accent3 6 3 2" xfId="1791"/>
    <cellStyle name="40% - Accent3 6 3 2 2" xfId="8127"/>
    <cellStyle name="40% - Accent3 6 3 3" xfId="8126"/>
    <cellStyle name="40% - Accent3 6 4" xfId="1792"/>
    <cellStyle name="40% - Accent3 6 4 2" xfId="1793"/>
    <cellStyle name="40% - Accent3 6 4 2 2" xfId="8129"/>
    <cellStyle name="40% - Accent3 6 4 3" xfId="8128"/>
    <cellStyle name="40% - Accent3 6 5" xfId="1794"/>
    <cellStyle name="40% - Accent3 6 5 2" xfId="1795"/>
    <cellStyle name="40% - Accent3 6 5 2 2" xfId="8131"/>
    <cellStyle name="40% - Accent3 6 5 3" xfId="8130"/>
    <cellStyle name="40% - Accent3 6 6" xfId="1796"/>
    <cellStyle name="40% - Accent3 6 6 2" xfId="8132"/>
    <cellStyle name="40% - Accent3 6 7" xfId="8117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2 2 2" xfId="8136"/>
    <cellStyle name="40% - Accent3 7 2 2 3" xfId="8135"/>
    <cellStyle name="40% - Accent3 7 2 3" xfId="1802"/>
    <cellStyle name="40% - Accent3 7 2 3 2" xfId="1803"/>
    <cellStyle name="40% - Accent3 7 2 3 2 2" xfId="8138"/>
    <cellStyle name="40% - Accent3 7 2 3 3" xfId="8137"/>
    <cellStyle name="40% - Accent3 7 2 4" xfId="1804"/>
    <cellStyle name="40% - Accent3 7 2 4 2" xfId="1805"/>
    <cellStyle name="40% - Accent3 7 2 4 2 2" xfId="8140"/>
    <cellStyle name="40% - Accent3 7 2 4 3" xfId="8139"/>
    <cellStyle name="40% - Accent3 7 2 5" xfId="1806"/>
    <cellStyle name="40% - Accent3 7 2 5 2" xfId="8141"/>
    <cellStyle name="40% - Accent3 7 2 6" xfId="8134"/>
    <cellStyle name="40% - Accent3 7 2_ORACLE TRIAL BALANCE" xfId="1807"/>
    <cellStyle name="40% - Accent3 7 3" xfId="1808"/>
    <cellStyle name="40% - Accent3 7 3 2" xfId="1809"/>
    <cellStyle name="40% - Accent3 7 3 2 2" xfId="8143"/>
    <cellStyle name="40% - Accent3 7 3 3" xfId="8142"/>
    <cellStyle name="40% - Accent3 7 4" xfId="1810"/>
    <cellStyle name="40% - Accent3 7 4 2" xfId="1811"/>
    <cellStyle name="40% - Accent3 7 4 2 2" xfId="8145"/>
    <cellStyle name="40% - Accent3 7 4 3" xfId="8144"/>
    <cellStyle name="40% - Accent3 7 5" xfId="1812"/>
    <cellStyle name="40% - Accent3 7 5 2" xfId="1813"/>
    <cellStyle name="40% - Accent3 7 5 2 2" xfId="8147"/>
    <cellStyle name="40% - Accent3 7 5 3" xfId="8146"/>
    <cellStyle name="40% - Accent3 7 6" xfId="1814"/>
    <cellStyle name="40% - Accent3 7 6 2" xfId="8148"/>
    <cellStyle name="40% - Accent3 7 7" xfId="8133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2 2 2" xfId="8152"/>
    <cellStyle name="40% - Accent3 8 2 2 3" xfId="8151"/>
    <cellStyle name="40% - Accent3 8 2 3" xfId="1820"/>
    <cellStyle name="40% - Accent3 8 2 3 2" xfId="1821"/>
    <cellStyle name="40% - Accent3 8 2 3 2 2" xfId="8154"/>
    <cellStyle name="40% - Accent3 8 2 3 3" xfId="8153"/>
    <cellStyle name="40% - Accent3 8 2 4" xfId="1822"/>
    <cellStyle name="40% - Accent3 8 2 4 2" xfId="1823"/>
    <cellStyle name="40% - Accent3 8 2 4 2 2" xfId="8156"/>
    <cellStyle name="40% - Accent3 8 2 4 3" xfId="8155"/>
    <cellStyle name="40% - Accent3 8 2 5" xfId="1824"/>
    <cellStyle name="40% - Accent3 8 2 5 2" xfId="8157"/>
    <cellStyle name="40% - Accent3 8 2 6" xfId="8150"/>
    <cellStyle name="40% - Accent3 8 2_ORACLE TRIAL BALANCE" xfId="1825"/>
    <cellStyle name="40% - Accent3 8 3" xfId="1826"/>
    <cellStyle name="40% - Accent3 8 3 2" xfId="1827"/>
    <cellStyle name="40% - Accent3 8 3 2 2" xfId="8159"/>
    <cellStyle name="40% - Accent3 8 3 3" xfId="8158"/>
    <cellStyle name="40% - Accent3 8 4" xfId="1828"/>
    <cellStyle name="40% - Accent3 8 4 2" xfId="1829"/>
    <cellStyle name="40% - Accent3 8 4 2 2" xfId="8161"/>
    <cellStyle name="40% - Accent3 8 4 3" xfId="8160"/>
    <cellStyle name="40% - Accent3 8 5" xfId="1830"/>
    <cellStyle name="40% - Accent3 8 5 2" xfId="1831"/>
    <cellStyle name="40% - Accent3 8 5 2 2" xfId="8163"/>
    <cellStyle name="40% - Accent3 8 5 3" xfId="8162"/>
    <cellStyle name="40% - Accent3 8 6" xfId="1832"/>
    <cellStyle name="40% - Accent3 8 6 2" xfId="8164"/>
    <cellStyle name="40% - Accent3 8 7" xfId="8149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2 2 2" xfId="8168"/>
    <cellStyle name="40% - Accent3 9 2 2 3" xfId="8167"/>
    <cellStyle name="40% - Accent3 9 2 3" xfId="1838"/>
    <cellStyle name="40% - Accent3 9 2 3 2" xfId="1839"/>
    <cellStyle name="40% - Accent3 9 2 3 2 2" xfId="8170"/>
    <cellStyle name="40% - Accent3 9 2 3 3" xfId="8169"/>
    <cellStyle name="40% - Accent3 9 2 4" xfId="1840"/>
    <cellStyle name="40% - Accent3 9 2 4 2" xfId="1841"/>
    <cellStyle name="40% - Accent3 9 2 4 2 2" xfId="8172"/>
    <cellStyle name="40% - Accent3 9 2 4 3" xfId="8171"/>
    <cellStyle name="40% - Accent3 9 2 5" xfId="1842"/>
    <cellStyle name="40% - Accent3 9 2 5 2" xfId="8173"/>
    <cellStyle name="40% - Accent3 9 2 6" xfId="8166"/>
    <cellStyle name="40% - Accent3 9 2_ORACLE TRIAL BALANCE" xfId="1843"/>
    <cellStyle name="40% - Accent3 9 3" xfId="1844"/>
    <cellStyle name="40% - Accent3 9 3 2" xfId="1845"/>
    <cellStyle name="40% - Accent3 9 3 2 2" xfId="8175"/>
    <cellStyle name="40% - Accent3 9 3 3" xfId="8174"/>
    <cellStyle name="40% - Accent3 9 4" xfId="1846"/>
    <cellStyle name="40% - Accent3 9 4 2" xfId="1847"/>
    <cellStyle name="40% - Accent3 9 4 2 2" xfId="8177"/>
    <cellStyle name="40% - Accent3 9 4 3" xfId="8176"/>
    <cellStyle name="40% - Accent3 9 5" xfId="1848"/>
    <cellStyle name="40% - Accent3 9 5 2" xfId="1849"/>
    <cellStyle name="40% - Accent3 9 5 2 2" xfId="8179"/>
    <cellStyle name="40% - Accent3 9 5 3" xfId="8178"/>
    <cellStyle name="40% - Accent3 9 6" xfId="1850"/>
    <cellStyle name="40% - Accent3 9 6 2" xfId="8180"/>
    <cellStyle name="40% - Accent3 9 7" xfId="8165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2 2 2" xfId="8184"/>
    <cellStyle name="40% - Accent4 10 2 2 3" xfId="8183"/>
    <cellStyle name="40% - Accent4 10 2 3" xfId="1856"/>
    <cellStyle name="40% - Accent4 10 2 3 2" xfId="1857"/>
    <cellStyle name="40% - Accent4 10 2 3 2 2" xfId="8186"/>
    <cellStyle name="40% - Accent4 10 2 3 3" xfId="8185"/>
    <cellStyle name="40% - Accent4 10 2 4" xfId="1858"/>
    <cellStyle name="40% - Accent4 10 2 4 2" xfId="1859"/>
    <cellStyle name="40% - Accent4 10 2 4 2 2" xfId="8188"/>
    <cellStyle name="40% - Accent4 10 2 4 3" xfId="8187"/>
    <cellStyle name="40% - Accent4 10 2 5" xfId="1860"/>
    <cellStyle name="40% - Accent4 10 2 5 2" xfId="8189"/>
    <cellStyle name="40% - Accent4 10 2 6" xfId="8182"/>
    <cellStyle name="40% - Accent4 10 2_ORACLE TRIAL BALANCE" xfId="1861"/>
    <cellStyle name="40% - Accent4 10 3" xfId="1862"/>
    <cellStyle name="40% - Accent4 10 3 2" xfId="1863"/>
    <cellStyle name="40% - Accent4 10 3 2 2" xfId="8191"/>
    <cellStyle name="40% - Accent4 10 3 3" xfId="8190"/>
    <cellStyle name="40% - Accent4 10 4" xfId="1864"/>
    <cellStyle name="40% - Accent4 10 4 2" xfId="1865"/>
    <cellStyle name="40% - Accent4 10 4 2 2" xfId="8193"/>
    <cellStyle name="40% - Accent4 10 4 3" xfId="8192"/>
    <cellStyle name="40% - Accent4 10 5" xfId="1866"/>
    <cellStyle name="40% - Accent4 10 5 2" xfId="1867"/>
    <cellStyle name="40% - Accent4 10 5 2 2" xfId="8195"/>
    <cellStyle name="40% - Accent4 10 5 3" xfId="8194"/>
    <cellStyle name="40% - Accent4 10 6" xfId="1868"/>
    <cellStyle name="40% - Accent4 10 6 2" xfId="8196"/>
    <cellStyle name="40% - Accent4 10 7" xfId="8181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2 2 2" xfId="8199"/>
    <cellStyle name="40% - Accent4 11 2 3" xfId="8198"/>
    <cellStyle name="40% - Accent4 11 3" xfId="1873"/>
    <cellStyle name="40% - Accent4 11 3 2" xfId="1874"/>
    <cellStyle name="40% - Accent4 11 3 2 2" xfId="8201"/>
    <cellStyle name="40% - Accent4 11 3 3" xfId="8200"/>
    <cellStyle name="40% - Accent4 11 4" xfId="1875"/>
    <cellStyle name="40% - Accent4 11 4 2" xfId="1876"/>
    <cellStyle name="40% - Accent4 11 4 2 2" xfId="8203"/>
    <cellStyle name="40% - Accent4 11 4 3" xfId="8202"/>
    <cellStyle name="40% - Accent4 11 5" xfId="1877"/>
    <cellStyle name="40% - Accent4 11 5 2" xfId="8204"/>
    <cellStyle name="40% - Accent4 11 6" xfId="819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2 2 2" xfId="8208"/>
    <cellStyle name="40% - Accent4 2 2 2 3" xfId="8207"/>
    <cellStyle name="40% - Accent4 2 2 3" xfId="1887"/>
    <cellStyle name="40% - Accent4 2 2 3 2" xfId="1888"/>
    <cellStyle name="40% - Accent4 2 2 3 2 2" xfId="8210"/>
    <cellStyle name="40% - Accent4 2 2 3 3" xfId="8209"/>
    <cellStyle name="40% - Accent4 2 2 4" xfId="1889"/>
    <cellStyle name="40% - Accent4 2 2 4 2" xfId="1890"/>
    <cellStyle name="40% - Accent4 2 2 4 2 2" xfId="8212"/>
    <cellStyle name="40% - Accent4 2 2 4 3" xfId="8211"/>
    <cellStyle name="40% - Accent4 2 2 5" xfId="1891"/>
    <cellStyle name="40% - Accent4 2 2 5 2" xfId="1892"/>
    <cellStyle name="40% - Accent4 2 2 5 2 2" xfId="8214"/>
    <cellStyle name="40% - Accent4 2 2 5 3" xfId="8213"/>
    <cellStyle name="40% - Accent4 2 2 6" xfId="1893"/>
    <cellStyle name="40% - Accent4 2 2 6 2" xfId="8215"/>
    <cellStyle name="40% - Accent4 2 2 7" xfId="8206"/>
    <cellStyle name="40% - Accent4 2 2_ORACLE TRIAL BALANCE" xfId="1894"/>
    <cellStyle name="40% - Accent4 2 3" xfId="1895"/>
    <cellStyle name="40% - Accent4 2 3 2" xfId="1896"/>
    <cellStyle name="40% - Accent4 2 3 2 2" xfId="8217"/>
    <cellStyle name="40% - Accent4 2 3 3" xfId="8216"/>
    <cellStyle name="40% - Accent4 2 4" xfId="1897"/>
    <cellStyle name="40% - Accent4 2 4 2" xfId="1898"/>
    <cellStyle name="40% - Accent4 2 4 2 2" xfId="8219"/>
    <cellStyle name="40% - Accent4 2 4 3" xfId="8218"/>
    <cellStyle name="40% - Accent4 2 5" xfId="1899"/>
    <cellStyle name="40% - Accent4 2 5 2" xfId="1900"/>
    <cellStyle name="40% - Accent4 2 5 2 2" xfId="8221"/>
    <cellStyle name="40% - Accent4 2 5 3" xfId="8220"/>
    <cellStyle name="40% - Accent4 2 6" xfId="1901"/>
    <cellStyle name="40% - Accent4 2 6 2" xfId="1902"/>
    <cellStyle name="40% - Accent4 2 6 2 2" xfId="8223"/>
    <cellStyle name="40% - Accent4 2 6 3" xfId="8222"/>
    <cellStyle name="40% - Accent4 2 7" xfId="1903"/>
    <cellStyle name="40% - Accent4 2 7 2" xfId="8224"/>
    <cellStyle name="40% - Accent4 2 8" xfId="1883"/>
    <cellStyle name="40% - Accent4 2 8 2" xfId="8205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2 2 2" xfId="8228"/>
    <cellStyle name="40% - Accent4 3 2 2 3" xfId="8227"/>
    <cellStyle name="40% - Accent4 3 2 3" xfId="1909"/>
    <cellStyle name="40% - Accent4 3 2 3 2" xfId="1910"/>
    <cellStyle name="40% - Accent4 3 2 3 2 2" xfId="8230"/>
    <cellStyle name="40% - Accent4 3 2 3 3" xfId="8229"/>
    <cellStyle name="40% - Accent4 3 2 4" xfId="1911"/>
    <cellStyle name="40% - Accent4 3 2 4 2" xfId="1912"/>
    <cellStyle name="40% - Accent4 3 2 4 2 2" xfId="8232"/>
    <cellStyle name="40% - Accent4 3 2 4 3" xfId="8231"/>
    <cellStyle name="40% - Accent4 3 2 5" xfId="1913"/>
    <cellStyle name="40% - Accent4 3 2 5 2" xfId="8233"/>
    <cellStyle name="40% - Accent4 3 2 6" xfId="8226"/>
    <cellStyle name="40% - Accent4 3 2_ORACLE TRIAL BALANCE" xfId="1914"/>
    <cellStyle name="40% - Accent4 3 3" xfId="1915"/>
    <cellStyle name="40% - Accent4 3 3 2" xfId="1916"/>
    <cellStyle name="40% - Accent4 3 3 2 2" xfId="8235"/>
    <cellStyle name="40% - Accent4 3 3 3" xfId="8234"/>
    <cellStyle name="40% - Accent4 3 4" xfId="1917"/>
    <cellStyle name="40% - Accent4 3 4 2" xfId="1918"/>
    <cellStyle name="40% - Accent4 3 4 2 2" xfId="8237"/>
    <cellStyle name="40% - Accent4 3 4 3" xfId="8236"/>
    <cellStyle name="40% - Accent4 3 5" xfId="1919"/>
    <cellStyle name="40% - Accent4 3 6" xfId="1920"/>
    <cellStyle name="40% - Accent4 3 7" xfId="1921"/>
    <cellStyle name="40% - Accent4 3 8" xfId="1922"/>
    <cellStyle name="40% - Accent4 3 8 2" xfId="8238"/>
    <cellStyle name="40% - Accent4 3 9" xfId="8225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2 2 2" xfId="8242"/>
    <cellStyle name="40% - Accent4 4 2 2 3" xfId="8241"/>
    <cellStyle name="40% - Accent4 4 2 3" xfId="1928"/>
    <cellStyle name="40% - Accent4 4 2 3 2" xfId="1929"/>
    <cellStyle name="40% - Accent4 4 2 3 2 2" xfId="8244"/>
    <cellStyle name="40% - Accent4 4 2 3 3" xfId="8243"/>
    <cellStyle name="40% - Accent4 4 2 4" xfId="1930"/>
    <cellStyle name="40% - Accent4 4 2 4 2" xfId="1931"/>
    <cellStyle name="40% - Accent4 4 2 4 2 2" xfId="8246"/>
    <cellStyle name="40% - Accent4 4 2 4 3" xfId="8245"/>
    <cellStyle name="40% - Accent4 4 2 5" xfId="1932"/>
    <cellStyle name="40% - Accent4 4 2 5 2" xfId="8247"/>
    <cellStyle name="40% - Accent4 4 2 6" xfId="8240"/>
    <cellStyle name="40% - Accent4 4 2_ORACLE TRIAL BALANCE" xfId="1933"/>
    <cellStyle name="40% - Accent4 4 3" xfId="1934"/>
    <cellStyle name="40% - Accent4 4 3 2" xfId="1935"/>
    <cellStyle name="40% - Accent4 4 3 2 2" xfId="8249"/>
    <cellStyle name="40% - Accent4 4 3 3" xfId="8248"/>
    <cellStyle name="40% - Accent4 4 4" xfId="1936"/>
    <cellStyle name="40% - Accent4 4 4 2" xfId="1937"/>
    <cellStyle name="40% - Accent4 4 4 2 2" xfId="8251"/>
    <cellStyle name="40% - Accent4 4 4 3" xfId="8250"/>
    <cellStyle name="40% - Accent4 4 5" xfId="1938"/>
    <cellStyle name="40% - Accent4 4 5 2" xfId="1939"/>
    <cellStyle name="40% - Accent4 4 5 2 2" xfId="8253"/>
    <cellStyle name="40% - Accent4 4 5 3" xfId="8252"/>
    <cellStyle name="40% - Accent4 4 6" xfId="1940"/>
    <cellStyle name="40% - Accent4 4 6 2" xfId="8254"/>
    <cellStyle name="40% - Accent4 4 7" xfId="8239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2 2 2" xfId="8258"/>
    <cellStyle name="40% - Accent4 5 2 2 3" xfId="8257"/>
    <cellStyle name="40% - Accent4 5 2 3" xfId="1946"/>
    <cellStyle name="40% - Accent4 5 2 3 2" xfId="1947"/>
    <cellStyle name="40% - Accent4 5 2 3 2 2" xfId="8260"/>
    <cellStyle name="40% - Accent4 5 2 3 3" xfId="8259"/>
    <cellStyle name="40% - Accent4 5 2 4" xfId="1948"/>
    <cellStyle name="40% - Accent4 5 2 4 2" xfId="1949"/>
    <cellStyle name="40% - Accent4 5 2 4 2 2" xfId="8262"/>
    <cellStyle name="40% - Accent4 5 2 4 3" xfId="8261"/>
    <cellStyle name="40% - Accent4 5 2 5" xfId="1950"/>
    <cellStyle name="40% - Accent4 5 2 5 2" xfId="8263"/>
    <cellStyle name="40% - Accent4 5 2 6" xfId="8256"/>
    <cellStyle name="40% - Accent4 5 2_ORACLE TRIAL BALANCE" xfId="1951"/>
    <cellStyle name="40% - Accent4 5 3" xfId="1952"/>
    <cellStyle name="40% - Accent4 5 3 2" xfId="1953"/>
    <cellStyle name="40% - Accent4 5 3 2 2" xfId="8265"/>
    <cellStyle name="40% - Accent4 5 3 3" xfId="8264"/>
    <cellStyle name="40% - Accent4 5 4" xfId="1954"/>
    <cellStyle name="40% - Accent4 5 4 2" xfId="1955"/>
    <cellStyle name="40% - Accent4 5 4 2 2" xfId="8267"/>
    <cellStyle name="40% - Accent4 5 4 3" xfId="8266"/>
    <cellStyle name="40% - Accent4 5 5" xfId="1956"/>
    <cellStyle name="40% - Accent4 5 5 2" xfId="1957"/>
    <cellStyle name="40% - Accent4 5 5 2 2" xfId="8269"/>
    <cellStyle name="40% - Accent4 5 5 3" xfId="8268"/>
    <cellStyle name="40% - Accent4 5 6" xfId="1958"/>
    <cellStyle name="40% - Accent4 5 6 2" xfId="8270"/>
    <cellStyle name="40% - Accent4 5 7" xfId="8255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2 2 2" xfId="8274"/>
    <cellStyle name="40% - Accent4 6 2 2 3" xfId="8273"/>
    <cellStyle name="40% - Accent4 6 2 3" xfId="1964"/>
    <cellStyle name="40% - Accent4 6 2 3 2" xfId="1965"/>
    <cellStyle name="40% - Accent4 6 2 3 2 2" xfId="8276"/>
    <cellStyle name="40% - Accent4 6 2 3 3" xfId="8275"/>
    <cellStyle name="40% - Accent4 6 2 4" xfId="1966"/>
    <cellStyle name="40% - Accent4 6 2 4 2" xfId="1967"/>
    <cellStyle name="40% - Accent4 6 2 4 2 2" xfId="8278"/>
    <cellStyle name="40% - Accent4 6 2 4 3" xfId="8277"/>
    <cellStyle name="40% - Accent4 6 2 5" xfId="1968"/>
    <cellStyle name="40% - Accent4 6 2 5 2" xfId="8279"/>
    <cellStyle name="40% - Accent4 6 2 6" xfId="8272"/>
    <cellStyle name="40% - Accent4 6 2_ORACLE TRIAL BALANCE" xfId="1969"/>
    <cellStyle name="40% - Accent4 6 3" xfId="1970"/>
    <cellStyle name="40% - Accent4 6 3 2" xfId="1971"/>
    <cellStyle name="40% - Accent4 6 3 2 2" xfId="8281"/>
    <cellStyle name="40% - Accent4 6 3 3" xfId="8280"/>
    <cellStyle name="40% - Accent4 6 4" xfId="1972"/>
    <cellStyle name="40% - Accent4 6 4 2" xfId="1973"/>
    <cellStyle name="40% - Accent4 6 4 2 2" xfId="8283"/>
    <cellStyle name="40% - Accent4 6 4 3" xfId="8282"/>
    <cellStyle name="40% - Accent4 6 5" xfId="1974"/>
    <cellStyle name="40% - Accent4 6 5 2" xfId="1975"/>
    <cellStyle name="40% - Accent4 6 5 2 2" xfId="8285"/>
    <cellStyle name="40% - Accent4 6 5 3" xfId="8284"/>
    <cellStyle name="40% - Accent4 6 6" xfId="1976"/>
    <cellStyle name="40% - Accent4 6 6 2" xfId="8286"/>
    <cellStyle name="40% - Accent4 6 7" xfId="8271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2 2 2" xfId="8290"/>
    <cellStyle name="40% - Accent4 7 2 2 3" xfId="8289"/>
    <cellStyle name="40% - Accent4 7 2 3" xfId="1982"/>
    <cellStyle name="40% - Accent4 7 2 3 2" xfId="1983"/>
    <cellStyle name="40% - Accent4 7 2 3 2 2" xfId="8292"/>
    <cellStyle name="40% - Accent4 7 2 3 3" xfId="8291"/>
    <cellStyle name="40% - Accent4 7 2 4" xfId="1984"/>
    <cellStyle name="40% - Accent4 7 2 4 2" xfId="1985"/>
    <cellStyle name="40% - Accent4 7 2 4 2 2" xfId="8294"/>
    <cellStyle name="40% - Accent4 7 2 4 3" xfId="8293"/>
    <cellStyle name="40% - Accent4 7 2 5" xfId="1986"/>
    <cellStyle name="40% - Accent4 7 2 5 2" xfId="8295"/>
    <cellStyle name="40% - Accent4 7 2 6" xfId="8288"/>
    <cellStyle name="40% - Accent4 7 2_ORACLE TRIAL BALANCE" xfId="1987"/>
    <cellStyle name="40% - Accent4 7 3" xfId="1988"/>
    <cellStyle name="40% - Accent4 7 3 2" xfId="1989"/>
    <cellStyle name="40% - Accent4 7 3 2 2" xfId="8297"/>
    <cellStyle name="40% - Accent4 7 3 3" xfId="8296"/>
    <cellStyle name="40% - Accent4 7 4" xfId="1990"/>
    <cellStyle name="40% - Accent4 7 4 2" xfId="1991"/>
    <cellStyle name="40% - Accent4 7 4 2 2" xfId="8299"/>
    <cellStyle name="40% - Accent4 7 4 3" xfId="8298"/>
    <cellStyle name="40% - Accent4 7 5" xfId="1992"/>
    <cellStyle name="40% - Accent4 7 5 2" xfId="1993"/>
    <cellStyle name="40% - Accent4 7 5 2 2" xfId="8301"/>
    <cellStyle name="40% - Accent4 7 5 3" xfId="8300"/>
    <cellStyle name="40% - Accent4 7 6" xfId="1994"/>
    <cellStyle name="40% - Accent4 7 6 2" xfId="8302"/>
    <cellStyle name="40% - Accent4 7 7" xfId="8287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2 2 2" xfId="8306"/>
    <cellStyle name="40% - Accent4 8 2 2 3" xfId="8305"/>
    <cellStyle name="40% - Accent4 8 2 3" xfId="2000"/>
    <cellStyle name="40% - Accent4 8 2 3 2" xfId="2001"/>
    <cellStyle name="40% - Accent4 8 2 3 2 2" xfId="8308"/>
    <cellStyle name="40% - Accent4 8 2 3 3" xfId="8307"/>
    <cellStyle name="40% - Accent4 8 2 4" xfId="2002"/>
    <cellStyle name="40% - Accent4 8 2 4 2" xfId="2003"/>
    <cellStyle name="40% - Accent4 8 2 4 2 2" xfId="8310"/>
    <cellStyle name="40% - Accent4 8 2 4 3" xfId="8309"/>
    <cellStyle name="40% - Accent4 8 2 5" xfId="2004"/>
    <cellStyle name="40% - Accent4 8 2 5 2" xfId="8311"/>
    <cellStyle name="40% - Accent4 8 2 6" xfId="8304"/>
    <cellStyle name="40% - Accent4 8 2_ORACLE TRIAL BALANCE" xfId="2005"/>
    <cellStyle name="40% - Accent4 8 3" xfId="2006"/>
    <cellStyle name="40% - Accent4 8 3 2" xfId="2007"/>
    <cellStyle name="40% - Accent4 8 3 2 2" xfId="8313"/>
    <cellStyle name="40% - Accent4 8 3 3" xfId="8312"/>
    <cellStyle name="40% - Accent4 8 4" xfId="2008"/>
    <cellStyle name="40% - Accent4 8 4 2" xfId="2009"/>
    <cellStyle name="40% - Accent4 8 4 2 2" xfId="8315"/>
    <cellStyle name="40% - Accent4 8 4 3" xfId="8314"/>
    <cellStyle name="40% - Accent4 8 5" xfId="2010"/>
    <cellStyle name="40% - Accent4 8 5 2" xfId="2011"/>
    <cellStyle name="40% - Accent4 8 5 2 2" xfId="8317"/>
    <cellStyle name="40% - Accent4 8 5 3" xfId="8316"/>
    <cellStyle name="40% - Accent4 8 6" xfId="2012"/>
    <cellStyle name="40% - Accent4 8 6 2" xfId="8318"/>
    <cellStyle name="40% - Accent4 8 7" xfId="8303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2 2 2" xfId="8322"/>
    <cellStyle name="40% - Accent4 9 2 2 3" xfId="8321"/>
    <cellStyle name="40% - Accent4 9 2 3" xfId="2018"/>
    <cellStyle name="40% - Accent4 9 2 3 2" xfId="2019"/>
    <cellStyle name="40% - Accent4 9 2 3 2 2" xfId="8324"/>
    <cellStyle name="40% - Accent4 9 2 3 3" xfId="8323"/>
    <cellStyle name="40% - Accent4 9 2 4" xfId="2020"/>
    <cellStyle name="40% - Accent4 9 2 4 2" xfId="2021"/>
    <cellStyle name="40% - Accent4 9 2 4 2 2" xfId="8326"/>
    <cellStyle name="40% - Accent4 9 2 4 3" xfId="8325"/>
    <cellStyle name="40% - Accent4 9 2 5" xfId="2022"/>
    <cellStyle name="40% - Accent4 9 2 5 2" xfId="8327"/>
    <cellStyle name="40% - Accent4 9 2 6" xfId="8320"/>
    <cellStyle name="40% - Accent4 9 2_ORACLE TRIAL BALANCE" xfId="2023"/>
    <cellStyle name="40% - Accent4 9 3" xfId="2024"/>
    <cellStyle name="40% - Accent4 9 3 2" xfId="2025"/>
    <cellStyle name="40% - Accent4 9 3 2 2" xfId="8329"/>
    <cellStyle name="40% - Accent4 9 3 3" xfId="8328"/>
    <cellStyle name="40% - Accent4 9 4" xfId="2026"/>
    <cellStyle name="40% - Accent4 9 4 2" xfId="2027"/>
    <cellStyle name="40% - Accent4 9 4 2 2" xfId="8331"/>
    <cellStyle name="40% - Accent4 9 4 3" xfId="8330"/>
    <cellStyle name="40% - Accent4 9 5" xfId="2028"/>
    <cellStyle name="40% - Accent4 9 5 2" xfId="2029"/>
    <cellStyle name="40% - Accent4 9 5 2 2" xfId="8333"/>
    <cellStyle name="40% - Accent4 9 5 3" xfId="8332"/>
    <cellStyle name="40% - Accent4 9 6" xfId="2030"/>
    <cellStyle name="40% - Accent4 9 6 2" xfId="8334"/>
    <cellStyle name="40% - Accent4 9 7" xfId="8319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2 2 2" xfId="8338"/>
    <cellStyle name="40% - Accent5 10 2 2 3" xfId="8337"/>
    <cellStyle name="40% - Accent5 10 2 3" xfId="2036"/>
    <cellStyle name="40% - Accent5 10 2 3 2" xfId="2037"/>
    <cellStyle name="40% - Accent5 10 2 3 2 2" xfId="8340"/>
    <cellStyle name="40% - Accent5 10 2 3 3" xfId="8339"/>
    <cellStyle name="40% - Accent5 10 2 4" xfId="2038"/>
    <cellStyle name="40% - Accent5 10 2 4 2" xfId="2039"/>
    <cellStyle name="40% - Accent5 10 2 4 2 2" xfId="8342"/>
    <cellStyle name="40% - Accent5 10 2 4 3" xfId="8341"/>
    <cellStyle name="40% - Accent5 10 2 5" xfId="2040"/>
    <cellStyle name="40% - Accent5 10 2 5 2" xfId="8343"/>
    <cellStyle name="40% - Accent5 10 2 6" xfId="8336"/>
    <cellStyle name="40% - Accent5 10 2_ORACLE TRIAL BALANCE" xfId="2041"/>
    <cellStyle name="40% - Accent5 10 3" xfId="2042"/>
    <cellStyle name="40% - Accent5 10 3 2" xfId="2043"/>
    <cellStyle name="40% - Accent5 10 3 2 2" xfId="8345"/>
    <cellStyle name="40% - Accent5 10 3 3" xfId="8344"/>
    <cellStyle name="40% - Accent5 10 4" xfId="2044"/>
    <cellStyle name="40% - Accent5 10 4 2" xfId="2045"/>
    <cellStyle name="40% - Accent5 10 4 2 2" xfId="8347"/>
    <cellStyle name="40% - Accent5 10 4 3" xfId="8346"/>
    <cellStyle name="40% - Accent5 10 5" xfId="2046"/>
    <cellStyle name="40% - Accent5 10 5 2" xfId="2047"/>
    <cellStyle name="40% - Accent5 10 5 2 2" xfId="8349"/>
    <cellStyle name="40% - Accent5 10 5 3" xfId="8348"/>
    <cellStyle name="40% - Accent5 10 6" xfId="2048"/>
    <cellStyle name="40% - Accent5 10 6 2" xfId="8350"/>
    <cellStyle name="40% - Accent5 10 7" xfId="8335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2 2 2" xfId="8353"/>
    <cellStyle name="40% - Accent5 11 2 3" xfId="8352"/>
    <cellStyle name="40% - Accent5 11 3" xfId="2053"/>
    <cellStyle name="40% - Accent5 11 3 2" xfId="2054"/>
    <cellStyle name="40% - Accent5 11 3 2 2" xfId="8355"/>
    <cellStyle name="40% - Accent5 11 3 3" xfId="8354"/>
    <cellStyle name="40% - Accent5 11 4" xfId="2055"/>
    <cellStyle name="40% - Accent5 11 4 2" xfId="2056"/>
    <cellStyle name="40% - Accent5 11 4 2 2" xfId="8357"/>
    <cellStyle name="40% - Accent5 11 4 3" xfId="8356"/>
    <cellStyle name="40% - Accent5 11 5" xfId="2057"/>
    <cellStyle name="40% - Accent5 11 5 2" xfId="8358"/>
    <cellStyle name="40% - Accent5 11 6" xfId="8351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2 2 2" xfId="8362"/>
    <cellStyle name="40% - Accent5 2 2 2 3" xfId="8361"/>
    <cellStyle name="40% - Accent5 2 2 3" xfId="2067"/>
    <cellStyle name="40% - Accent5 2 2 3 2" xfId="2068"/>
    <cellStyle name="40% - Accent5 2 2 3 2 2" xfId="8364"/>
    <cellStyle name="40% - Accent5 2 2 3 3" xfId="8363"/>
    <cellStyle name="40% - Accent5 2 2 4" xfId="2069"/>
    <cellStyle name="40% - Accent5 2 2 4 2" xfId="2070"/>
    <cellStyle name="40% - Accent5 2 2 4 2 2" xfId="8366"/>
    <cellStyle name="40% - Accent5 2 2 4 3" xfId="8365"/>
    <cellStyle name="40% - Accent5 2 2 5" xfId="2071"/>
    <cellStyle name="40% - Accent5 2 2 5 2" xfId="2072"/>
    <cellStyle name="40% - Accent5 2 2 5 2 2" xfId="8368"/>
    <cellStyle name="40% - Accent5 2 2 5 3" xfId="8367"/>
    <cellStyle name="40% - Accent5 2 2 6" xfId="2073"/>
    <cellStyle name="40% - Accent5 2 2 6 2" xfId="8369"/>
    <cellStyle name="40% - Accent5 2 2 7" xfId="8360"/>
    <cellStyle name="40% - Accent5 2 2_ORACLE TRIAL BALANCE" xfId="2074"/>
    <cellStyle name="40% - Accent5 2 3" xfId="2075"/>
    <cellStyle name="40% - Accent5 2 3 2" xfId="2076"/>
    <cellStyle name="40% - Accent5 2 3 2 2" xfId="8371"/>
    <cellStyle name="40% - Accent5 2 3 3" xfId="8370"/>
    <cellStyle name="40% - Accent5 2 4" xfId="2077"/>
    <cellStyle name="40% - Accent5 2 4 2" xfId="2078"/>
    <cellStyle name="40% - Accent5 2 4 2 2" xfId="8373"/>
    <cellStyle name="40% - Accent5 2 4 3" xfId="8372"/>
    <cellStyle name="40% - Accent5 2 5" xfId="2079"/>
    <cellStyle name="40% - Accent5 2 5 2" xfId="2080"/>
    <cellStyle name="40% - Accent5 2 5 2 2" xfId="8375"/>
    <cellStyle name="40% - Accent5 2 5 3" xfId="8374"/>
    <cellStyle name="40% - Accent5 2 6" xfId="2081"/>
    <cellStyle name="40% - Accent5 2 6 2" xfId="2082"/>
    <cellStyle name="40% - Accent5 2 6 2 2" xfId="8377"/>
    <cellStyle name="40% - Accent5 2 6 3" xfId="8376"/>
    <cellStyle name="40% - Accent5 2 7" xfId="2083"/>
    <cellStyle name="40% - Accent5 2 7 2" xfId="8378"/>
    <cellStyle name="40% - Accent5 2 8" xfId="2063"/>
    <cellStyle name="40% - Accent5 2 8 2" xfId="8359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2 2 2" xfId="8382"/>
    <cellStyle name="40% - Accent5 3 2 2 3" xfId="8381"/>
    <cellStyle name="40% - Accent5 3 2 3" xfId="2089"/>
    <cellStyle name="40% - Accent5 3 2 3 2" xfId="2090"/>
    <cellStyle name="40% - Accent5 3 2 3 2 2" xfId="8384"/>
    <cellStyle name="40% - Accent5 3 2 3 3" xfId="8383"/>
    <cellStyle name="40% - Accent5 3 2 4" xfId="2091"/>
    <cellStyle name="40% - Accent5 3 2 4 2" xfId="2092"/>
    <cellStyle name="40% - Accent5 3 2 4 2 2" xfId="8386"/>
    <cellStyle name="40% - Accent5 3 2 4 3" xfId="8385"/>
    <cellStyle name="40% - Accent5 3 2 5" xfId="2093"/>
    <cellStyle name="40% - Accent5 3 2 5 2" xfId="8387"/>
    <cellStyle name="40% - Accent5 3 2 6" xfId="8380"/>
    <cellStyle name="40% - Accent5 3 2_ORACLE TRIAL BALANCE" xfId="2094"/>
    <cellStyle name="40% - Accent5 3 3" xfId="2095"/>
    <cellStyle name="40% - Accent5 3 3 2" xfId="2096"/>
    <cellStyle name="40% - Accent5 3 3 2 2" xfId="8389"/>
    <cellStyle name="40% - Accent5 3 3 3" xfId="8388"/>
    <cellStyle name="40% - Accent5 3 4" xfId="2097"/>
    <cellStyle name="40% - Accent5 3 4 2" xfId="2098"/>
    <cellStyle name="40% - Accent5 3 4 2 2" xfId="8391"/>
    <cellStyle name="40% - Accent5 3 4 3" xfId="8390"/>
    <cellStyle name="40% - Accent5 3 5" xfId="2099"/>
    <cellStyle name="40% - Accent5 3 6" xfId="2100"/>
    <cellStyle name="40% - Accent5 3 7" xfId="2101"/>
    <cellStyle name="40% - Accent5 3 8" xfId="2102"/>
    <cellStyle name="40% - Accent5 3 8 2" xfId="8392"/>
    <cellStyle name="40% - Accent5 3 9" xfId="8379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2 2 2" xfId="8396"/>
    <cellStyle name="40% - Accent5 4 2 2 3" xfId="8395"/>
    <cellStyle name="40% - Accent5 4 2 3" xfId="2108"/>
    <cellStyle name="40% - Accent5 4 2 3 2" xfId="2109"/>
    <cellStyle name="40% - Accent5 4 2 3 2 2" xfId="8398"/>
    <cellStyle name="40% - Accent5 4 2 3 3" xfId="8397"/>
    <cellStyle name="40% - Accent5 4 2 4" xfId="2110"/>
    <cellStyle name="40% - Accent5 4 2 4 2" xfId="2111"/>
    <cellStyle name="40% - Accent5 4 2 4 2 2" xfId="8400"/>
    <cellStyle name="40% - Accent5 4 2 4 3" xfId="8399"/>
    <cellStyle name="40% - Accent5 4 2 5" xfId="2112"/>
    <cellStyle name="40% - Accent5 4 2 5 2" xfId="8401"/>
    <cellStyle name="40% - Accent5 4 2 6" xfId="8394"/>
    <cellStyle name="40% - Accent5 4 2_ORACLE TRIAL BALANCE" xfId="2113"/>
    <cellStyle name="40% - Accent5 4 3" xfId="2114"/>
    <cellStyle name="40% - Accent5 4 3 2" xfId="2115"/>
    <cellStyle name="40% - Accent5 4 3 2 2" xfId="8403"/>
    <cellStyle name="40% - Accent5 4 3 3" xfId="8402"/>
    <cellStyle name="40% - Accent5 4 4" xfId="2116"/>
    <cellStyle name="40% - Accent5 4 4 2" xfId="2117"/>
    <cellStyle name="40% - Accent5 4 4 2 2" xfId="8405"/>
    <cellStyle name="40% - Accent5 4 4 3" xfId="8404"/>
    <cellStyle name="40% - Accent5 4 5" xfId="2118"/>
    <cellStyle name="40% - Accent5 4 5 2" xfId="2119"/>
    <cellStyle name="40% - Accent5 4 5 2 2" xfId="8407"/>
    <cellStyle name="40% - Accent5 4 5 3" xfId="8406"/>
    <cellStyle name="40% - Accent5 4 6" xfId="2120"/>
    <cellStyle name="40% - Accent5 4 6 2" xfId="8408"/>
    <cellStyle name="40% - Accent5 4 7" xfId="8393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2 2 2" xfId="8412"/>
    <cellStyle name="40% - Accent5 5 2 2 3" xfId="8411"/>
    <cellStyle name="40% - Accent5 5 2 3" xfId="2126"/>
    <cellStyle name="40% - Accent5 5 2 3 2" xfId="2127"/>
    <cellStyle name="40% - Accent5 5 2 3 2 2" xfId="8414"/>
    <cellStyle name="40% - Accent5 5 2 3 3" xfId="8413"/>
    <cellStyle name="40% - Accent5 5 2 4" xfId="2128"/>
    <cellStyle name="40% - Accent5 5 2 4 2" xfId="2129"/>
    <cellStyle name="40% - Accent5 5 2 4 2 2" xfId="8416"/>
    <cellStyle name="40% - Accent5 5 2 4 3" xfId="8415"/>
    <cellStyle name="40% - Accent5 5 2 5" xfId="2130"/>
    <cellStyle name="40% - Accent5 5 2 5 2" xfId="8417"/>
    <cellStyle name="40% - Accent5 5 2 6" xfId="8410"/>
    <cellStyle name="40% - Accent5 5 2_ORACLE TRIAL BALANCE" xfId="2131"/>
    <cellStyle name="40% - Accent5 5 3" xfId="2132"/>
    <cellStyle name="40% - Accent5 5 3 2" xfId="2133"/>
    <cellStyle name="40% - Accent5 5 3 2 2" xfId="8419"/>
    <cellStyle name="40% - Accent5 5 3 3" xfId="8418"/>
    <cellStyle name="40% - Accent5 5 4" xfId="2134"/>
    <cellStyle name="40% - Accent5 5 4 2" xfId="2135"/>
    <cellStyle name="40% - Accent5 5 4 2 2" xfId="8421"/>
    <cellStyle name="40% - Accent5 5 4 3" xfId="8420"/>
    <cellStyle name="40% - Accent5 5 5" xfId="2136"/>
    <cellStyle name="40% - Accent5 5 5 2" xfId="2137"/>
    <cellStyle name="40% - Accent5 5 5 2 2" xfId="8423"/>
    <cellStyle name="40% - Accent5 5 5 3" xfId="8422"/>
    <cellStyle name="40% - Accent5 5 6" xfId="2138"/>
    <cellStyle name="40% - Accent5 5 6 2" xfId="8424"/>
    <cellStyle name="40% - Accent5 5 7" xfId="8409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2 2 2" xfId="8428"/>
    <cellStyle name="40% - Accent5 6 2 2 3" xfId="8427"/>
    <cellStyle name="40% - Accent5 6 2 3" xfId="2144"/>
    <cellStyle name="40% - Accent5 6 2 3 2" xfId="2145"/>
    <cellStyle name="40% - Accent5 6 2 3 2 2" xfId="8430"/>
    <cellStyle name="40% - Accent5 6 2 3 3" xfId="8429"/>
    <cellStyle name="40% - Accent5 6 2 4" xfId="2146"/>
    <cellStyle name="40% - Accent5 6 2 4 2" xfId="2147"/>
    <cellStyle name="40% - Accent5 6 2 4 2 2" xfId="8432"/>
    <cellStyle name="40% - Accent5 6 2 4 3" xfId="8431"/>
    <cellStyle name="40% - Accent5 6 2 5" xfId="2148"/>
    <cellStyle name="40% - Accent5 6 2 5 2" xfId="8433"/>
    <cellStyle name="40% - Accent5 6 2 6" xfId="8426"/>
    <cellStyle name="40% - Accent5 6 2_ORACLE TRIAL BALANCE" xfId="2149"/>
    <cellStyle name="40% - Accent5 6 3" xfId="2150"/>
    <cellStyle name="40% - Accent5 6 3 2" xfId="2151"/>
    <cellStyle name="40% - Accent5 6 3 2 2" xfId="8435"/>
    <cellStyle name="40% - Accent5 6 3 3" xfId="8434"/>
    <cellStyle name="40% - Accent5 6 4" xfId="2152"/>
    <cellStyle name="40% - Accent5 6 4 2" xfId="2153"/>
    <cellStyle name="40% - Accent5 6 4 2 2" xfId="8437"/>
    <cellStyle name="40% - Accent5 6 4 3" xfId="8436"/>
    <cellStyle name="40% - Accent5 6 5" xfId="2154"/>
    <cellStyle name="40% - Accent5 6 5 2" xfId="2155"/>
    <cellStyle name="40% - Accent5 6 5 2 2" xfId="8439"/>
    <cellStyle name="40% - Accent5 6 5 3" xfId="8438"/>
    <cellStyle name="40% - Accent5 6 6" xfId="2156"/>
    <cellStyle name="40% - Accent5 6 6 2" xfId="8440"/>
    <cellStyle name="40% - Accent5 6 7" xfId="8425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2 2 2" xfId="8444"/>
    <cellStyle name="40% - Accent5 7 2 2 3" xfId="8443"/>
    <cellStyle name="40% - Accent5 7 2 3" xfId="2162"/>
    <cellStyle name="40% - Accent5 7 2 3 2" xfId="2163"/>
    <cellStyle name="40% - Accent5 7 2 3 2 2" xfId="8446"/>
    <cellStyle name="40% - Accent5 7 2 3 3" xfId="8445"/>
    <cellStyle name="40% - Accent5 7 2 4" xfId="2164"/>
    <cellStyle name="40% - Accent5 7 2 4 2" xfId="2165"/>
    <cellStyle name="40% - Accent5 7 2 4 2 2" xfId="8448"/>
    <cellStyle name="40% - Accent5 7 2 4 3" xfId="8447"/>
    <cellStyle name="40% - Accent5 7 2 5" xfId="2166"/>
    <cellStyle name="40% - Accent5 7 2 5 2" xfId="8449"/>
    <cellStyle name="40% - Accent5 7 2 6" xfId="8442"/>
    <cellStyle name="40% - Accent5 7 2_ORACLE TRIAL BALANCE" xfId="2167"/>
    <cellStyle name="40% - Accent5 7 3" xfId="2168"/>
    <cellStyle name="40% - Accent5 7 3 2" xfId="2169"/>
    <cellStyle name="40% - Accent5 7 3 2 2" xfId="8451"/>
    <cellStyle name="40% - Accent5 7 3 3" xfId="8450"/>
    <cellStyle name="40% - Accent5 7 4" xfId="2170"/>
    <cellStyle name="40% - Accent5 7 4 2" xfId="2171"/>
    <cellStyle name="40% - Accent5 7 4 2 2" xfId="8453"/>
    <cellStyle name="40% - Accent5 7 4 3" xfId="8452"/>
    <cellStyle name="40% - Accent5 7 5" xfId="2172"/>
    <cellStyle name="40% - Accent5 7 5 2" xfId="2173"/>
    <cellStyle name="40% - Accent5 7 5 2 2" xfId="8455"/>
    <cellStyle name="40% - Accent5 7 5 3" xfId="8454"/>
    <cellStyle name="40% - Accent5 7 6" xfId="2174"/>
    <cellStyle name="40% - Accent5 7 6 2" xfId="8456"/>
    <cellStyle name="40% - Accent5 7 7" xfId="8441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2 2 2" xfId="8460"/>
    <cellStyle name="40% - Accent5 8 2 2 3" xfId="8459"/>
    <cellStyle name="40% - Accent5 8 2 3" xfId="2180"/>
    <cellStyle name="40% - Accent5 8 2 3 2" xfId="2181"/>
    <cellStyle name="40% - Accent5 8 2 3 2 2" xfId="8462"/>
    <cellStyle name="40% - Accent5 8 2 3 3" xfId="8461"/>
    <cellStyle name="40% - Accent5 8 2 4" xfId="2182"/>
    <cellStyle name="40% - Accent5 8 2 4 2" xfId="2183"/>
    <cellStyle name="40% - Accent5 8 2 4 2 2" xfId="8464"/>
    <cellStyle name="40% - Accent5 8 2 4 3" xfId="8463"/>
    <cellStyle name="40% - Accent5 8 2 5" xfId="2184"/>
    <cellStyle name="40% - Accent5 8 2 5 2" xfId="8465"/>
    <cellStyle name="40% - Accent5 8 2 6" xfId="8458"/>
    <cellStyle name="40% - Accent5 8 2_ORACLE TRIAL BALANCE" xfId="2185"/>
    <cellStyle name="40% - Accent5 8 3" xfId="2186"/>
    <cellStyle name="40% - Accent5 8 3 2" xfId="2187"/>
    <cellStyle name="40% - Accent5 8 3 2 2" xfId="8467"/>
    <cellStyle name="40% - Accent5 8 3 3" xfId="8466"/>
    <cellStyle name="40% - Accent5 8 4" xfId="2188"/>
    <cellStyle name="40% - Accent5 8 4 2" xfId="2189"/>
    <cellStyle name="40% - Accent5 8 4 2 2" xfId="8469"/>
    <cellStyle name="40% - Accent5 8 4 3" xfId="8468"/>
    <cellStyle name="40% - Accent5 8 5" xfId="2190"/>
    <cellStyle name="40% - Accent5 8 5 2" xfId="2191"/>
    <cellStyle name="40% - Accent5 8 5 2 2" xfId="8471"/>
    <cellStyle name="40% - Accent5 8 5 3" xfId="8470"/>
    <cellStyle name="40% - Accent5 8 6" xfId="2192"/>
    <cellStyle name="40% - Accent5 8 6 2" xfId="8472"/>
    <cellStyle name="40% - Accent5 8 7" xfId="8457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2 2 2" xfId="8476"/>
    <cellStyle name="40% - Accent5 9 2 2 3" xfId="8475"/>
    <cellStyle name="40% - Accent5 9 2 3" xfId="2198"/>
    <cellStyle name="40% - Accent5 9 2 3 2" xfId="2199"/>
    <cellStyle name="40% - Accent5 9 2 3 2 2" xfId="8478"/>
    <cellStyle name="40% - Accent5 9 2 3 3" xfId="8477"/>
    <cellStyle name="40% - Accent5 9 2 4" xfId="2200"/>
    <cellStyle name="40% - Accent5 9 2 4 2" xfId="2201"/>
    <cellStyle name="40% - Accent5 9 2 4 2 2" xfId="8480"/>
    <cellStyle name="40% - Accent5 9 2 4 3" xfId="8479"/>
    <cellStyle name="40% - Accent5 9 2 5" xfId="2202"/>
    <cellStyle name="40% - Accent5 9 2 5 2" xfId="8481"/>
    <cellStyle name="40% - Accent5 9 2 6" xfId="8474"/>
    <cellStyle name="40% - Accent5 9 2_ORACLE TRIAL BALANCE" xfId="2203"/>
    <cellStyle name="40% - Accent5 9 3" xfId="2204"/>
    <cellStyle name="40% - Accent5 9 3 2" xfId="2205"/>
    <cellStyle name="40% - Accent5 9 3 2 2" xfId="8483"/>
    <cellStyle name="40% - Accent5 9 3 3" xfId="8482"/>
    <cellStyle name="40% - Accent5 9 4" xfId="2206"/>
    <cellStyle name="40% - Accent5 9 4 2" xfId="2207"/>
    <cellStyle name="40% - Accent5 9 4 2 2" xfId="8485"/>
    <cellStyle name="40% - Accent5 9 4 3" xfId="8484"/>
    <cellStyle name="40% - Accent5 9 5" xfId="2208"/>
    <cellStyle name="40% - Accent5 9 5 2" xfId="2209"/>
    <cellStyle name="40% - Accent5 9 5 2 2" xfId="8487"/>
    <cellStyle name="40% - Accent5 9 5 3" xfId="8486"/>
    <cellStyle name="40% - Accent5 9 6" xfId="2210"/>
    <cellStyle name="40% - Accent5 9 6 2" xfId="8488"/>
    <cellStyle name="40% - Accent5 9 7" xfId="8473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2 2 2" xfId="8492"/>
    <cellStyle name="40% - Accent6 10 2 2 3" xfId="8491"/>
    <cellStyle name="40% - Accent6 10 2 3" xfId="2216"/>
    <cellStyle name="40% - Accent6 10 2 3 2" xfId="2217"/>
    <cellStyle name="40% - Accent6 10 2 3 2 2" xfId="8494"/>
    <cellStyle name="40% - Accent6 10 2 3 3" xfId="8493"/>
    <cellStyle name="40% - Accent6 10 2 4" xfId="2218"/>
    <cellStyle name="40% - Accent6 10 2 4 2" xfId="2219"/>
    <cellStyle name="40% - Accent6 10 2 4 2 2" xfId="8496"/>
    <cellStyle name="40% - Accent6 10 2 4 3" xfId="8495"/>
    <cellStyle name="40% - Accent6 10 2 5" xfId="2220"/>
    <cellStyle name="40% - Accent6 10 2 5 2" xfId="8497"/>
    <cellStyle name="40% - Accent6 10 2 6" xfId="8490"/>
    <cellStyle name="40% - Accent6 10 2_ORACLE TRIAL BALANCE" xfId="2221"/>
    <cellStyle name="40% - Accent6 10 3" xfId="2222"/>
    <cellStyle name="40% - Accent6 10 3 2" xfId="2223"/>
    <cellStyle name="40% - Accent6 10 3 2 2" xfId="8499"/>
    <cellStyle name="40% - Accent6 10 3 3" xfId="8498"/>
    <cellStyle name="40% - Accent6 10 4" xfId="2224"/>
    <cellStyle name="40% - Accent6 10 4 2" xfId="2225"/>
    <cellStyle name="40% - Accent6 10 4 2 2" xfId="8501"/>
    <cellStyle name="40% - Accent6 10 4 3" xfId="8500"/>
    <cellStyle name="40% - Accent6 10 5" xfId="2226"/>
    <cellStyle name="40% - Accent6 10 5 2" xfId="2227"/>
    <cellStyle name="40% - Accent6 10 5 2 2" xfId="8503"/>
    <cellStyle name="40% - Accent6 10 5 3" xfId="8502"/>
    <cellStyle name="40% - Accent6 10 6" xfId="2228"/>
    <cellStyle name="40% - Accent6 10 6 2" xfId="8504"/>
    <cellStyle name="40% - Accent6 10 7" xfId="8489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2 2 2" xfId="8507"/>
    <cellStyle name="40% - Accent6 11 2 3" xfId="8506"/>
    <cellStyle name="40% - Accent6 11 3" xfId="2233"/>
    <cellStyle name="40% - Accent6 11 3 2" xfId="2234"/>
    <cellStyle name="40% - Accent6 11 3 2 2" xfId="8509"/>
    <cellStyle name="40% - Accent6 11 3 3" xfId="8508"/>
    <cellStyle name="40% - Accent6 11 4" xfId="2235"/>
    <cellStyle name="40% - Accent6 11 4 2" xfId="2236"/>
    <cellStyle name="40% - Accent6 11 4 2 2" xfId="8511"/>
    <cellStyle name="40% - Accent6 11 4 3" xfId="8510"/>
    <cellStyle name="40% - Accent6 11 5" xfId="2237"/>
    <cellStyle name="40% - Accent6 11 5 2" xfId="8512"/>
    <cellStyle name="40% - Accent6 11 6" xfId="8505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2 2 2" xfId="8516"/>
    <cellStyle name="40% - Accent6 2 2 2 3" xfId="8515"/>
    <cellStyle name="40% - Accent6 2 2 3" xfId="2247"/>
    <cellStyle name="40% - Accent6 2 2 3 2" xfId="2248"/>
    <cellStyle name="40% - Accent6 2 2 3 2 2" xfId="8518"/>
    <cellStyle name="40% - Accent6 2 2 3 3" xfId="8517"/>
    <cellStyle name="40% - Accent6 2 2 4" xfId="2249"/>
    <cellStyle name="40% - Accent6 2 2 4 2" xfId="2250"/>
    <cellStyle name="40% - Accent6 2 2 4 2 2" xfId="8520"/>
    <cellStyle name="40% - Accent6 2 2 4 3" xfId="8519"/>
    <cellStyle name="40% - Accent6 2 2 5" xfId="2251"/>
    <cellStyle name="40% - Accent6 2 2 5 2" xfId="2252"/>
    <cellStyle name="40% - Accent6 2 2 5 2 2" xfId="8522"/>
    <cellStyle name="40% - Accent6 2 2 5 3" xfId="8521"/>
    <cellStyle name="40% - Accent6 2 2 6" xfId="2253"/>
    <cellStyle name="40% - Accent6 2 2 6 2" xfId="8523"/>
    <cellStyle name="40% - Accent6 2 2 7" xfId="8514"/>
    <cellStyle name="40% - Accent6 2 2_ORACLE TRIAL BALANCE" xfId="2254"/>
    <cellStyle name="40% - Accent6 2 3" xfId="2255"/>
    <cellStyle name="40% - Accent6 2 3 2" xfId="2256"/>
    <cellStyle name="40% - Accent6 2 3 2 2" xfId="8525"/>
    <cellStyle name="40% - Accent6 2 3 3" xfId="8524"/>
    <cellStyle name="40% - Accent6 2 4" xfId="2257"/>
    <cellStyle name="40% - Accent6 2 4 2" xfId="2258"/>
    <cellStyle name="40% - Accent6 2 4 2 2" xfId="8527"/>
    <cellStyle name="40% - Accent6 2 4 3" xfId="8526"/>
    <cellStyle name="40% - Accent6 2 5" xfId="2259"/>
    <cellStyle name="40% - Accent6 2 5 2" xfId="2260"/>
    <cellStyle name="40% - Accent6 2 5 2 2" xfId="8529"/>
    <cellStyle name="40% - Accent6 2 5 3" xfId="8528"/>
    <cellStyle name="40% - Accent6 2 6" xfId="2261"/>
    <cellStyle name="40% - Accent6 2 6 2" xfId="2262"/>
    <cellStyle name="40% - Accent6 2 6 2 2" xfId="8531"/>
    <cellStyle name="40% - Accent6 2 6 3" xfId="8530"/>
    <cellStyle name="40% - Accent6 2 7" xfId="2263"/>
    <cellStyle name="40% - Accent6 2 7 2" xfId="8532"/>
    <cellStyle name="40% - Accent6 2 8" xfId="2243"/>
    <cellStyle name="40% - Accent6 2 8 2" xfId="851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2 2 2" xfId="8536"/>
    <cellStyle name="40% - Accent6 3 2 2 3" xfId="8535"/>
    <cellStyle name="40% - Accent6 3 2 3" xfId="2269"/>
    <cellStyle name="40% - Accent6 3 2 3 2" xfId="2270"/>
    <cellStyle name="40% - Accent6 3 2 3 2 2" xfId="8538"/>
    <cellStyle name="40% - Accent6 3 2 3 3" xfId="8537"/>
    <cellStyle name="40% - Accent6 3 2 4" xfId="2271"/>
    <cellStyle name="40% - Accent6 3 2 4 2" xfId="2272"/>
    <cellStyle name="40% - Accent6 3 2 4 2 2" xfId="8540"/>
    <cellStyle name="40% - Accent6 3 2 4 3" xfId="8539"/>
    <cellStyle name="40% - Accent6 3 2 5" xfId="2273"/>
    <cellStyle name="40% - Accent6 3 2 5 2" xfId="8541"/>
    <cellStyle name="40% - Accent6 3 2 6" xfId="8534"/>
    <cellStyle name="40% - Accent6 3 2_ORACLE TRIAL BALANCE" xfId="2274"/>
    <cellStyle name="40% - Accent6 3 3" xfId="2275"/>
    <cellStyle name="40% - Accent6 3 3 2" xfId="2276"/>
    <cellStyle name="40% - Accent6 3 3 2 2" xfId="8543"/>
    <cellStyle name="40% - Accent6 3 3 3" xfId="8542"/>
    <cellStyle name="40% - Accent6 3 4" xfId="2277"/>
    <cellStyle name="40% - Accent6 3 4 2" xfId="2278"/>
    <cellStyle name="40% - Accent6 3 4 2 2" xfId="8545"/>
    <cellStyle name="40% - Accent6 3 4 3" xfId="8544"/>
    <cellStyle name="40% - Accent6 3 5" xfId="2279"/>
    <cellStyle name="40% - Accent6 3 6" xfId="2280"/>
    <cellStyle name="40% - Accent6 3 7" xfId="2281"/>
    <cellStyle name="40% - Accent6 3 8" xfId="2282"/>
    <cellStyle name="40% - Accent6 3 8 2" xfId="8546"/>
    <cellStyle name="40% - Accent6 3 9" xfId="8533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2 2 2" xfId="8550"/>
    <cellStyle name="40% - Accent6 4 2 2 3" xfId="8549"/>
    <cellStyle name="40% - Accent6 4 2 3" xfId="2288"/>
    <cellStyle name="40% - Accent6 4 2 3 2" xfId="2289"/>
    <cellStyle name="40% - Accent6 4 2 3 2 2" xfId="8552"/>
    <cellStyle name="40% - Accent6 4 2 3 3" xfId="8551"/>
    <cellStyle name="40% - Accent6 4 2 4" xfId="2290"/>
    <cellStyle name="40% - Accent6 4 2 4 2" xfId="2291"/>
    <cellStyle name="40% - Accent6 4 2 4 2 2" xfId="8554"/>
    <cellStyle name="40% - Accent6 4 2 4 3" xfId="8553"/>
    <cellStyle name="40% - Accent6 4 2 5" xfId="2292"/>
    <cellStyle name="40% - Accent6 4 2 5 2" xfId="8555"/>
    <cellStyle name="40% - Accent6 4 2 6" xfId="8548"/>
    <cellStyle name="40% - Accent6 4 2_ORACLE TRIAL BALANCE" xfId="2293"/>
    <cellStyle name="40% - Accent6 4 3" xfId="2294"/>
    <cellStyle name="40% - Accent6 4 3 2" xfId="2295"/>
    <cellStyle name="40% - Accent6 4 3 2 2" xfId="8557"/>
    <cellStyle name="40% - Accent6 4 3 3" xfId="8556"/>
    <cellStyle name="40% - Accent6 4 4" xfId="2296"/>
    <cellStyle name="40% - Accent6 4 4 2" xfId="2297"/>
    <cellStyle name="40% - Accent6 4 4 2 2" xfId="8559"/>
    <cellStyle name="40% - Accent6 4 4 3" xfId="8558"/>
    <cellStyle name="40% - Accent6 4 5" xfId="2298"/>
    <cellStyle name="40% - Accent6 4 5 2" xfId="2299"/>
    <cellStyle name="40% - Accent6 4 5 2 2" xfId="8561"/>
    <cellStyle name="40% - Accent6 4 5 3" xfId="8560"/>
    <cellStyle name="40% - Accent6 4 6" xfId="2300"/>
    <cellStyle name="40% - Accent6 4 6 2" xfId="8562"/>
    <cellStyle name="40% - Accent6 4 7" xfId="8547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2 2 2" xfId="8566"/>
    <cellStyle name="40% - Accent6 5 2 2 3" xfId="8565"/>
    <cellStyle name="40% - Accent6 5 2 3" xfId="2306"/>
    <cellStyle name="40% - Accent6 5 2 3 2" xfId="2307"/>
    <cellStyle name="40% - Accent6 5 2 3 2 2" xfId="8568"/>
    <cellStyle name="40% - Accent6 5 2 3 3" xfId="8567"/>
    <cellStyle name="40% - Accent6 5 2 4" xfId="2308"/>
    <cellStyle name="40% - Accent6 5 2 4 2" xfId="2309"/>
    <cellStyle name="40% - Accent6 5 2 4 2 2" xfId="8570"/>
    <cellStyle name="40% - Accent6 5 2 4 3" xfId="8569"/>
    <cellStyle name="40% - Accent6 5 2 5" xfId="2310"/>
    <cellStyle name="40% - Accent6 5 2 5 2" xfId="8571"/>
    <cellStyle name="40% - Accent6 5 2 6" xfId="8564"/>
    <cellStyle name="40% - Accent6 5 2_ORACLE TRIAL BALANCE" xfId="2311"/>
    <cellStyle name="40% - Accent6 5 3" xfId="2312"/>
    <cellStyle name="40% - Accent6 5 3 2" xfId="2313"/>
    <cellStyle name="40% - Accent6 5 3 2 2" xfId="8573"/>
    <cellStyle name="40% - Accent6 5 3 3" xfId="8572"/>
    <cellStyle name="40% - Accent6 5 4" xfId="2314"/>
    <cellStyle name="40% - Accent6 5 4 2" xfId="2315"/>
    <cellStyle name="40% - Accent6 5 4 2 2" xfId="8575"/>
    <cellStyle name="40% - Accent6 5 4 3" xfId="8574"/>
    <cellStyle name="40% - Accent6 5 5" xfId="2316"/>
    <cellStyle name="40% - Accent6 5 5 2" xfId="2317"/>
    <cellStyle name="40% - Accent6 5 5 2 2" xfId="8577"/>
    <cellStyle name="40% - Accent6 5 5 3" xfId="8576"/>
    <cellStyle name="40% - Accent6 5 6" xfId="2318"/>
    <cellStyle name="40% - Accent6 5 6 2" xfId="8578"/>
    <cellStyle name="40% - Accent6 5 7" xfId="8563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2 2 2" xfId="8582"/>
    <cellStyle name="40% - Accent6 6 2 2 3" xfId="8581"/>
    <cellStyle name="40% - Accent6 6 2 3" xfId="2324"/>
    <cellStyle name="40% - Accent6 6 2 3 2" xfId="2325"/>
    <cellStyle name="40% - Accent6 6 2 3 2 2" xfId="8584"/>
    <cellStyle name="40% - Accent6 6 2 3 3" xfId="8583"/>
    <cellStyle name="40% - Accent6 6 2 4" xfId="2326"/>
    <cellStyle name="40% - Accent6 6 2 4 2" xfId="2327"/>
    <cellStyle name="40% - Accent6 6 2 4 2 2" xfId="8586"/>
    <cellStyle name="40% - Accent6 6 2 4 3" xfId="8585"/>
    <cellStyle name="40% - Accent6 6 2 5" xfId="2328"/>
    <cellStyle name="40% - Accent6 6 2 5 2" xfId="8587"/>
    <cellStyle name="40% - Accent6 6 2 6" xfId="8580"/>
    <cellStyle name="40% - Accent6 6 2_ORACLE TRIAL BALANCE" xfId="2329"/>
    <cellStyle name="40% - Accent6 6 3" xfId="2330"/>
    <cellStyle name="40% - Accent6 6 3 2" xfId="2331"/>
    <cellStyle name="40% - Accent6 6 3 2 2" xfId="8589"/>
    <cellStyle name="40% - Accent6 6 3 3" xfId="8588"/>
    <cellStyle name="40% - Accent6 6 4" xfId="2332"/>
    <cellStyle name="40% - Accent6 6 4 2" xfId="2333"/>
    <cellStyle name="40% - Accent6 6 4 2 2" xfId="8591"/>
    <cellStyle name="40% - Accent6 6 4 3" xfId="8590"/>
    <cellStyle name="40% - Accent6 6 5" xfId="2334"/>
    <cellStyle name="40% - Accent6 6 5 2" xfId="2335"/>
    <cellStyle name="40% - Accent6 6 5 2 2" xfId="8593"/>
    <cellStyle name="40% - Accent6 6 5 3" xfId="8592"/>
    <cellStyle name="40% - Accent6 6 6" xfId="2336"/>
    <cellStyle name="40% - Accent6 6 6 2" xfId="8594"/>
    <cellStyle name="40% - Accent6 6 7" xfId="8579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2 2 2" xfId="8598"/>
    <cellStyle name="40% - Accent6 7 2 2 3" xfId="8597"/>
    <cellStyle name="40% - Accent6 7 2 3" xfId="2342"/>
    <cellStyle name="40% - Accent6 7 2 3 2" xfId="2343"/>
    <cellStyle name="40% - Accent6 7 2 3 2 2" xfId="8600"/>
    <cellStyle name="40% - Accent6 7 2 3 3" xfId="8599"/>
    <cellStyle name="40% - Accent6 7 2 4" xfId="2344"/>
    <cellStyle name="40% - Accent6 7 2 4 2" xfId="2345"/>
    <cellStyle name="40% - Accent6 7 2 4 2 2" xfId="8602"/>
    <cellStyle name="40% - Accent6 7 2 4 3" xfId="8601"/>
    <cellStyle name="40% - Accent6 7 2 5" xfId="2346"/>
    <cellStyle name="40% - Accent6 7 2 5 2" xfId="8603"/>
    <cellStyle name="40% - Accent6 7 2 6" xfId="8596"/>
    <cellStyle name="40% - Accent6 7 2_ORACLE TRIAL BALANCE" xfId="2347"/>
    <cellStyle name="40% - Accent6 7 3" xfId="2348"/>
    <cellStyle name="40% - Accent6 7 3 2" xfId="2349"/>
    <cellStyle name="40% - Accent6 7 3 2 2" xfId="8605"/>
    <cellStyle name="40% - Accent6 7 3 3" xfId="8604"/>
    <cellStyle name="40% - Accent6 7 4" xfId="2350"/>
    <cellStyle name="40% - Accent6 7 4 2" xfId="2351"/>
    <cellStyle name="40% - Accent6 7 4 2 2" xfId="8607"/>
    <cellStyle name="40% - Accent6 7 4 3" xfId="8606"/>
    <cellStyle name="40% - Accent6 7 5" xfId="2352"/>
    <cellStyle name="40% - Accent6 7 5 2" xfId="2353"/>
    <cellStyle name="40% - Accent6 7 5 2 2" xfId="8609"/>
    <cellStyle name="40% - Accent6 7 5 3" xfId="8608"/>
    <cellStyle name="40% - Accent6 7 6" xfId="2354"/>
    <cellStyle name="40% - Accent6 7 6 2" xfId="8610"/>
    <cellStyle name="40% - Accent6 7 7" xfId="8595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2 2 2" xfId="8614"/>
    <cellStyle name="40% - Accent6 8 2 2 3" xfId="8613"/>
    <cellStyle name="40% - Accent6 8 2 3" xfId="2360"/>
    <cellStyle name="40% - Accent6 8 2 3 2" xfId="2361"/>
    <cellStyle name="40% - Accent6 8 2 3 2 2" xfId="8616"/>
    <cellStyle name="40% - Accent6 8 2 3 3" xfId="8615"/>
    <cellStyle name="40% - Accent6 8 2 4" xfId="2362"/>
    <cellStyle name="40% - Accent6 8 2 4 2" xfId="2363"/>
    <cellStyle name="40% - Accent6 8 2 4 2 2" xfId="8618"/>
    <cellStyle name="40% - Accent6 8 2 4 3" xfId="8617"/>
    <cellStyle name="40% - Accent6 8 2 5" xfId="2364"/>
    <cellStyle name="40% - Accent6 8 2 5 2" xfId="8619"/>
    <cellStyle name="40% - Accent6 8 2 6" xfId="8612"/>
    <cellStyle name="40% - Accent6 8 2_ORACLE TRIAL BALANCE" xfId="2365"/>
    <cellStyle name="40% - Accent6 8 3" xfId="2366"/>
    <cellStyle name="40% - Accent6 8 3 2" xfId="2367"/>
    <cellStyle name="40% - Accent6 8 3 2 2" xfId="8621"/>
    <cellStyle name="40% - Accent6 8 3 3" xfId="8620"/>
    <cellStyle name="40% - Accent6 8 4" xfId="2368"/>
    <cellStyle name="40% - Accent6 8 4 2" xfId="2369"/>
    <cellStyle name="40% - Accent6 8 4 2 2" xfId="8623"/>
    <cellStyle name="40% - Accent6 8 4 3" xfId="8622"/>
    <cellStyle name="40% - Accent6 8 5" xfId="2370"/>
    <cellStyle name="40% - Accent6 8 5 2" xfId="2371"/>
    <cellStyle name="40% - Accent6 8 5 2 2" xfId="8625"/>
    <cellStyle name="40% - Accent6 8 5 3" xfId="8624"/>
    <cellStyle name="40% - Accent6 8 6" xfId="2372"/>
    <cellStyle name="40% - Accent6 8 6 2" xfId="8626"/>
    <cellStyle name="40% - Accent6 8 7" xfId="8611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2 2 2" xfId="8630"/>
    <cellStyle name="40% - Accent6 9 2 2 3" xfId="8629"/>
    <cellStyle name="40% - Accent6 9 2 3" xfId="2378"/>
    <cellStyle name="40% - Accent6 9 2 3 2" xfId="2379"/>
    <cellStyle name="40% - Accent6 9 2 3 2 2" xfId="8632"/>
    <cellStyle name="40% - Accent6 9 2 3 3" xfId="8631"/>
    <cellStyle name="40% - Accent6 9 2 4" xfId="2380"/>
    <cellStyle name="40% - Accent6 9 2 4 2" xfId="2381"/>
    <cellStyle name="40% - Accent6 9 2 4 2 2" xfId="8634"/>
    <cellStyle name="40% - Accent6 9 2 4 3" xfId="8633"/>
    <cellStyle name="40% - Accent6 9 2 5" xfId="2382"/>
    <cellStyle name="40% - Accent6 9 2 5 2" xfId="8635"/>
    <cellStyle name="40% - Accent6 9 2 6" xfId="8628"/>
    <cellStyle name="40% - Accent6 9 2_ORACLE TRIAL BALANCE" xfId="2383"/>
    <cellStyle name="40% - Accent6 9 3" xfId="2384"/>
    <cellStyle name="40% - Accent6 9 3 2" xfId="2385"/>
    <cellStyle name="40% - Accent6 9 3 2 2" xfId="8637"/>
    <cellStyle name="40% - Accent6 9 3 3" xfId="8636"/>
    <cellStyle name="40% - Accent6 9 4" xfId="2386"/>
    <cellStyle name="40% - Accent6 9 4 2" xfId="2387"/>
    <cellStyle name="40% - Accent6 9 4 2 2" xfId="8639"/>
    <cellStyle name="40% - Accent6 9 4 3" xfId="8638"/>
    <cellStyle name="40% - Accent6 9 5" xfId="2388"/>
    <cellStyle name="40% - Accent6 9 5 2" xfId="2389"/>
    <cellStyle name="40% - Accent6 9 5 2 2" xfId="8641"/>
    <cellStyle name="40% - Accent6 9 5 3" xfId="8640"/>
    <cellStyle name="40% - Accent6 9 6" xfId="2390"/>
    <cellStyle name="40% - Accent6 9 6 2" xfId="8642"/>
    <cellStyle name="40% - Accent6 9 7" xfId="8627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18" xfId="6790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8 2" xfId="8828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2 2 2" xfId="8646"/>
    <cellStyle name="Normal 10 2 2 3" xfId="8645"/>
    <cellStyle name="Normal 10 2 3" xfId="3318"/>
    <cellStyle name="Normal 10 2 3 2" xfId="3319"/>
    <cellStyle name="Normal 10 2 3 2 2" xfId="8648"/>
    <cellStyle name="Normal 10 2 3 3" xfId="8647"/>
    <cellStyle name="Normal 10 2 4" xfId="3320"/>
    <cellStyle name="Normal 10 2 4 2" xfId="3321"/>
    <cellStyle name="Normal 10 2 4 2 2" xfId="8650"/>
    <cellStyle name="Normal 10 2 4 3" xfId="8649"/>
    <cellStyle name="Normal 10 2 5" xfId="3322"/>
    <cellStyle name="Normal 10 2 5 2" xfId="8651"/>
    <cellStyle name="Normal 10 2 6" xfId="8644"/>
    <cellStyle name="Normal 10 2_ORACLE TRIAL BALANCE" xfId="3323"/>
    <cellStyle name="Normal 10 3" xfId="3324"/>
    <cellStyle name="Normal 10 3 2" xfId="3325"/>
    <cellStyle name="Normal 10 3 2 2" xfId="8653"/>
    <cellStyle name="Normal 10 3 3" xfId="8652"/>
    <cellStyle name="Normal 10 4" xfId="3326"/>
    <cellStyle name="Normal 10 4 2" xfId="3327"/>
    <cellStyle name="Normal 10 4 2 2" xfId="8655"/>
    <cellStyle name="Normal 10 4 3" xfId="8654"/>
    <cellStyle name="Normal 10 5" xfId="3328"/>
    <cellStyle name="Normal 10 5 2" xfId="3329"/>
    <cellStyle name="Normal 10 5 2 2" xfId="8657"/>
    <cellStyle name="Normal 10 5 3" xfId="8656"/>
    <cellStyle name="Normal 10 6" xfId="3330"/>
    <cellStyle name="Normal 10 6 2" xfId="3331"/>
    <cellStyle name="Normal 10 6 2 2" xfId="8659"/>
    <cellStyle name="Normal 10 6 3" xfId="8658"/>
    <cellStyle name="Normal 10 7" xfId="3332"/>
    <cellStyle name="Normal 10 7 2" xfId="8660"/>
    <cellStyle name="Normal 10 8" xfId="8643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2 2 2" xfId="8664"/>
    <cellStyle name="Normal 11 2 2 3" xfId="8663"/>
    <cellStyle name="Normal 11 2 3" xfId="3338"/>
    <cellStyle name="Normal 11 2 3 2" xfId="3339"/>
    <cellStyle name="Normal 11 2 3 2 2" xfId="8666"/>
    <cellStyle name="Normal 11 2 3 3" xfId="8665"/>
    <cellStyle name="Normal 11 2 4" xfId="3340"/>
    <cellStyle name="Normal 11 2 4 2" xfId="3341"/>
    <cellStyle name="Normal 11 2 4 2 2" xfId="8668"/>
    <cellStyle name="Normal 11 2 4 3" xfId="8667"/>
    <cellStyle name="Normal 11 2 5" xfId="3342"/>
    <cellStyle name="Normal 11 2 5 2" xfId="8669"/>
    <cellStyle name="Normal 11 2 6" xfId="8662"/>
    <cellStyle name="Normal 11 2_ORACLE TRIAL BALANCE" xfId="3343"/>
    <cellStyle name="Normal 11 3" xfId="3344"/>
    <cellStyle name="Normal 11 3 2" xfId="3345"/>
    <cellStyle name="Normal 11 3 2 2" xfId="8671"/>
    <cellStyle name="Normal 11 3 3" xfId="8670"/>
    <cellStyle name="Normal 11 4" xfId="3346"/>
    <cellStyle name="Normal 11 4 2" xfId="3347"/>
    <cellStyle name="Normal 11 4 2 2" xfId="8673"/>
    <cellStyle name="Normal 11 4 3" xfId="8672"/>
    <cellStyle name="Normal 11 5" xfId="3348"/>
    <cellStyle name="Normal 11 5 2" xfId="3349"/>
    <cellStyle name="Normal 11 5 2 2" xfId="8675"/>
    <cellStyle name="Normal 11 5 3" xfId="8674"/>
    <cellStyle name="Normal 11 6" xfId="3350"/>
    <cellStyle name="Normal 11 6 2" xfId="8676"/>
    <cellStyle name="Normal 11 7" xfId="8661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2 2 2" xfId="8680"/>
    <cellStyle name="Normal 12 2 2 3" xfId="8679"/>
    <cellStyle name="Normal 12 2 3" xfId="3356"/>
    <cellStyle name="Normal 12 2 3 2" xfId="3357"/>
    <cellStyle name="Normal 12 2 3 2 2" xfId="8682"/>
    <cellStyle name="Normal 12 2 3 3" xfId="8681"/>
    <cellStyle name="Normal 12 2 4" xfId="3358"/>
    <cellStyle name="Normal 12 2 4 2" xfId="3359"/>
    <cellStyle name="Normal 12 2 4 2 2" xfId="8684"/>
    <cellStyle name="Normal 12 2 4 3" xfId="8683"/>
    <cellStyle name="Normal 12 2 5" xfId="3360"/>
    <cellStyle name="Normal 12 2 5 2" xfId="8685"/>
    <cellStyle name="Normal 12 2 6" xfId="8678"/>
    <cellStyle name="Normal 12 2_ORACLE TRIAL BALANCE" xfId="3361"/>
    <cellStyle name="Normal 12 3" xfId="3362"/>
    <cellStyle name="Normal 12 3 2" xfId="3363"/>
    <cellStyle name="Normal 12 3 2 2" xfId="8687"/>
    <cellStyle name="Normal 12 3 3" xfId="8686"/>
    <cellStyle name="Normal 12 4" xfId="3364"/>
    <cellStyle name="Normal 12 4 2" xfId="3365"/>
    <cellStyle name="Normal 12 4 2 2" xfId="8689"/>
    <cellStyle name="Normal 12 4 3" xfId="8688"/>
    <cellStyle name="Normal 12 5" xfId="3366"/>
    <cellStyle name="Normal 12 5 2" xfId="3367"/>
    <cellStyle name="Normal 12 5 2 2" xfId="8691"/>
    <cellStyle name="Normal 12 5 3" xfId="8690"/>
    <cellStyle name="Normal 12 6" xfId="3368"/>
    <cellStyle name="Normal 12 6 2" xfId="8692"/>
    <cellStyle name="Normal 12 7" xfId="8677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7 3" xfId="8852"/>
    <cellStyle name="Normal 128" xfId="139"/>
    <cellStyle name="Normal 128 2" xfId="6787"/>
    <cellStyle name="Normal 128 3" xfId="8847"/>
    <cellStyle name="Normal 129" xfId="6682"/>
    <cellStyle name="Normal 129 2" xfId="6788"/>
    <cellStyle name="Normal 129 3" xfId="8853"/>
    <cellStyle name="Normal 13" xfId="3370"/>
    <cellStyle name="Normal 13 2" xfId="3371"/>
    <cellStyle name="Normal 13 2 2" xfId="3372"/>
    <cellStyle name="Normal 13 2 2 2" xfId="3373"/>
    <cellStyle name="Normal 13 2 2 2 2" xfId="8696"/>
    <cellStyle name="Normal 13 2 2 3" xfId="8695"/>
    <cellStyle name="Normal 13 2 3" xfId="3374"/>
    <cellStyle name="Normal 13 2 3 2" xfId="3375"/>
    <cellStyle name="Normal 13 2 3 2 2" xfId="8698"/>
    <cellStyle name="Normal 13 2 3 3" xfId="8697"/>
    <cellStyle name="Normal 13 2 4" xfId="3376"/>
    <cellStyle name="Normal 13 2 4 2" xfId="3377"/>
    <cellStyle name="Normal 13 2 4 2 2" xfId="8700"/>
    <cellStyle name="Normal 13 2 4 3" xfId="8699"/>
    <cellStyle name="Normal 13 2 5" xfId="3378"/>
    <cellStyle name="Normal 13 2 5 2" xfId="8701"/>
    <cellStyle name="Normal 13 2 6" xfId="8694"/>
    <cellStyle name="Normal 13 2_ORACLE TRIAL BALANCE" xfId="3379"/>
    <cellStyle name="Normal 13 3" xfId="3380"/>
    <cellStyle name="Normal 13 3 2" xfId="3381"/>
    <cellStyle name="Normal 13 3 2 2" xfId="8703"/>
    <cellStyle name="Normal 13 3 3" xfId="8702"/>
    <cellStyle name="Normal 13 4" xfId="3382"/>
    <cellStyle name="Normal 13 4 2" xfId="3383"/>
    <cellStyle name="Normal 13 4 2 2" xfId="8705"/>
    <cellStyle name="Normal 13 4 3" xfId="8704"/>
    <cellStyle name="Normal 13 5" xfId="3384"/>
    <cellStyle name="Normal 13 5 2" xfId="3385"/>
    <cellStyle name="Normal 13 5 2 2" xfId="8707"/>
    <cellStyle name="Normal 13 5 3" xfId="8706"/>
    <cellStyle name="Normal 13 6" xfId="3386"/>
    <cellStyle name="Normal 13 6 2" xfId="8708"/>
    <cellStyle name="Normal 13 7" xfId="8693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2 3 2" xfId="8711"/>
    <cellStyle name="Normal 14 2 4" xfId="8710"/>
    <cellStyle name="Normal 14 3" xfId="3392"/>
    <cellStyle name="Normal 14 3 2" xfId="3393"/>
    <cellStyle name="Normal 14 3 2 2" xfId="8713"/>
    <cellStyle name="Normal 14 3 3" xfId="8712"/>
    <cellStyle name="Normal 14 4" xfId="3394"/>
    <cellStyle name="Normal 14 4 2" xfId="3395"/>
    <cellStyle name="Normal 14 4 2 2" xfId="8715"/>
    <cellStyle name="Normal 14 4 3" xfId="8714"/>
    <cellStyle name="Normal 14 5" xfId="3396"/>
    <cellStyle name="Normal 14 5 2" xfId="3397"/>
    <cellStyle name="Normal 14 5 2 2" xfId="8717"/>
    <cellStyle name="Normal 14 5 3" xfId="8716"/>
    <cellStyle name="Normal 14 6" xfId="3398"/>
    <cellStyle name="Normal 14 6 2" xfId="8718"/>
    <cellStyle name="Normal 14 7" xfId="8709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58" xfId="8851"/>
    <cellStyle name="Normal 159" xfId="8841"/>
    <cellStyle name="Normal 16" xfId="3402"/>
    <cellStyle name="Normal 16 2" xfId="3403"/>
    <cellStyle name="Normal 160" xfId="8849"/>
    <cellStyle name="Normal 161" xfId="8844"/>
    <cellStyle name="Normal 162" xfId="8845"/>
    <cellStyle name="Normal 163" xfId="6789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3 3" xfId="6794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 8" xfId="6791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4 2 2" xfId="8720"/>
    <cellStyle name="Normal 3 2 4 3" xfId="8719"/>
    <cellStyle name="Normal 3 2 5" xfId="3459"/>
    <cellStyle name="Normal 3 2 5 2" xfId="3460"/>
    <cellStyle name="Normal 3 2 5 2 2" xfId="8722"/>
    <cellStyle name="Normal 3 2 5 3" xfId="8721"/>
    <cellStyle name="Normal 3 2 6" xfId="3461"/>
    <cellStyle name="Normal 3 2 6 2" xfId="3462"/>
    <cellStyle name="Normal 3 2 6 2 2" xfId="8724"/>
    <cellStyle name="Normal 3 2 6 3" xfId="8723"/>
    <cellStyle name="Normal 3 2 7" xfId="3463"/>
    <cellStyle name="Normal 3 2 7 2" xfId="3464"/>
    <cellStyle name="Normal 3 2 7 2 2" xfId="8726"/>
    <cellStyle name="Normal 3 2 7 3" xfId="8725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2 2 2" xfId="8729"/>
    <cellStyle name="Normal 3 3 2 3" xfId="8728"/>
    <cellStyle name="Normal 3 3 3" xfId="3468"/>
    <cellStyle name="Normal 3 3 3 2" xfId="3469"/>
    <cellStyle name="Normal 3 3 3 2 2" xfId="8731"/>
    <cellStyle name="Normal 3 3 3 3" xfId="8730"/>
    <cellStyle name="Normal 3 3 4" xfId="3470"/>
    <cellStyle name="Normal 3 3 4 2" xfId="3471"/>
    <cellStyle name="Normal 3 3 4 2 2" xfId="8733"/>
    <cellStyle name="Normal 3 3 4 3" xfId="8732"/>
    <cellStyle name="Normal 3 3 5" xfId="3472"/>
    <cellStyle name="Normal 3 3 5 2" xfId="8734"/>
    <cellStyle name="Normal 3 3 6" xfId="8727"/>
    <cellStyle name="Normal 3 4" xfId="3473"/>
    <cellStyle name="Normal 3 4 2" xfId="3474"/>
    <cellStyle name="Normal 3 4 2 2" xfId="3475"/>
    <cellStyle name="Normal 3 4 2 2 2" xfId="8737"/>
    <cellStyle name="Normal 3 4 2 3" xfId="8736"/>
    <cellStyle name="Normal 3 4 3" xfId="3476"/>
    <cellStyle name="Normal 3 4 3 2" xfId="3477"/>
    <cellStyle name="Normal 3 4 3 2 2" xfId="8739"/>
    <cellStyle name="Normal 3 4 3 3" xfId="8738"/>
    <cellStyle name="Normal 3 4 4" xfId="3478"/>
    <cellStyle name="Normal 3 4 4 2" xfId="3479"/>
    <cellStyle name="Normal 3 4 4 2 2" xfId="8741"/>
    <cellStyle name="Normal 3 4 4 3" xfId="8740"/>
    <cellStyle name="Normal 3 4 5" xfId="3480"/>
    <cellStyle name="Normal 3 4 5 2" xfId="8742"/>
    <cellStyle name="Normal 3 4 6" xfId="8735"/>
    <cellStyle name="Normal 3 5" xfId="3481"/>
    <cellStyle name="Normal 3 5 2" xfId="3482"/>
    <cellStyle name="Normal 3 5 2 2" xfId="3483"/>
    <cellStyle name="Normal 3 5 2 2 2" xfId="8745"/>
    <cellStyle name="Normal 3 5 2 3" xfId="8744"/>
    <cellStyle name="Normal 3 5 3" xfId="3484"/>
    <cellStyle name="Normal 3 5 3 2" xfId="3485"/>
    <cellStyle name="Normal 3 5 3 2 2" xfId="8747"/>
    <cellStyle name="Normal 3 5 3 3" xfId="8746"/>
    <cellStyle name="Normal 3 5 4" xfId="3486"/>
    <cellStyle name="Normal 3 5 4 2" xfId="3487"/>
    <cellStyle name="Normal 3 5 4 2 2" xfId="8749"/>
    <cellStyle name="Normal 3 5 4 3" xfId="8748"/>
    <cellStyle name="Normal 3 5 5" xfId="3488"/>
    <cellStyle name="Normal 3 5 5 2" xfId="8750"/>
    <cellStyle name="Normal 3 5 6" xfId="8743"/>
    <cellStyle name="Normal 3 6" xfId="3489"/>
    <cellStyle name="Normal 3 6 2" xfId="3490"/>
    <cellStyle name="Normal 3 6 3" xfId="3491"/>
    <cellStyle name="Normal 3 6 3 2" xfId="8752"/>
    <cellStyle name="Normal 3 6 4" xfId="8751"/>
    <cellStyle name="Normal 3 7" xfId="3492"/>
    <cellStyle name="Normal 3 7 2" xfId="3493"/>
    <cellStyle name="Normal 3 7 2 2" xfId="8754"/>
    <cellStyle name="Normal 3 7 3" xfId="8753"/>
    <cellStyle name="Normal 3 8" xfId="3494"/>
    <cellStyle name="Normal 3 8 2" xfId="5451"/>
    <cellStyle name="Normal 3 9" xfId="6792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39 2 2" xfId="8756"/>
    <cellStyle name="Normal 39 3" xfId="8755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2 2 2" xfId="8759"/>
    <cellStyle name="Normal 4 11 2 3" xfId="8758"/>
    <cellStyle name="Normal 4 11 3" xfId="3515"/>
    <cellStyle name="Normal 4 11 3 2" xfId="3516"/>
    <cellStyle name="Normal 4 11 3 2 2" xfId="8761"/>
    <cellStyle name="Normal 4 11 3 3" xfId="8760"/>
    <cellStyle name="Normal 4 11 4" xfId="3517"/>
    <cellStyle name="Normal 4 11 4 2" xfId="3518"/>
    <cellStyle name="Normal 4 11 4 2 2" xfId="8763"/>
    <cellStyle name="Normal 4 11 4 3" xfId="8762"/>
    <cellStyle name="Normal 4 11 5" xfId="3519"/>
    <cellStyle name="Normal 4 11 5 2" xfId="8764"/>
    <cellStyle name="Normal 4 11 6" xfId="8757"/>
    <cellStyle name="Normal 4 12" xfId="3520"/>
    <cellStyle name="Normal 4 13" xfId="3521"/>
    <cellStyle name="Normal 4 13 2" xfId="3522"/>
    <cellStyle name="Normal 4 13 2 2" xfId="8766"/>
    <cellStyle name="Normal 4 13 3" xfId="8765"/>
    <cellStyle name="Normal 4 14" xfId="3523"/>
    <cellStyle name="Normal 4 15" xfId="3524"/>
    <cellStyle name="Normal 4 15 2" xfId="3525"/>
    <cellStyle name="Normal 4 15 2 2" xfId="8768"/>
    <cellStyle name="Normal 4 15 3" xfId="8767"/>
    <cellStyle name="Normal 4 16" xfId="3526"/>
    <cellStyle name="Normal 4 16 2" xfId="3527"/>
    <cellStyle name="Normal 4 16 2 2" xfId="8770"/>
    <cellStyle name="Normal 4 16 3" xfId="8769"/>
    <cellStyle name="Normal 4 17" xfId="3528"/>
    <cellStyle name="Normal 4 17 2" xfId="3529"/>
    <cellStyle name="Normal 4 17 2 2" xfId="8772"/>
    <cellStyle name="Normal 4 17 3" xfId="8771"/>
    <cellStyle name="Normal 4 18" xfId="3530"/>
    <cellStyle name="Normal 4 18 2" xfId="8773"/>
    <cellStyle name="Normal 4 19" xfId="3531"/>
    <cellStyle name="Normal 4 19 2" xfId="8774"/>
    <cellStyle name="Normal 4 2" xfId="163"/>
    <cellStyle name="Normal 4 2 10" xfId="3533"/>
    <cellStyle name="Normal 4 2 11" xfId="3534"/>
    <cellStyle name="Normal 4 2 11 2" xfId="3535"/>
    <cellStyle name="Normal 4 2 11 2 2" xfId="8777"/>
    <cellStyle name="Normal 4 2 11 3" xfId="8776"/>
    <cellStyle name="Normal 4 2 12" xfId="3536"/>
    <cellStyle name="Normal 4 2 12 2" xfId="8778"/>
    <cellStyle name="Normal 4 2 13" xfId="3532"/>
    <cellStyle name="Normal 4 2 13 2" xfId="8775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2 8 2" xfId="8780"/>
    <cellStyle name="Normal 4 2 2 9" xfId="8779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3 6 2" xfId="8782"/>
    <cellStyle name="Normal 4 2 3 7" xfId="8781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2 2 2" xfId="8785"/>
    <cellStyle name="Normal 4 2 7 2 3" xfId="8784"/>
    <cellStyle name="Normal 4 2 7 3" xfId="3634"/>
    <cellStyle name="Normal 4 2 7 3 2" xfId="3635"/>
    <cellStyle name="Normal 4 2 7 3 2 2" xfId="8787"/>
    <cellStyle name="Normal 4 2 7 3 3" xfId="8786"/>
    <cellStyle name="Normal 4 2 7 4" xfId="3636"/>
    <cellStyle name="Normal 4 2 7 4 2" xfId="3637"/>
    <cellStyle name="Normal 4 2 7 4 2 2" xfId="8789"/>
    <cellStyle name="Normal 4 2 7 4 3" xfId="8788"/>
    <cellStyle name="Normal 4 2 7 5" xfId="3638"/>
    <cellStyle name="Normal 4 2 7 5 2" xfId="8790"/>
    <cellStyle name="Normal 4 2 7 6" xfId="8783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2 2" xfId="8860"/>
    <cellStyle name="Normal 4 24 3" xfId="6775"/>
    <cellStyle name="Normal 4 25" xfId="6633"/>
    <cellStyle name="Normal 4 25 2" xfId="6765"/>
    <cellStyle name="Normal 4 25 2 2" xfId="8868"/>
    <cellStyle name="Normal 4 25 3" xfId="6783"/>
    <cellStyle name="Normal 4 26" xfId="6615"/>
    <cellStyle name="Normal 4 26 2" xfId="6758"/>
    <cellStyle name="Normal 4 26 2 2" xfId="8861"/>
    <cellStyle name="Normal 4 26 3" xfId="6776"/>
    <cellStyle name="Normal 4 27" xfId="6616"/>
    <cellStyle name="Normal 4 27 2" xfId="6759"/>
    <cellStyle name="Normal 4 27 2 2" xfId="8862"/>
    <cellStyle name="Normal 4 27 3" xfId="6777"/>
    <cellStyle name="Normal 4 28" xfId="6630"/>
    <cellStyle name="Normal 4 28 2" xfId="6764"/>
    <cellStyle name="Normal 4 28 2 2" xfId="8867"/>
    <cellStyle name="Normal 4 28 3" xfId="6782"/>
    <cellStyle name="Normal 4 29" xfId="6612"/>
    <cellStyle name="Normal 4 29 2" xfId="6756"/>
    <cellStyle name="Normal 4 29 2 2" xfId="8859"/>
    <cellStyle name="Normal 4 29 3" xfId="6774"/>
    <cellStyle name="Normal 4 3" xfId="230"/>
    <cellStyle name="Normal 4 3 10" xfId="3644"/>
    <cellStyle name="Normal 4 3 10 2" xfId="8792"/>
    <cellStyle name="Normal 4 3 11" xfId="3643"/>
    <cellStyle name="Normal 4 3 11 2" xfId="8791"/>
    <cellStyle name="Normal 4 3 12" xfId="6751"/>
    <cellStyle name="Normal 4 3 12 2" xfId="8854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2 2" xfId="8866"/>
    <cellStyle name="Normal 4 30 3" xfId="6781"/>
    <cellStyle name="Normal 4 31" xfId="6626"/>
    <cellStyle name="Normal 4 31 2" xfId="6762"/>
    <cellStyle name="Normal 4 31 2 2" xfId="8865"/>
    <cellStyle name="Normal 4 31 3" xfId="6780"/>
    <cellStyle name="Normal 4 32" xfId="6610"/>
    <cellStyle name="Normal 4 32 2" xfId="6755"/>
    <cellStyle name="Normal 4 32 2 2" xfId="8858"/>
    <cellStyle name="Normal 4 32 3" xfId="6773"/>
    <cellStyle name="Normal 4 33" xfId="6623"/>
    <cellStyle name="Normal 4 33 2" xfId="6761"/>
    <cellStyle name="Normal 4 33 2 2" xfId="8864"/>
    <cellStyle name="Normal 4 33 3" xfId="6779"/>
    <cellStyle name="Normal 4 34" xfId="6622"/>
    <cellStyle name="Normal 4 34 2" xfId="6760"/>
    <cellStyle name="Normal 4 34 2 2" xfId="8863"/>
    <cellStyle name="Normal 4 34 3" xfId="6778"/>
    <cellStyle name="Normal 4 35" xfId="6606"/>
    <cellStyle name="Normal 4 35 2" xfId="6753"/>
    <cellStyle name="Normal 4 35 2 2" xfId="8856"/>
    <cellStyle name="Normal 4 35 3" xfId="6771"/>
    <cellStyle name="Normal 4 36" xfId="6605"/>
    <cellStyle name="Normal 4 36 2" xfId="6752"/>
    <cellStyle name="Normal 4 36 2 2" xfId="8855"/>
    <cellStyle name="Normal 4 36 3" xfId="6770"/>
    <cellStyle name="Normal 4 37" xfId="6608"/>
    <cellStyle name="Normal 4 37 2" xfId="6754"/>
    <cellStyle name="Normal 4 37 2 2" xfId="8857"/>
    <cellStyle name="Normal 4 37 3" xfId="6772"/>
    <cellStyle name="Normal 4 4" xfId="3741"/>
    <cellStyle name="Normal 4 4 10" xfId="3742"/>
    <cellStyle name="Normal 4 4 10 2" xfId="8794"/>
    <cellStyle name="Normal 4 4 11" xfId="8793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2 2 2" xfId="8797"/>
    <cellStyle name="Normal 4 7 2 3" xfId="8796"/>
    <cellStyle name="Normal 4 7 3" xfId="3970"/>
    <cellStyle name="Normal 4 7 3 2" xfId="3971"/>
    <cellStyle name="Normal 4 7 3 2 2" xfId="8799"/>
    <cellStyle name="Normal 4 7 3 3" xfId="8798"/>
    <cellStyle name="Normal 4 7 4" xfId="3972"/>
    <cellStyle name="Normal 4 7 4 2" xfId="3973"/>
    <cellStyle name="Normal 4 7 4 2 2" xfId="8801"/>
    <cellStyle name="Normal 4 7 4 3" xfId="8800"/>
    <cellStyle name="Normal 4 7 5" xfId="3974"/>
    <cellStyle name="Normal 4 7 5 2" xfId="8802"/>
    <cellStyle name="Normal 4 7 6" xfId="8795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0 2 2" xfId="8804"/>
    <cellStyle name="Normal 40 3" xfId="8803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1 2 2" xfId="8806"/>
    <cellStyle name="Normal 5 11 3" xfId="8805"/>
    <cellStyle name="Normal 5 12" xfId="4024"/>
    <cellStyle name="Normal 5 13" xfId="4025"/>
    <cellStyle name="Normal 5 14" xfId="4026"/>
    <cellStyle name="Normal 5 14 2" xfId="4027"/>
    <cellStyle name="Normal 5 14 2 2" xfId="8808"/>
    <cellStyle name="Normal 5 14 3" xfId="8807"/>
    <cellStyle name="Normal 5 15" xfId="4028"/>
    <cellStyle name="Normal 5 15 2" xfId="8809"/>
    <cellStyle name="Normal 5 16" xfId="4029"/>
    <cellStyle name="Normal 5 16 2" xfId="8810"/>
    <cellStyle name="Normal 5 17" xfId="5461"/>
    <cellStyle name="Normal 5 18" xfId="4019"/>
    <cellStyle name="Normal 5 2" xfId="4030"/>
    <cellStyle name="Normal 5 2 10" xfId="4031"/>
    <cellStyle name="Normal 5 2 11" xfId="4032"/>
    <cellStyle name="Normal 5 2 11 2" xfId="8812"/>
    <cellStyle name="Normal 5 2 12" xfId="8811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2 8 2" xfId="8814"/>
    <cellStyle name="Normal 5 2 2 9" xfId="8813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2 2 2" xfId="8817"/>
    <cellStyle name="Normal 5 2 7 2 3" xfId="8816"/>
    <cellStyle name="Normal 5 2 7 3" xfId="4129"/>
    <cellStyle name="Normal 5 2 7 3 2" xfId="4130"/>
    <cellStyle name="Normal 5 2 7 3 2 2" xfId="8819"/>
    <cellStyle name="Normal 5 2 7 3 3" xfId="8818"/>
    <cellStyle name="Normal 5 2 7 4" xfId="4131"/>
    <cellStyle name="Normal 5 2 7 4 2" xfId="4132"/>
    <cellStyle name="Normal 5 2 7 4 2 2" xfId="8821"/>
    <cellStyle name="Normal 5 2 7 4 3" xfId="8820"/>
    <cellStyle name="Normal 5 2 7 5" xfId="4133"/>
    <cellStyle name="Normal 5 2 7 5 2" xfId="8822"/>
    <cellStyle name="Normal 5 2 7 6" xfId="8815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3 8 2" xfId="8824"/>
    <cellStyle name="Normal 5 3 9" xfId="8823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4 6 2" xfId="8826"/>
    <cellStyle name="Normal 5 4 7" xfId="8825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1 2" xfId="8827"/>
    <cellStyle name="Normal 62" xfId="75"/>
    <cellStyle name="Normal 62 2" xfId="5362"/>
    <cellStyle name="Normal 62 2 2" xfId="8829"/>
    <cellStyle name="Normal 63" xfId="5363"/>
    <cellStyle name="Normal 63 2" xfId="8830"/>
    <cellStyle name="Normal 64" xfId="5364"/>
    <cellStyle name="Normal 64 2" xfId="8831"/>
    <cellStyle name="Normal 65" xfId="5365"/>
    <cellStyle name="Normal 65 2" xfId="8832"/>
    <cellStyle name="Normal 66" xfId="5366"/>
    <cellStyle name="Normal 66 2" xfId="8833"/>
    <cellStyle name="Normal 67" xfId="5367"/>
    <cellStyle name="Normal 67 2" xfId="8834"/>
    <cellStyle name="Normal 68" xfId="5368"/>
    <cellStyle name="Normal 68 2" xfId="8835"/>
    <cellStyle name="Normal 69" xfId="5369"/>
    <cellStyle name="Normal 69 2" xfId="8836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0 2" xfId="8837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0 2" xfId="8839"/>
    <cellStyle name="Normal 81" xfId="6635"/>
    <cellStyle name="Normal 81 2" xfId="8838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22" xfId="6793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51" xfId="8840"/>
    <cellStyle name="Percent 52" xfId="8850"/>
    <cellStyle name="Percent 53" xfId="8842"/>
    <cellStyle name="Percent 54" xfId="8848"/>
    <cellStyle name="Percent 55" xfId="8843"/>
    <cellStyle name="Percent 56" xfId="8846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topLeftCell="A10" zoomScale="75" zoomScaleNormal="75" workbookViewId="0">
      <selection activeCell="G46" sqref="G46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93</v>
      </c>
      <c r="K3" s="19"/>
      <c r="L3" s="19"/>
      <c r="M3" s="76"/>
      <c r="N3" s="19"/>
      <c r="X3" s="80"/>
    </row>
    <row r="4" spans="1:49">
      <c r="C4" s="78"/>
      <c r="D4" s="23" t="s">
        <v>188</v>
      </c>
      <c r="K4" s="19"/>
      <c r="M4" s="79"/>
      <c r="X4" s="80"/>
    </row>
    <row r="5" spans="1:49">
      <c r="C5" s="78"/>
      <c r="D5" s="23" t="str">
        <f>+'5 alloc.'!B6</f>
        <v>Forecast</v>
      </c>
      <c r="K5" s="7"/>
      <c r="M5" s="30"/>
      <c r="X5" s="80"/>
    </row>
    <row r="6" spans="1:49">
      <c r="C6" s="78"/>
      <c r="D6" s="30">
        <f>+'5 alloc.'!B7</f>
        <v>2018</v>
      </c>
      <c r="J6" s="5" t="s">
        <v>94</v>
      </c>
      <c r="L6" s="7"/>
      <c r="M6" s="30"/>
      <c r="N6" s="7"/>
      <c r="X6" s="80"/>
    </row>
    <row r="7" spans="1:49">
      <c r="C7" s="78"/>
      <c r="J7" s="5" t="s">
        <v>328</v>
      </c>
      <c r="M7" s="30"/>
      <c r="N7" s="7"/>
      <c r="X7" s="80"/>
    </row>
    <row r="8" spans="1:49">
      <c r="B8" s="205"/>
      <c r="C8" s="197"/>
      <c r="J8" s="5" t="s">
        <v>549</v>
      </c>
      <c r="M8" s="30"/>
      <c r="N8" s="7"/>
      <c r="X8" s="80"/>
    </row>
    <row r="9" spans="1:49">
      <c r="B9" s="205"/>
      <c r="C9" s="197"/>
      <c r="J9" s="5"/>
      <c r="L9" s="7"/>
      <c r="M9" s="30"/>
      <c r="N9" s="7"/>
      <c r="X9" s="80"/>
    </row>
    <row r="10" spans="1:49">
      <c r="A10" s="96"/>
      <c r="D10" s="23"/>
      <c r="X10" s="77"/>
    </row>
    <row r="11" spans="1:49">
      <c r="D11" s="280"/>
      <c r="E11" s="23" t="s">
        <v>185</v>
      </c>
      <c r="G11" s="23" t="s">
        <v>186</v>
      </c>
      <c r="I11" s="23" t="s">
        <v>187</v>
      </c>
      <c r="T11" s="7"/>
    </row>
    <row r="12" spans="1:49">
      <c r="D12" s="31"/>
      <c r="E12" s="31" t="s">
        <v>113</v>
      </c>
      <c r="F12" s="30"/>
      <c r="G12" s="31" t="s">
        <v>59</v>
      </c>
      <c r="H12" s="30"/>
      <c r="I12" s="31" t="s">
        <v>115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/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151</v>
      </c>
      <c r="D14" s="23"/>
      <c r="E14" s="108">
        <f>+'3 Plant'!F15</f>
        <v>133582941.37957677</v>
      </c>
      <c r="F14" s="108"/>
      <c r="G14" s="108">
        <f>+'3 Plant'!I15</f>
        <v>442751732.04956472</v>
      </c>
      <c r="H14" s="108"/>
      <c r="I14" s="108">
        <f>+'3 Plant'!L15</f>
        <v>41624353.218162544</v>
      </c>
      <c r="J14" s="36" t="s">
        <v>189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7</v>
      </c>
      <c r="D15" s="23"/>
      <c r="E15" s="40">
        <f>+'3 Plant'!F16</f>
        <v>10641104</v>
      </c>
      <c r="F15" s="82"/>
      <c r="G15" s="40">
        <f>+'3 Plant'!I16</f>
        <v>65368036</v>
      </c>
      <c r="H15" s="82"/>
      <c r="I15" s="40">
        <f>+'3 Plant'!L16</f>
        <v>1692053</v>
      </c>
      <c r="J15" s="36" t="s">
        <v>190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302</v>
      </c>
      <c r="D16" s="23"/>
      <c r="E16" s="120">
        <f>ROUND(SUM(E14:E15),0)</f>
        <v>144224045</v>
      </c>
      <c r="F16" s="120"/>
      <c r="G16" s="120">
        <f>ROUND(SUM(G14:G15),0)</f>
        <v>508119768</v>
      </c>
      <c r="H16" s="120"/>
      <c r="I16" s="120">
        <f>ROUND(SUM(I14:I15),0)</f>
        <v>43316406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8</v>
      </c>
      <c r="D18" s="23"/>
      <c r="E18" s="85">
        <f>+'3 Plant'!F22</f>
        <v>52815826</v>
      </c>
      <c r="F18" s="85"/>
      <c r="G18" s="85">
        <f>+'3 Plant'!I22</f>
        <v>183684256</v>
      </c>
      <c r="H18" s="85"/>
      <c r="I18" s="85">
        <f>+'3 Plant'!L22</f>
        <v>15991836</v>
      </c>
      <c r="J18" s="36" t="s">
        <v>362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9</v>
      </c>
      <c r="D19" s="23"/>
      <c r="E19" s="40">
        <f>+'3 Plant'!F29</f>
        <v>32084904.072357938</v>
      </c>
      <c r="F19" s="85"/>
      <c r="G19" s="40">
        <f>+'3 Plant'!I29</f>
        <v>106343270.36051087</v>
      </c>
      <c r="H19" s="85"/>
      <c r="I19" s="40">
        <f>+'3 Plant'!L29</f>
        <v>9997634.1760870405</v>
      </c>
      <c r="J19" s="36" t="s">
        <v>363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323</v>
      </c>
      <c r="D20" s="23"/>
      <c r="E20" s="120">
        <f>ROUND((E16-E18-E19),0)</f>
        <v>59323315</v>
      </c>
      <c r="F20" s="120"/>
      <c r="G20" s="120">
        <f>ROUND((G16-G18-G19),0)</f>
        <v>218092242</v>
      </c>
      <c r="H20" s="120"/>
      <c r="I20" s="120">
        <f>ROUND((I16-I18-I19),0)</f>
        <v>17326936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10</v>
      </c>
      <c r="D22" s="23"/>
      <c r="E22" s="85">
        <f>+'3 Plant'!F31</f>
        <v>514837</v>
      </c>
      <c r="F22" s="85"/>
      <c r="G22" s="85">
        <f>+'3 Plant'!I31</f>
        <v>3162630</v>
      </c>
      <c r="H22" s="85"/>
      <c r="I22" s="85">
        <f>+'3 Plant'!L31</f>
        <v>81865</v>
      </c>
      <c r="J22" s="36" t="s">
        <v>364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11</v>
      </c>
      <c r="D23" s="23"/>
      <c r="E23" s="85">
        <f>+'3 Plant'!F33</f>
        <v>13911</v>
      </c>
      <c r="F23" s="85"/>
      <c r="G23" s="85">
        <f>+'3 Plant'!I33</f>
        <v>46107</v>
      </c>
      <c r="H23" s="85"/>
      <c r="I23" s="85">
        <f>+'3 Plant'!L33</f>
        <v>4335</v>
      </c>
      <c r="J23" s="36" t="s">
        <v>365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12</v>
      </c>
      <c r="D24" s="23"/>
      <c r="E24" s="40">
        <f>+'3 Plant'!F40</f>
        <v>956022.35349999997</v>
      </c>
      <c r="F24" s="82"/>
      <c r="G24" s="40">
        <f>+'3 Plant'!I40</f>
        <v>5872821.6332999999</v>
      </c>
      <c r="H24" s="82"/>
      <c r="I24" s="40">
        <f>+'3 Plant'!L40</f>
        <v>152018.09469999999</v>
      </c>
      <c r="J24" s="36" t="s">
        <v>366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324</v>
      </c>
      <c r="D26" s="23"/>
      <c r="E26" s="109">
        <f>+E20+E22+E23+E24</f>
        <v>60808085.353500001</v>
      </c>
      <c r="F26" s="108"/>
      <c r="G26" s="109">
        <f>+G20+G22+G23+G24</f>
        <v>227173800.63330001</v>
      </c>
      <c r="H26" s="108"/>
      <c r="I26" s="109">
        <f>+I20+I22+I23+I24</f>
        <v>17565154.094700001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13</v>
      </c>
      <c r="C32" s="92" t="s">
        <v>14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15</v>
      </c>
      <c r="D33" s="23"/>
      <c r="E33" s="108">
        <f>+'2 WACC'!E49</f>
        <v>6791327</v>
      </c>
      <c r="F33" s="108"/>
      <c r="G33" s="108">
        <f>+'2 WACC'!G49</f>
        <v>25371815</v>
      </c>
      <c r="H33" s="108"/>
      <c r="I33" s="108">
        <f>+'2 WACC'!K49</f>
        <v>1961757</v>
      </c>
      <c r="J33" s="36" t="s">
        <v>472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17</v>
      </c>
      <c r="D34" s="93"/>
      <c r="E34" s="82">
        <f>+'4 Expenses'!F19</f>
        <v>3361989</v>
      </c>
      <c r="F34" s="82"/>
      <c r="G34" s="82">
        <f>+'4 Expenses'!I19</f>
        <v>12545697</v>
      </c>
      <c r="H34" s="82"/>
      <c r="I34" s="82">
        <f>+'4 Expenses'!L19</f>
        <v>971928</v>
      </c>
      <c r="J34" s="36" t="s">
        <v>191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20</v>
      </c>
      <c r="D35" s="23"/>
      <c r="E35" s="82">
        <f>+'4 Expenses'!F21</f>
        <v>15215</v>
      </c>
      <c r="F35" s="82"/>
      <c r="G35" s="82">
        <f>+'4 Expenses'!I21</f>
        <v>50429</v>
      </c>
      <c r="H35" s="82"/>
      <c r="I35" s="82">
        <f>+'4 Expenses'!L21</f>
        <v>4741</v>
      </c>
      <c r="J35" s="36" t="s">
        <v>367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22</v>
      </c>
      <c r="D36" s="93"/>
      <c r="E36" s="82">
        <f>+'4 Expenses'!F24</f>
        <v>2370944</v>
      </c>
      <c r="F36" s="82"/>
      <c r="G36" s="82">
        <f>+'4 Expenses'!I24</f>
        <v>7858337</v>
      </c>
      <c r="H36" s="82"/>
      <c r="I36" s="82">
        <f>+'4 Expenses'!L24</f>
        <v>738785</v>
      </c>
      <c r="J36" s="36" t="s">
        <v>368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24</v>
      </c>
      <c r="D37" s="93"/>
      <c r="E37" s="82">
        <f>+'4 Expenses'!F37</f>
        <v>197707</v>
      </c>
      <c r="F37" s="82"/>
      <c r="G37" s="82">
        <f>+'4 Expenses'!I37</f>
        <v>1214509</v>
      </c>
      <c r="H37" s="82"/>
      <c r="I37" s="82">
        <f>+'4 Expenses'!L37</f>
        <v>31438</v>
      </c>
      <c r="J37" s="2" t="s">
        <v>479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25</v>
      </c>
      <c r="D38" s="93"/>
      <c r="E38" s="82">
        <f>+'4 Expenses'!F26</f>
        <v>4299020.8278728537</v>
      </c>
      <c r="F38" s="82"/>
      <c r="G38" s="82">
        <f>+'4 Expenses'!I26</f>
        <v>26408778.066334259</v>
      </c>
      <c r="H38" s="82"/>
      <c r="I38" s="82">
        <f>+'4 Expenses'!L26</f>
        <v>683591.75793305831</v>
      </c>
      <c r="J38" s="36" t="s">
        <v>369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27</v>
      </c>
      <c r="D39" s="93"/>
      <c r="E39" s="82">
        <f>+'4 Expenses'!F35</f>
        <v>3349158</v>
      </c>
      <c r="F39" s="82"/>
      <c r="G39" s="82">
        <f>+'4 Expenses'!I35</f>
        <v>20573795</v>
      </c>
      <c r="H39" s="82"/>
      <c r="I39" s="82">
        <f>+'4 Expenses'!L35</f>
        <v>532553</v>
      </c>
      <c r="J39" s="36" t="s">
        <v>373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325</v>
      </c>
      <c r="D41" s="7"/>
      <c r="E41" s="109">
        <f>SUM(E33:E39)</f>
        <v>20385360.827872854</v>
      </c>
      <c r="F41" s="108"/>
      <c r="G41" s="109">
        <f>SUM(G33:G39)</f>
        <v>94023360.066334262</v>
      </c>
      <c r="H41" s="108"/>
      <c r="I41" s="109">
        <f>SUM(I33:I39)</f>
        <v>4924793.7579330578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195</v>
      </c>
      <c r="C43" s="92" t="s">
        <v>194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206</v>
      </c>
      <c r="E45" s="7"/>
      <c r="F45" s="7"/>
      <c r="G45" s="334">
        <v>11349</v>
      </c>
      <c r="H45" s="338" t="s">
        <v>663</v>
      </c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326</v>
      </c>
      <c r="E46" s="7"/>
      <c r="F46" s="7"/>
      <c r="G46" s="151">
        <f>+G41/G45</f>
        <v>8284.7264134579491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267</v>
      </c>
      <c r="E48" s="7"/>
      <c r="F48" s="7"/>
      <c r="G48" s="7"/>
      <c r="H48" s="7"/>
      <c r="I48" s="180">
        <f>+'9 Meters'!E54</f>
        <v>48</v>
      </c>
      <c r="J48" s="36" t="s">
        <v>480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207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48" fitToHeight="0" orientation="portrait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topLeftCell="D1" zoomScale="85" zoomScaleNormal="85" workbookViewId="0">
      <selection activeCell="H40" sqref="H40"/>
    </sheetView>
  </sheetViews>
  <sheetFormatPr defaultColWidth="9.140625" defaultRowHeight="12.75"/>
  <cols>
    <col min="1" max="1" width="5.5703125" style="211" customWidth="1"/>
    <col min="2" max="2" width="5.140625" style="211" bestFit="1" customWidth="1"/>
    <col min="3" max="3" width="66.140625" style="211" bestFit="1" customWidth="1"/>
    <col min="4" max="4" width="17.5703125" style="211" customWidth="1"/>
    <col min="5" max="5" width="18.28515625" style="211" bestFit="1" customWidth="1"/>
    <col min="6" max="9" width="18.28515625" style="211" customWidth="1"/>
    <col min="10" max="10" width="19.5703125" style="211" bestFit="1" customWidth="1"/>
    <col min="11" max="11" width="5.28515625" style="211" customWidth="1"/>
    <col min="12" max="16384" width="9.140625" style="211"/>
  </cols>
  <sheetData>
    <row r="5" spans="1:18" ht="15">
      <c r="A5" s="3"/>
      <c r="B5" s="3"/>
      <c r="C5" s="271"/>
      <c r="D5" s="7"/>
      <c r="E5" s="7"/>
      <c r="F5" s="7"/>
      <c r="G5" s="7"/>
      <c r="H5" s="7"/>
      <c r="I5" s="7"/>
      <c r="J5" s="5" t="s">
        <v>94</v>
      </c>
    </row>
    <row r="6" spans="1:18" ht="19.5">
      <c r="A6" s="3"/>
      <c r="B6" s="3"/>
      <c r="C6" s="3"/>
      <c r="D6" s="97" t="s">
        <v>93</v>
      </c>
      <c r="E6" s="7"/>
      <c r="F6" s="7"/>
      <c r="G6" s="7"/>
      <c r="H6" s="7"/>
      <c r="I6" s="7"/>
      <c r="J6" s="5" t="s">
        <v>328</v>
      </c>
    </row>
    <row r="7" spans="1:18" ht="15">
      <c r="A7" s="3"/>
      <c r="B7" s="3"/>
      <c r="C7" s="3"/>
      <c r="D7" s="23" t="s">
        <v>188</v>
      </c>
      <c r="E7" s="7"/>
      <c r="F7" s="7"/>
      <c r="G7" s="7"/>
      <c r="H7" s="7"/>
      <c r="I7" s="7"/>
      <c r="J7" s="5" t="s">
        <v>542</v>
      </c>
    </row>
    <row r="8" spans="1:18" ht="15">
      <c r="A8" s="3"/>
      <c r="B8" s="205"/>
      <c r="C8" s="205"/>
      <c r="D8" s="23" t="s">
        <v>250</v>
      </c>
      <c r="E8" s="7"/>
      <c r="F8" s="7"/>
      <c r="G8" s="7"/>
      <c r="H8" s="7"/>
      <c r="I8" s="7"/>
      <c r="J8" s="7"/>
    </row>
    <row r="9" spans="1:18" ht="15">
      <c r="A9" s="3"/>
      <c r="B9" s="205"/>
      <c r="C9" s="205"/>
      <c r="D9" s="23" t="str">
        <f>+'1 Rev Req'!D5</f>
        <v>Forecast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>
        <f>+'1 Rev Req'!D6</f>
        <v>2018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/>
      <c r="E11" s="7"/>
      <c r="F11" s="7"/>
      <c r="G11" s="7"/>
      <c r="H11" s="7"/>
      <c r="I11" s="7"/>
      <c r="J11" s="7"/>
      <c r="O11" s="265"/>
      <c r="P11" s="266"/>
      <c r="Q11" s="266"/>
      <c r="R11" s="266"/>
    </row>
    <row r="12" spans="1:18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552</v>
      </c>
    </row>
    <row r="13" spans="1:18" ht="15">
      <c r="A13" s="3"/>
      <c r="B13" s="3"/>
      <c r="C13" s="3"/>
      <c r="D13" s="7"/>
      <c r="E13" s="30" t="s">
        <v>241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227</v>
      </c>
      <c r="E14" s="30" t="s">
        <v>239</v>
      </c>
      <c r="F14" s="30" t="s">
        <v>239</v>
      </c>
      <c r="G14" s="19"/>
      <c r="H14" s="30" t="s">
        <v>264</v>
      </c>
      <c r="I14" s="30" t="s">
        <v>246</v>
      </c>
      <c r="J14" s="30" t="s">
        <v>248</v>
      </c>
    </row>
    <row r="15" spans="1:18" ht="15">
      <c r="A15" s="3"/>
      <c r="B15" s="3"/>
      <c r="C15" s="3" t="s">
        <v>207</v>
      </c>
      <c r="D15" s="7" t="s">
        <v>210</v>
      </c>
      <c r="E15" s="30" t="s">
        <v>240</v>
      </c>
      <c r="F15" s="30" t="s">
        <v>61</v>
      </c>
      <c r="G15" s="30" t="s">
        <v>263</v>
      </c>
      <c r="H15" s="30" t="s">
        <v>265</v>
      </c>
      <c r="I15" s="30" t="s">
        <v>263</v>
      </c>
      <c r="J15" s="30" t="s">
        <v>263</v>
      </c>
    </row>
    <row r="16" spans="1:18" ht="15">
      <c r="A16" s="3"/>
      <c r="B16" s="3"/>
      <c r="C16" s="3" t="s">
        <v>251</v>
      </c>
      <c r="D16" s="7" t="s">
        <v>228</v>
      </c>
      <c r="E16" s="30" t="s">
        <v>242</v>
      </c>
      <c r="F16" s="30" t="s">
        <v>243</v>
      </c>
      <c r="G16" s="30" t="s">
        <v>262</v>
      </c>
      <c r="H16" s="30" t="s">
        <v>266</v>
      </c>
      <c r="I16" s="30" t="s">
        <v>247</v>
      </c>
      <c r="J16" s="30" t="s">
        <v>247</v>
      </c>
    </row>
    <row r="17" spans="1:10" ht="15">
      <c r="A17" s="3"/>
      <c r="B17" s="3"/>
      <c r="C17" s="37" t="s">
        <v>695</v>
      </c>
      <c r="D17" s="7" t="s">
        <v>229</v>
      </c>
      <c r="E17" s="7" t="s">
        <v>214</v>
      </c>
      <c r="F17" s="7" t="s">
        <v>213</v>
      </c>
      <c r="G17" s="7" t="s">
        <v>213</v>
      </c>
      <c r="H17" s="7" t="s">
        <v>213</v>
      </c>
      <c r="I17" s="7" t="s">
        <v>215</v>
      </c>
      <c r="J17" s="7" t="s">
        <v>215</v>
      </c>
    </row>
    <row r="18" spans="1:10" ht="16.5">
      <c r="A18" s="3"/>
      <c r="B18" s="140" t="s">
        <v>234</v>
      </c>
      <c r="C18" s="3"/>
      <c r="D18" s="281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252</v>
      </c>
      <c r="D19" s="352">
        <v>3771</v>
      </c>
      <c r="E19" s="352">
        <v>1457</v>
      </c>
      <c r="F19" s="143">
        <f>IF(D19=0,0,+E19/D19)</f>
        <v>0.38636966321930521</v>
      </c>
      <c r="G19" s="150">
        <f>+G44</f>
        <v>0.73</v>
      </c>
      <c r="H19" s="126">
        <f>+G19*D$50</f>
        <v>6047.8502818243023</v>
      </c>
      <c r="I19" s="111">
        <f>ROUND(+H19*F19,0)</f>
        <v>2337</v>
      </c>
      <c r="J19" s="111"/>
    </row>
    <row r="20" spans="1:10" ht="15.75">
      <c r="A20" s="3">
        <f>1+A19</f>
        <v>2</v>
      </c>
      <c r="B20" s="3"/>
      <c r="C20" s="3" t="s">
        <v>253</v>
      </c>
      <c r="D20" s="352">
        <v>4015</v>
      </c>
      <c r="E20" s="352">
        <v>755</v>
      </c>
      <c r="F20" s="143">
        <f>IF(D20=0,0,+E20/D20)</f>
        <v>0.18804483188044832</v>
      </c>
      <c r="G20" s="150">
        <f>+G41</f>
        <v>0.49</v>
      </c>
      <c r="H20" s="70">
        <f>+G20*D$50</f>
        <v>4059.5159425943948</v>
      </c>
      <c r="I20" s="74">
        <f>ROUND(+H20*F20,0)</f>
        <v>763</v>
      </c>
      <c r="J20" s="74"/>
    </row>
    <row r="21" spans="1:10" ht="15.75">
      <c r="A21" s="3">
        <f>1+A20</f>
        <v>3</v>
      </c>
      <c r="B21" s="3"/>
      <c r="C21" s="3" t="s">
        <v>254</v>
      </c>
      <c r="D21" s="352">
        <v>1972</v>
      </c>
      <c r="E21" s="352">
        <v>1059</v>
      </c>
      <c r="F21" s="143">
        <f>IF(D21=0,0,+E21/D21)</f>
        <v>0.53701825557809335</v>
      </c>
      <c r="G21" s="150">
        <f>+G45</f>
        <v>0.06</v>
      </c>
      <c r="H21" s="70">
        <f>+G21*D$50</f>
        <v>497.08358480747694</v>
      </c>
      <c r="I21" s="74">
        <f>ROUND(+H21*F21,0)</f>
        <v>267</v>
      </c>
      <c r="J21" s="74"/>
    </row>
    <row r="22" spans="1:10" ht="15">
      <c r="A22" s="3"/>
      <c r="B22" s="3"/>
      <c r="C22" s="3"/>
      <c r="D22" s="128" t="s">
        <v>230</v>
      </c>
      <c r="E22" s="128" t="s">
        <v>230</v>
      </c>
      <c r="F22" s="3"/>
      <c r="G22" s="147"/>
      <c r="H22" s="5" t="s">
        <v>231</v>
      </c>
      <c r="I22" s="146" t="s">
        <v>215</v>
      </c>
      <c r="J22" s="144"/>
    </row>
    <row r="23" spans="1:10" ht="15.75">
      <c r="A23" s="3">
        <v>4</v>
      </c>
      <c r="B23" s="3"/>
      <c r="C23" s="3" t="s">
        <v>219</v>
      </c>
      <c r="D23" s="70">
        <f>SUM(D19:D21)</f>
        <v>9758</v>
      </c>
      <c r="E23" s="70">
        <f>SUM(E19:E21)</f>
        <v>3271</v>
      </c>
      <c r="F23" s="126"/>
      <c r="G23" s="147"/>
      <c r="H23" s="126">
        <f>SUM(H19:H21)</f>
        <v>10604.449809226173</v>
      </c>
      <c r="I23" s="126">
        <f>SUM(I19:I21)</f>
        <v>3367</v>
      </c>
      <c r="J23" s="142">
        <f>ROUND(I23/12,0)</f>
        <v>281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235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255</v>
      </c>
      <c r="D27" s="352">
        <v>5772</v>
      </c>
      <c r="E27" s="352">
        <v>2903</v>
      </c>
      <c r="F27" s="143">
        <f>IF(D27=0,0,+E27/D27)</f>
        <v>0.50294525294525294</v>
      </c>
      <c r="G27" s="355">
        <f>0.8+0.9+0</f>
        <v>1.7000000000000002</v>
      </c>
      <c r="H27" s="126">
        <f>+G27*D$50</f>
        <v>14084.034902878515</v>
      </c>
      <c r="I27" s="111">
        <f>ROUND(+H27*F27,0)</f>
        <v>7083</v>
      </c>
      <c r="J27" s="111"/>
    </row>
    <row r="28" spans="1:10" ht="15">
      <c r="A28" s="3"/>
      <c r="B28" s="3"/>
      <c r="C28" s="3"/>
      <c r="D28" s="195"/>
      <c r="E28" s="168"/>
      <c r="F28" s="39"/>
      <c r="G28" s="245"/>
      <c r="H28" s="70"/>
      <c r="I28" s="74"/>
      <c r="J28" s="74"/>
    </row>
    <row r="29" spans="1:10" ht="15">
      <c r="A29" s="3">
        <v>7</v>
      </c>
      <c r="B29" s="3"/>
      <c r="C29" s="3" t="s">
        <v>256</v>
      </c>
      <c r="D29" s="19"/>
      <c r="E29" s="353">
        <v>1307</v>
      </c>
      <c r="F29" s="175"/>
      <c r="G29" s="355">
        <f>3.56+0+1.27</f>
        <v>4.83</v>
      </c>
      <c r="H29" s="70">
        <f>+G29*D$50</f>
        <v>40015.228577001893</v>
      </c>
      <c r="I29" s="74"/>
      <c r="J29" s="144"/>
    </row>
    <row r="30" spans="1:10" ht="15">
      <c r="A30" s="3">
        <f>1+A29</f>
        <v>8</v>
      </c>
      <c r="B30" s="3"/>
      <c r="C30" s="3" t="s">
        <v>589</v>
      </c>
      <c r="D30" s="145"/>
      <c r="E30" s="354">
        <v>0</v>
      </c>
      <c r="F30" s="175"/>
      <c r="G30" s="355">
        <f>1.76+0</f>
        <v>1.76</v>
      </c>
      <c r="H30" s="70">
        <f>+G30*D$50</f>
        <v>14581.11848768599</v>
      </c>
      <c r="I30" s="111"/>
      <c r="J30" s="111"/>
    </row>
    <row r="31" spans="1:10" ht="15">
      <c r="A31" s="3">
        <f>1+A30</f>
        <v>9</v>
      </c>
      <c r="B31" s="3"/>
      <c r="C31" s="3" t="s">
        <v>257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230</v>
      </c>
      <c r="F32" s="39"/>
      <c r="G32" s="148"/>
      <c r="H32" s="144" t="s">
        <v>232</v>
      </c>
      <c r="I32" s="74"/>
      <c r="J32" s="74"/>
    </row>
    <row r="33" spans="1:10" ht="15.75">
      <c r="A33" s="3">
        <v>10</v>
      </c>
      <c r="B33" s="3"/>
      <c r="C33" s="3" t="s">
        <v>233</v>
      </c>
      <c r="D33" s="356">
        <v>5478</v>
      </c>
      <c r="E33" s="74">
        <f>+E29+E30</f>
        <v>1307</v>
      </c>
      <c r="F33" s="143">
        <f>IF(D33=0,0,+E33/D33)</f>
        <v>0.23859072654253377</v>
      </c>
      <c r="G33" s="149">
        <f>+G29+G30</f>
        <v>6.59</v>
      </c>
      <c r="H33" s="111">
        <f>+H30+H29</f>
        <v>54596.347064687885</v>
      </c>
      <c r="I33" s="111">
        <f>ROUND(+H33*F33,0)</f>
        <v>13026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230</v>
      </c>
      <c r="E35" s="144" t="s">
        <v>230</v>
      </c>
      <c r="F35" s="7"/>
      <c r="G35" s="148"/>
      <c r="H35" s="12" t="s">
        <v>231</v>
      </c>
      <c r="I35" s="74"/>
      <c r="J35" s="74"/>
    </row>
    <row r="36" spans="1:10" ht="15.75">
      <c r="A36" s="3">
        <v>11</v>
      </c>
      <c r="B36" s="3"/>
      <c r="C36" s="3" t="s">
        <v>222</v>
      </c>
      <c r="D36" s="141">
        <f>+D33+D27</f>
        <v>11250</v>
      </c>
      <c r="E36" s="141">
        <f>+E33+E27</f>
        <v>4210</v>
      </c>
      <c r="F36" s="3"/>
      <c r="G36" s="147"/>
      <c r="H36" s="100">
        <f>+H33+H27</f>
        <v>68680.381967566398</v>
      </c>
      <c r="I36" s="111">
        <f>+I33+I27</f>
        <v>20109</v>
      </c>
      <c r="J36" s="142">
        <f>ROUND(I36/12,0)</f>
        <v>1676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236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258</v>
      </c>
      <c r="D40" s="357">
        <v>1076</v>
      </c>
      <c r="E40" s="357">
        <v>1076</v>
      </c>
      <c r="F40" s="143">
        <f t="shared" ref="F40:F45" si="1">IF(D40=0,0,+E40/D40)</f>
        <v>1</v>
      </c>
      <c r="G40" s="358">
        <v>0.91</v>
      </c>
      <c r="H40" s="126">
        <f t="shared" ref="H40:H45" si="2">+G40*D$50</f>
        <v>7539.1010362467341</v>
      </c>
      <c r="I40" s="111">
        <f t="shared" ref="I40:I45" si="3">ROUND(+H40*F40,0)</f>
        <v>7539</v>
      </c>
      <c r="J40" s="144"/>
    </row>
    <row r="41" spans="1:10" ht="15.75">
      <c r="A41" s="3">
        <f t="shared" si="0"/>
        <v>14</v>
      </c>
      <c r="B41" s="3"/>
      <c r="C41" s="3" t="s">
        <v>259</v>
      </c>
      <c r="D41" s="282">
        <f>+D20</f>
        <v>4015</v>
      </c>
      <c r="E41" s="357">
        <v>2818</v>
      </c>
      <c r="F41" s="143">
        <f t="shared" si="1"/>
        <v>0.70186799501867991</v>
      </c>
      <c r="G41" s="358">
        <v>0.49</v>
      </c>
      <c r="H41" s="70">
        <f t="shared" si="2"/>
        <v>4059.5159425943948</v>
      </c>
      <c r="I41" s="74">
        <f t="shared" si="3"/>
        <v>2849</v>
      </c>
      <c r="J41" s="126"/>
    </row>
    <row r="42" spans="1:10" ht="15.75">
      <c r="A42" s="3">
        <f t="shared" si="0"/>
        <v>15</v>
      </c>
      <c r="B42" s="3"/>
      <c r="C42" s="3" t="s">
        <v>260</v>
      </c>
      <c r="D42" s="357">
        <v>1058</v>
      </c>
      <c r="E42" s="357">
        <v>172</v>
      </c>
      <c r="F42" s="143">
        <f t="shared" si="1"/>
        <v>0.16257088846880907</v>
      </c>
      <c r="G42" s="358">
        <f>0.8+0+0.39+0.08</f>
        <v>1.27</v>
      </c>
      <c r="H42" s="70">
        <f t="shared" si="2"/>
        <v>10521.602545091595</v>
      </c>
      <c r="I42" s="74">
        <f t="shared" si="3"/>
        <v>1711</v>
      </c>
      <c r="J42" s="7"/>
    </row>
    <row r="43" spans="1:10" ht="15.75">
      <c r="A43" s="3">
        <f t="shared" si="0"/>
        <v>16</v>
      </c>
      <c r="B43" s="3"/>
      <c r="C43" s="3" t="s">
        <v>261</v>
      </c>
      <c r="D43" s="357">
        <v>1583</v>
      </c>
      <c r="E43" s="357">
        <v>855</v>
      </c>
      <c r="F43" s="143">
        <f t="shared" si="1"/>
        <v>0.54011370814908399</v>
      </c>
      <c r="G43" s="358">
        <f>0.01+2.87+0+0.04</f>
        <v>2.92</v>
      </c>
      <c r="H43" s="70">
        <f t="shared" si="2"/>
        <v>24191.401127297209</v>
      </c>
      <c r="I43" s="74">
        <f t="shared" si="3"/>
        <v>13066</v>
      </c>
      <c r="J43" s="141"/>
    </row>
    <row r="44" spans="1:10" ht="15.75">
      <c r="A44" s="3">
        <f t="shared" si="0"/>
        <v>17</v>
      </c>
      <c r="B44" s="3"/>
      <c r="C44" s="3" t="s">
        <v>252</v>
      </c>
      <c r="D44" s="282">
        <f>+D19</f>
        <v>3771</v>
      </c>
      <c r="E44" s="357">
        <v>1316</v>
      </c>
      <c r="F44" s="143">
        <f t="shared" si="1"/>
        <v>0.34897905064969503</v>
      </c>
      <c r="G44" s="358">
        <f>0.45+0.06+0.22</f>
        <v>0.73</v>
      </c>
      <c r="H44" s="70">
        <f t="shared" si="2"/>
        <v>6047.8502818243023</v>
      </c>
      <c r="I44" s="74">
        <f t="shared" si="3"/>
        <v>2111</v>
      </c>
      <c r="J44" s="141"/>
    </row>
    <row r="45" spans="1:10" ht="15.75">
      <c r="A45" s="3">
        <f t="shared" si="0"/>
        <v>18</v>
      </c>
      <c r="B45" s="3"/>
      <c r="C45" s="3" t="s">
        <v>254</v>
      </c>
      <c r="D45" s="284">
        <f>+D21</f>
        <v>1972</v>
      </c>
      <c r="E45" s="357">
        <v>913</v>
      </c>
      <c r="F45" s="143">
        <f t="shared" si="1"/>
        <v>0.4629817444219067</v>
      </c>
      <c r="G45" s="358">
        <v>0.06</v>
      </c>
      <c r="H45" s="70">
        <f t="shared" si="2"/>
        <v>497.08358480747694</v>
      </c>
      <c r="I45" s="74">
        <f t="shared" si="3"/>
        <v>230</v>
      </c>
      <c r="J45" s="141"/>
    </row>
    <row r="46" spans="1:10" ht="15">
      <c r="A46" s="3"/>
      <c r="B46" s="3"/>
      <c r="C46" s="3"/>
      <c r="D46" s="135" t="s">
        <v>230</v>
      </c>
      <c r="E46" s="135" t="s">
        <v>230</v>
      </c>
      <c r="F46" s="3"/>
      <c r="G46" s="3"/>
      <c r="H46" s="5" t="s">
        <v>231</v>
      </c>
      <c r="I46" s="5" t="s">
        <v>231</v>
      </c>
      <c r="J46" s="3"/>
    </row>
    <row r="47" spans="1:10" ht="15.75">
      <c r="A47" s="3">
        <v>19</v>
      </c>
      <c r="B47" s="3"/>
      <c r="C47" s="3" t="s">
        <v>226</v>
      </c>
      <c r="D47" s="178">
        <f>SUM(D40:D45)</f>
        <v>13475</v>
      </c>
      <c r="E47" s="178">
        <f>SUM(E40:E45)</f>
        <v>7150</v>
      </c>
      <c r="F47" s="100"/>
      <c r="G47" s="3"/>
      <c r="H47" s="100">
        <f>SUM(H40:H45)</f>
        <v>52856.55451786171</v>
      </c>
      <c r="I47" s="100">
        <f>SUM(I40:I45)</f>
        <v>27506</v>
      </c>
      <c r="J47" s="142">
        <f>ROUND(I47/12,0)</f>
        <v>2292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205</v>
      </c>
      <c r="C50" s="3"/>
      <c r="D50" s="100">
        <f>+'1 Rev Req'!G46</f>
        <v>8284.7264134579491</v>
      </c>
      <c r="E50" s="36" t="s">
        <v>319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4:J55"/>
  <sheetViews>
    <sheetView showGridLines="0" topLeftCell="A4" zoomScale="80" zoomScaleNormal="80" workbookViewId="0">
      <selection activeCell="E52" sqref="E52"/>
    </sheetView>
  </sheetViews>
  <sheetFormatPr defaultColWidth="9.140625" defaultRowHeight="12.75"/>
  <cols>
    <col min="1" max="2" width="9.140625" style="211"/>
    <col min="3" max="3" width="64.85546875" style="211" bestFit="1" customWidth="1"/>
    <col min="4" max="4" width="6.85546875" style="211" customWidth="1"/>
    <col min="5" max="5" width="16.85546875" style="211" bestFit="1" customWidth="1"/>
    <col min="6" max="16384" width="9.140625" style="211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94</v>
      </c>
    </row>
    <row r="6" spans="1:10" ht="19.5">
      <c r="A6" s="3"/>
      <c r="B6" s="3"/>
      <c r="C6" s="78"/>
      <c r="D6" s="97" t="s">
        <v>93</v>
      </c>
      <c r="E6" s="7"/>
      <c r="F6" s="7"/>
      <c r="G6" s="3"/>
      <c r="H6" s="3"/>
      <c r="I6" s="3"/>
      <c r="J6" s="5" t="s">
        <v>328</v>
      </c>
    </row>
    <row r="7" spans="1:10" ht="15">
      <c r="A7" s="3"/>
      <c r="B7" s="3"/>
      <c r="C7" s="78"/>
      <c r="D7" s="23" t="s">
        <v>188</v>
      </c>
      <c r="E7" s="7"/>
      <c r="F7" s="7"/>
      <c r="G7" s="3"/>
      <c r="H7" s="3"/>
      <c r="I7" s="3"/>
      <c r="J7" s="5" t="s">
        <v>541</v>
      </c>
    </row>
    <row r="8" spans="1:10" ht="15">
      <c r="A8" s="3"/>
      <c r="B8" s="205"/>
      <c r="C8" s="197"/>
      <c r="D8" s="23" t="s">
        <v>115</v>
      </c>
      <c r="E8" s="7"/>
      <c r="F8" s="7"/>
      <c r="G8" s="3"/>
      <c r="H8" s="3"/>
      <c r="I8" s="3"/>
      <c r="J8" s="3"/>
    </row>
    <row r="9" spans="1:10" ht="15">
      <c r="A9" s="3"/>
      <c r="B9" s="205"/>
      <c r="C9" s="205"/>
      <c r="D9" s="23" t="str">
        <f>+'1 Rev Req'!D5</f>
        <v>Forecast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>
        <f>+'1 Rev Req'!D6</f>
        <v>2018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/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268</v>
      </c>
      <c r="C13" s="30"/>
      <c r="D13" s="30"/>
      <c r="E13" s="30" t="s">
        <v>244</v>
      </c>
      <c r="F13" s="3"/>
      <c r="G13" s="3"/>
      <c r="H13" s="3"/>
      <c r="I13" s="3"/>
      <c r="J13" s="3"/>
    </row>
    <row r="14" spans="1:10" ht="15">
      <c r="A14" s="3"/>
      <c r="B14" s="3" t="s">
        <v>269</v>
      </c>
      <c r="C14" s="30"/>
      <c r="D14" s="30"/>
      <c r="E14" s="30" t="s">
        <v>270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303</v>
      </c>
      <c r="D15" s="7"/>
      <c r="E15" s="262">
        <v>4855</v>
      </c>
      <c r="F15" s="7"/>
      <c r="G15" s="3"/>
      <c r="H15" s="3"/>
      <c r="I15" s="3"/>
      <c r="J15" s="3"/>
    </row>
    <row r="16" spans="1:10" ht="15.75">
      <c r="A16" s="3">
        <f t="shared" ref="A16:A41" si="0">1+A15</f>
        <v>2</v>
      </c>
      <c r="B16" s="3"/>
      <c r="C16" s="171" t="s">
        <v>304</v>
      </c>
      <c r="D16" s="7"/>
      <c r="E16" s="261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305</v>
      </c>
      <c r="D17" s="155"/>
      <c r="E17" s="261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306</v>
      </c>
      <c r="D18" s="155"/>
      <c r="E18" s="261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307</v>
      </c>
      <c r="D19" s="155"/>
      <c r="E19" s="261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308</v>
      </c>
      <c r="D20" s="3"/>
      <c r="E20" s="261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309</v>
      </c>
      <c r="D21" s="157"/>
      <c r="E21" s="261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310</v>
      </c>
      <c r="D22" s="157"/>
      <c r="E22" s="261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271</v>
      </c>
      <c r="D23" s="157"/>
      <c r="E23" s="261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272</v>
      </c>
      <c r="D24" s="157"/>
      <c r="E24" s="261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273</v>
      </c>
      <c r="D25" s="155"/>
      <c r="E25" s="261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220</v>
      </c>
      <c r="D26" s="155"/>
      <c r="E26" s="261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311</v>
      </c>
      <c r="D27" s="3"/>
      <c r="E27" s="261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274</v>
      </c>
      <c r="D28" s="7"/>
      <c r="E28" s="261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275</v>
      </c>
      <c r="D29" s="157"/>
      <c r="E29" s="261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276</v>
      </c>
      <c r="D30" s="157"/>
      <c r="E30" s="261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312</v>
      </c>
      <c r="D31" s="157"/>
      <c r="E31" s="261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689</v>
      </c>
      <c r="D32" s="158"/>
      <c r="E32" s="261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277</v>
      </c>
      <c r="D33" s="158"/>
      <c r="E33" s="261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313</v>
      </c>
      <c r="D34" s="158"/>
      <c r="E34" s="261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278</v>
      </c>
      <c r="D35" s="158"/>
      <c r="E35" s="261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314</v>
      </c>
      <c r="D36" s="158"/>
      <c r="E36" s="261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315</v>
      </c>
      <c r="D37" s="158"/>
      <c r="E37" s="261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316</v>
      </c>
      <c r="D38" s="3"/>
      <c r="E38" s="261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279</v>
      </c>
      <c r="D39" s="157"/>
      <c r="E39" s="261">
        <v>4000</v>
      </c>
      <c r="F39" s="157"/>
      <c r="G39" s="3"/>
      <c r="H39" s="3"/>
      <c r="I39" s="3"/>
      <c r="J39" s="3"/>
    </row>
    <row r="40" spans="1:10" ht="15.75">
      <c r="A40" s="3">
        <f t="shared" si="0"/>
        <v>26</v>
      </c>
      <c r="B40" s="3"/>
      <c r="C40" s="171" t="s">
        <v>690</v>
      </c>
      <c r="D40" s="7"/>
      <c r="E40" s="261">
        <v>1087</v>
      </c>
      <c r="F40" s="7"/>
      <c r="G40" s="3"/>
      <c r="H40" s="3"/>
      <c r="I40" s="3"/>
      <c r="J40" s="3"/>
    </row>
    <row r="41" spans="1:10" ht="15.75">
      <c r="A41" s="3">
        <f t="shared" si="0"/>
        <v>27</v>
      </c>
      <c r="B41" s="3"/>
      <c r="C41" s="171" t="s">
        <v>691</v>
      </c>
      <c r="D41" s="7"/>
      <c r="E41" s="261">
        <v>223</v>
      </c>
      <c r="F41" s="7"/>
      <c r="G41" s="3"/>
      <c r="H41" s="3"/>
      <c r="I41" s="3"/>
      <c r="J41" s="3"/>
    </row>
    <row r="42" spans="1:10" ht="15">
      <c r="A42" s="3"/>
      <c r="B42" s="3"/>
      <c r="C42" s="3"/>
      <c r="D42" s="3"/>
      <c r="E42" s="159" t="s">
        <v>231</v>
      </c>
      <c r="F42" s="3"/>
      <c r="G42" s="3"/>
      <c r="H42" s="3"/>
      <c r="I42" s="3"/>
      <c r="J42" s="3"/>
    </row>
    <row r="43" spans="1:10" ht="15">
      <c r="A43" s="23" t="s">
        <v>280</v>
      </c>
      <c r="B43" s="141"/>
      <c r="C43" s="3" t="s">
        <v>281</v>
      </c>
      <c r="D43" s="3"/>
      <c r="E43" s="178">
        <f>SUM(E15:E41)</f>
        <v>130683</v>
      </c>
      <c r="F43" s="3" t="s">
        <v>282</v>
      </c>
      <c r="G43" s="3"/>
      <c r="H43" s="3"/>
      <c r="I43" s="3"/>
      <c r="J43" s="3"/>
    </row>
    <row r="44" spans="1:10" ht="15">
      <c r="A44" s="23" t="s">
        <v>283</v>
      </c>
      <c r="B44" s="3"/>
      <c r="C44" s="3" t="s">
        <v>284</v>
      </c>
      <c r="D44" s="3"/>
      <c r="E44" s="100">
        <f>+'1 Rev Req'!I14</f>
        <v>41624353.218162544</v>
      </c>
      <c r="F44" s="36" t="s">
        <v>285</v>
      </c>
      <c r="G44" s="3"/>
      <c r="H44" s="3"/>
      <c r="I44" s="3"/>
      <c r="J44" s="3"/>
    </row>
    <row r="45" spans="1:10" ht="15">
      <c r="A45" s="23"/>
      <c r="B45" s="3"/>
      <c r="C45" s="3"/>
      <c r="D45" s="3"/>
      <c r="E45" s="159" t="s">
        <v>139</v>
      </c>
      <c r="F45" s="36"/>
      <c r="G45" s="3"/>
      <c r="H45" s="3"/>
      <c r="I45" s="3"/>
      <c r="J45" s="3"/>
    </row>
    <row r="46" spans="1:10" ht="15">
      <c r="A46" s="23" t="s">
        <v>286</v>
      </c>
      <c r="B46" s="3"/>
      <c r="C46" s="81" t="s">
        <v>287</v>
      </c>
      <c r="D46" s="3"/>
      <c r="E46" s="32">
        <f>+E43/E44</f>
        <v>3.1395803152798837E-3</v>
      </c>
      <c r="F46" s="3" t="s">
        <v>288</v>
      </c>
      <c r="G46" s="3"/>
      <c r="H46" s="3"/>
      <c r="I46" s="3"/>
      <c r="J46" s="3"/>
    </row>
    <row r="47" spans="1:10" ht="15">
      <c r="A47" s="23" t="s">
        <v>289</v>
      </c>
      <c r="B47" s="3"/>
      <c r="C47" s="81" t="s">
        <v>290</v>
      </c>
      <c r="D47" s="3"/>
      <c r="E47" s="100">
        <f>+'1 Rev Req'!I41</f>
        <v>4924793.7579330578</v>
      </c>
      <c r="F47" s="36" t="s">
        <v>318</v>
      </c>
      <c r="G47" s="3"/>
      <c r="H47" s="3"/>
      <c r="I47" s="3"/>
      <c r="J47" s="3"/>
    </row>
    <row r="48" spans="1:10" ht="15">
      <c r="A48" s="3"/>
      <c r="B48" s="3"/>
      <c r="C48" s="3"/>
      <c r="D48" s="3"/>
      <c r="E48" s="159" t="s">
        <v>139</v>
      </c>
      <c r="F48" s="3"/>
      <c r="G48" s="3"/>
      <c r="H48" s="3"/>
      <c r="I48" s="3"/>
      <c r="J48" s="3"/>
    </row>
    <row r="49" spans="1:10" ht="15">
      <c r="A49" s="23" t="s">
        <v>291</v>
      </c>
      <c r="B49" s="3"/>
      <c r="C49" s="36" t="s">
        <v>560</v>
      </c>
      <c r="D49" s="3"/>
      <c r="E49" s="147">
        <f>+E46*E47</f>
        <v>15461.785539219873</v>
      </c>
      <c r="F49" s="36" t="s">
        <v>292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293</v>
      </c>
      <c r="B51" s="3"/>
      <c r="C51" s="3" t="s">
        <v>294</v>
      </c>
      <c r="D51" s="3"/>
      <c r="E51" s="96">
        <v>27</v>
      </c>
      <c r="F51" s="3" t="s">
        <v>295</v>
      </c>
      <c r="G51" s="3"/>
      <c r="H51" s="3"/>
      <c r="I51" s="3"/>
      <c r="J51" s="3"/>
    </row>
    <row r="52" spans="1:10" ht="15">
      <c r="A52" s="23"/>
      <c r="B52" s="3"/>
      <c r="C52" s="36"/>
      <c r="D52" s="3"/>
      <c r="E52" s="3"/>
      <c r="F52" s="3"/>
      <c r="G52" s="3"/>
      <c r="H52" s="3"/>
      <c r="I52" s="3"/>
      <c r="J52" s="3"/>
    </row>
    <row r="53" spans="1:10" ht="15">
      <c r="A53" s="23" t="s">
        <v>296</v>
      </c>
      <c r="B53" s="3"/>
      <c r="C53" s="36" t="s">
        <v>561</v>
      </c>
      <c r="D53" s="3"/>
      <c r="E53" s="100">
        <f>+E49/E51</f>
        <v>572.65872367481006</v>
      </c>
      <c r="F53" s="3" t="s">
        <v>297</v>
      </c>
      <c r="G53" s="3"/>
      <c r="H53" s="3"/>
      <c r="I53" s="3"/>
      <c r="J53" s="3"/>
    </row>
    <row r="54" spans="1:10" ht="18">
      <c r="A54" s="23" t="s">
        <v>298</v>
      </c>
      <c r="B54" s="3"/>
      <c r="C54" s="3" t="s">
        <v>562</v>
      </c>
      <c r="D54" s="3"/>
      <c r="E54" s="160">
        <f>+ROUND(E53/12,0)</f>
        <v>48</v>
      </c>
      <c r="F54" s="3" t="s">
        <v>299</v>
      </c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7"/>
  <sheetViews>
    <sheetView showGridLines="0" zoomScale="90" zoomScaleNormal="90" workbookViewId="0">
      <selection activeCell="A7" sqref="A7"/>
    </sheetView>
  </sheetViews>
  <sheetFormatPr defaultRowHeight="12.75"/>
  <cols>
    <col min="1" max="1" width="75.7109375" customWidth="1"/>
    <col min="2" max="3" width="16.85546875" bestFit="1" customWidth="1"/>
    <col min="4" max="4" width="13.5703125" customWidth="1"/>
  </cols>
  <sheetData>
    <row r="2" spans="1:6" ht="15">
      <c r="A2" s="3"/>
      <c r="B2" s="272"/>
    </row>
    <row r="4" spans="1:6" ht="19.5">
      <c r="A4" s="97" t="s">
        <v>93</v>
      </c>
      <c r="D4" s="5" t="s">
        <v>94</v>
      </c>
    </row>
    <row r="5" spans="1:6" ht="15">
      <c r="A5" s="23" t="s">
        <v>429</v>
      </c>
      <c r="B5" s="268"/>
      <c r="D5" s="5" t="s">
        <v>328</v>
      </c>
    </row>
    <row r="6" spans="1:6" ht="15">
      <c r="A6" s="181" t="str">
        <f>+'5 alloc.'!B6</f>
        <v>Forecast</v>
      </c>
      <c r="D6" s="5" t="s">
        <v>550</v>
      </c>
    </row>
    <row r="7" spans="1:6">
      <c r="A7" s="181">
        <f>+'5 alloc.'!B7</f>
        <v>2018</v>
      </c>
      <c r="F7" s="272"/>
    </row>
    <row r="8" spans="1:6" ht="13.5">
      <c r="B8" s="205" t="s">
        <v>375</v>
      </c>
      <c r="C8" s="205" t="s">
        <v>376</v>
      </c>
      <c r="F8" s="205"/>
    </row>
    <row r="9" spans="1:6" ht="15">
      <c r="A9" s="3" t="s">
        <v>377</v>
      </c>
      <c r="B9" s="205" t="s">
        <v>378</v>
      </c>
      <c r="C9" s="205" t="s">
        <v>379</v>
      </c>
      <c r="D9" s="3"/>
      <c r="F9" s="205"/>
    </row>
    <row r="10" spans="1:6" ht="15">
      <c r="A10" s="3"/>
      <c r="B10" s="3"/>
      <c r="C10" s="3"/>
      <c r="D10" s="3"/>
      <c r="E10" s="3"/>
      <c r="F10" s="248"/>
    </row>
    <row r="11" spans="1:6" ht="15">
      <c r="A11" s="3" t="s">
        <v>380</v>
      </c>
      <c r="B11" s="5" t="s">
        <v>381</v>
      </c>
      <c r="C11" s="255">
        <v>1.5900000000000001E-2</v>
      </c>
      <c r="D11" s="3"/>
      <c r="F11" s="251"/>
    </row>
    <row r="12" spans="1:6" ht="15">
      <c r="A12" s="3" t="s">
        <v>382</v>
      </c>
      <c r="B12" s="5" t="s">
        <v>383</v>
      </c>
      <c r="C12" s="255">
        <v>1.9E-2</v>
      </c>
      <c r="D12" s="3"/>
      <c r="F12" s="251"/>
    </row>
    <row r="13" spans="1:6" ht="15">
      <c r="A13" s="3" t="s">
        <v>384</v>
      </c>
      <c r="B13" s="5" t="s">
        <v>385</v>
      </c>
      <c r="C13" s="255">
        <v>8.9999999999999998E-4</v>
      </c>
      <c r="D13" s="3"/>
      <c r="F13" s="251"/>
    </row>
    <row r="14" spans="1:6" ht="15">
      <c r="A14" s="3" t="s">
        <v>386</v>
      </c>
      <c r="B14" s="5" t="s">
        <v>387</v>
      </c>
      <c r="C14" s="255">
        <v>1.8800000000000001E-2</v>
      </c>
      <c r="D14" s="3"/>
      <c r="F14" s="251"/>
    </row>
    <row r="15" spans="1:6" ht="15">
      <c r="A15" s="3" t="s">
        <v>388</v>
      </c>
      <c r="B15" s="5" t="s">
        <v>389</v>
      </c>
      <c r="C15" s="255">
        <v>1.44E-2</v>
      </c>
      <c r="D15" s="3"/>
      <c r="F15" s="251"/>
    </row>
    <row r="16" spans="1:6" ht="15">
      <c r="A16" s="3"/>
      <c r="B16" s="3"/>
      <c r="C16" s="253"/>
      <c r="D16" s="3"/>
      <c r="F16" s="249"/>
    </row>
    <row r="17" spans="1:6" ht="15">
      <c r="A17" s="162" t="s">
        <v>390</v>
      </c>
      <c r="B17" s="163">
        <v>36100</v>
      </c>
      <c r="C17" s="255">
        <v>1.6500000000000001E-2</v>
      </c>
      <c r="D17" s="3"/>
      <c r="F17" s="252"/>
    </row>
    <row r="18" spans="1:6" ht="15">
      <c r="A18" s="162" t="s">
        <v>391</v>
      </c>
      <c r="B18" s="163" t="s">
        <v>392</v>
      </c>
      <c r="C18" s="255">
        <v>2.01E-2</v>
      </c>
      <c r="D18" s="3"/>
      <c r="F18" s="252"/>
    </row>
    <row r="19" spans="1:6" ht="15">
      <c r="A19" s="162" t="s">
        <v>393</v>
      </c>
      <c r="B19" s="163" t="s">
        <v>394</v>
      </c>
      <c r="C19" s="255">
        <v>2.1100000000000001E-2</v>
      </c>
      <c r="D19" s="3"/>
      <c r="F19" s="252"/>
    </row>
    <row r="20" spans="1:6" ht="15">
      <c r="A20" s="162" t="s">
        <v>395</v>
      </c>
      <c r="B20" s="163" t="s">
        <v>396</v>
      </c>
      <c r="C20" s="255">
        <v>1.9400000000000001E-2</v>
      </c>
      <c r="D20" s="3"/>
      <c r="F20" s="252"/>
    </row>
    <row r="21" spans="1:6" ht="15">
      <c r="A21" s="162" t="s">
        <v>397</v>
      </c>
      <c r="B21" s="163" t="s">
        <v>398</v>
      </c>
      <c r="C21" s="255">
        <v>1.5299999999999999E-2</v>
      </c>
      <c r="D21" s="3"/>
      <c r="F21" s="252"/>
    </row>
    <row r="22" spans="1:6" ht="15">
      <c r="A22" s="162" t="s">
        <v>399</v>
      </c>
      <c r="B22" s="163" t="s">
        <v>400</v>
      </c>
      <c r="C22" s="255">
        <v>1.7999999999999999E-2</v>
      </c>
      <c r="D22" s="3"/>
      <c r="F22" s="252"/>
    </row>
    <row r="23" spans="1:6" ht="15">
      <c r="A23" s="162" t="s">
        <v>401</v>
      </c>
      <c r="B23" s="163" t="s">
        <v>402</v>
      </c>
      <c r="C23" s="255">
        <v>1.61E-2</v>
      </c>
      <c r="D23" s="3"/>
      <c r="F23" s="252"/>
    </row>
    <row r="24" spans="1:6" ht="15">
      <c r="A24" s="162" t="s">
        <v>403</v>
      </c>
      <c r="B24" s="163" t="s">
        <v>404</v>
      </c>
      <c r="C24" s="255">
        <v>0.02</v>
      </c>
      <c r="D24" s="3"/>
      <c r="F24" s="252"/>
    </row>
    <row r="25" spans="1:6" ht="15">
      <c r="A25" s="162" t="s">
        <v>405</v>
      </c>
      <c r="B25" s="163" t="s">
        <v>406</v>
      </c>
      <c r="C25" s="255">
        <v>7.17E-2</v>
      </c>
      <c r="D25" s="3"/>
      <c r="F25" s="252"/>
    </row>
    <row r="26" spans="1:6" ht="15">
      <c r="A26" s="162" t="s">
        <v>529</v>
      </c>
      <c r="B26" s="163" t="s">
        <v>407</v>
      </c>
      <c r="C26" s="255">
        <v>7.17E-2</v>
      </c>
      <c r="D26" s="3"/>
      <c r="F26" s="252"/>
    </row>
    <row r="27" spans="1:6" ht="15">
      <c r="A27" s="162" t="s">
        <v>482</v>
      </c>
      <c r="B27" s="163">
        <v>37100</v>
      </c>
      <c r="C27" s="255">
        <v>4.5199999999999997E-2</v>
      </c>
      <c r="D27" s="3"/>
      <c r="F27" s="252"/>
    </row>
    <row r="28" spans="1:6" ht="15">
      <c r="A28" s="162" t="s">
        <v>408</v>
      </c>
      <c r="B28" s="163" t="s">
        <v>409</v>
      </c>
      <c r="C28" s="255">
        <v>3.0300000000000001E-2</v>
      </c>
      <c r="D28" s="3"/>
      <c r="F28" s="252"/>
    </row>
    <row r="29" spans="1:6" ht="15">
      <c r="A29" s="3"/>
      <c r="B29" s="165"/>
      <c r="C29" s="254"/>
      <c r="D29" s="3"/>
      <c r="F29" s="250"/>
    </row>
    <row r="30" spans="1:6" ht="15">
      <c r="A30" s="162" t="s">
        <v>410</v>
      </c>
      <c r="B30" s="163" t="s">
        <v>411</v>
      </c>
      <c r="C30" s="255">
        <v>2.8400000000000002E-2</v>
      </c>
      <c r="D30" s="3"/>
      <c r="F30" s="252"/>
    </row>
    <row r="31" spans="1:6" ht="15">
      <c r="A31" s="162" t="s">
        <v>412</v>
      </c>
      <c r="B31" s="163" t="s">
        <v>413</v>
      </c>
      <c r="C31" s="255">
        <v>2.8400000000000002E-2</v>
      </c>
      <c r="D31" s="3"/>
      <c r="F31" s="252"/>
    </row>
    <row r="32" spans="1:6" ht="15">
      <c r="A32" s="162" t="s">
        <v>414</v>
      </c>
      <c r="B32" s="163" t="s">
        <v>415</v>
      </c>
      <c r="C32" s="255">
        <v>9.3200000000000005E-2</v>
      </c>
      <c r="D32" s="3"/>
      <c r="F32" s="252"/>
    </row>
    <row r="33" spans="1:6" ht="15">
      <c r="A33" s="162" t="s">
        <v>416</v>
      </c>
      <c r="B33" s="163" t="s">
        <v>417</v>
      </c>
      <c r="C33" s="255">
        <v>9.3200000000000005E-2</v>
      </c>
      <c r="D33" s="3"/>
      <c r="F33" s="252"/>
    </row>
    <row r="34" spans="1:6" ht="15">
      <c r="A34" s="162" t="s">
        <v>524</v>
      </c>
      <c r="B34" s="163">
        <v>39200</v>
      </c>
      <c r="C34" s="255">
        <v>6.0299999999999999E-2</v>
      </c>
      <c r="D34" s="3"/>
      <c r="F34" s="252"/>
    </row>
    <row r="35" spans="1:6" ht="15">
      <c r="A35" s="162" t="s">
        <v>525</v>
      </c>
      <c r="B35" s="163">
        <v>39210</v>
      </c>
      <c r="C35" s="255">
        <v>6.0299999999999999E-2</v>
      </c>
      <c r="D35" s="3"/>
      <c r="F35" s="252"/>
    </row>
    <row r="36" spans="1:6" ht="15">
      <c r="A36" s="162" t="s">
        <v>418</v>
      </c>
      <c r="B36" s="163" t="s">
        <v>419</v>
      </c>
      <c r="C36" s="255">
        <v>1.35E-2</v>
      </c>
      <c r="D36" s="3"/>
      <c r="F36" s="252"/>
    </row>
    <row r="37" spans="1:6" ht="15">
      <c r="A37" s="162" t="s">
        <v>420</v>
      </c>
      <c r="B37" s="163" t="s">
        <v>421</v>
      </c>
      <c r="C37" s="255">
        <v>3.2099999999999997E-2</v>
      </c>
      <c r="D37" s="3"/>
      <c r="F37" s="252"/>
    </row>
    <row r="38" spans="1:6" ht="15">
      <c r="A38" s="162" t="s">
        <v>422</v>
      </c>
      <c r="B38" s="163" t="s">
        <v>423</v>
      </c>
      <c r="C38" s="255">
        <v>4.0500000000000001E-2</v>
      </c>
      <c r="D38" s="3"/>
      <c r="F38" s="252"/>
    </row>
    <row r="39" spans="1:6" ht="15">
      <c r="A39" s="162" t="s">
        <v>424</v>
      </c>
      <c r="B39" s="163" t="s">
        <v>425</v>
      </c>
      <c r="C39" s="255">
        <v>4.0599999999999997E-2</v>
      </c>
      <c r="D39" s="3"/>
      <c r="F39" s="252"/>
    </row>
    <row r="40" spans="1:6" ht="15">
      <c r="A40" s="162" t="s">
        <v>426</v>
      </c>
      <c r="B40" s="163" t="s">
        <v>427</v>
      </c>
      <c r="C40" s="255">
        <v>4.4400000000000002E-2</v>
      </c>
      <c r="D40" s="3"/>
      <c r="F40" s="252"/>
    </row>
    <row r="41" spans="1:6" ht="15">
      <c r="A41" s="162" t="s">
        <v>469</v>
      </c>
      <c r="B41" s="163">
        <v>39900</v>
      </c>
      <c r="C41" s="255" t="s">
        <v>48</v>
      </c>
      <c r="D41" s="3"/>
      <c r="F41" s="252"/>
    </row>
    <row r="42" spans="1:6" ht="15">
      <c r="A42" s="3"/>
      <c r="B42" s="3"/>
      <c r="C42" s="3"/>
      <c r="D42" s="3"/>
    </row>
    <row r="43" spans="1:6" ht="15">
      <c r="A43" s="270" t="s">
        <v>526</v>
      </c>
      <c r="B43" s="3"/>
      <c r="C43" s="3"/>
      <c r="D43" s="3"/>
    </row>
    <row r="44" spans="1:6" ht="15">
      <c r="A44" s="3"/>
      <c r="B44" s="3"/>
      <c r="C44" s="3"/>
      <c r="D44" s="3"/>
    </row>
    <row r="45" spans="1:6" ht="15">
      <c r="A45" s="3"/>
      <c r="B45" s="3"/>
      <c r="C45" s="3"/>
      <c r="D45" s="3"/>
    </row>
    <row r="46" spans="1:6" ht="15">
      <c r="A46" s="3"/>
      <c r="B46" s="3"/>
      <c r="C46" s="3"/>
      <c r="D46" s="3"/>
    </row>
    <row r="47" spans="1:6" ht="15">
      <c r="A47" s="3"/>
      <c r="B47" s="3"/>
      <c r="C47" s="3"/>
      <c r="D47" s="3"/>
    </row>
  </sheetData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workbookViewId="0">
      <selection activeCell="D63" sqref="D63"/>
    </sheetView>
  </sheetViews>
  <sheetFormatPr defaultColWidth="9.140625" defaultRowHeight="12.75"/>
  <cols>
    <col min="1" max="1" width="7.7109375" style="211" customWidth="1"/>
    <col min="2" max="2" width="36.7109375" style="211" customWidth="1"/>
    <col min="3" max="3" width="20.7109375" style="211" customWidth="1"/>
    <col min="4" max="4" width="25.7109375" style="211" customWidth="1"/>
    <col min="5" max="16384" width="9.140625" style="211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A5" s="303"/>
      <c r="C5" s="23" t="s">
        <v>485</v>
      </c>
      <c r="D5" s="3"/>
      <c r="E5" s="3"/>
      <c r="F5" s="3"/>
      <c r="G5" s="3"/>
    </row>
    <row r="6" spans="1:7" ht="15">
      <c r="C6" s="212" t="str">
        <f>+'5 alloc.'!B6</f>
        <v>Forecast</v>
      </c>
      <c r="D6" s="3"/>
      <c r="E6" s="3"/>
      <c r="F6" s="3"/>
      <c r="G6" s="3"/>
    </row>
    <row r="7" spans="1:7" ht="15">
      <c r="C7" s="212">
        <f>+'5 alloc.'!B7</f>
        <v>2018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540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486</v>
      </c>
      <c r="D11" s="7" t="s">
        <v>80</v>
      </c>
      <c r="F11" s="3"/>
    </row>
    <row r="12" spans="1:7" ht="15">
      <c r="A12" s="30" t="s">
        <v>63</v>
      </c>
      <c r="B12" s="3"/>
      <c r="C12" s="23" t="s">
        <v>487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6" t="s">
        <v>209</v>
      </c>
      <c r="C14" s="3"/>
      <c r="D14" s="34"/>
      <c r="F14" s="34"/>
    </row>
    <row r="15" spans="1:7" ht="15">
      <c r="A15" s="217">
        <v>2</v>
      </c>
      <c r="B15" s="214" t="s">
        <v>716</v>
      </c>
      <c r="C15" s="275">
        <v>801653370</v>
      </c>
      <c r="D15" s="211" t="s">
        <v>489</v>
      </c>
      <c r="E15" s="211" t="s">
        <v>683</v>
      </c>
    </row>
    <row r="16" spans="1:7" ht="15">
      <c r="A16" s="217">
        <v>3</v>
      </c>
      <c r="B16" s="215" t="s">
        <v>717</v>
      </c>
      <c r="C16" s="275">
        <v>803285346</v>
      </c>
      <c r="D16" s="211" t="s">
        <v>489</v>
      </c>
    </row>
    <row r="17" spans="1:7" ht="15">
      <c r="A17" s="217">
        <v>4</v>
      </c>
      <c r="B17" s="214" t="s">
        <v>718</v>
      </c>
      <c r="C17" s="275">
        <v>807212945</v>
      </c>
      <c r="D17" s="211" t="s">
        <v>489</v>
      </c>
    </row>
    <row r="18" spans="1:7" ht="15">
      <c r="A18" s="217">
        <v>5</v>
      </c>
      <c r="B18" s="214" t="s">
        <v>719</v>
      </c>
      <c r="C18" s="275">
        <v>809553987</v>
      </c>
      <c r="D18" s="211" t="s">
        <v>489</v>
      </c>
    </row>
    <row r="19" spans="1:7" ht="15">
      <c r="A19" s="217">
        <v>6</v>
      </c>
      <c r="B19" s="214" t="s">
        <v>720</v>
      </c>
      <c r="C19" s="275">
        <v>811533009</v>
      </c>
      <c r="D19" s="211" t="s">
        <v>489</v>
      </c>
    </row>
    <row r="20" spans="1:7" ht="15">
      <c r="A20" s="217">
        <v>7</v>
      </c>
      <c r="B20" s="214" t="s">
        <v>721</v>
      </c>
      <c r="C20" s="275">
        <v>813670263</v>
      </c>
      <c r="D20" s="211" t="s">
        <v>489</v>
      </c>
    </row>
    <row r="21" spans="1:7" ht="15">
      <c r="A21" s="217">
        <v>8</v>
      </c>
      <c r="B21" s="214" t="s">
        <v>722</v>
      </c>
      <c r="C21" s="275">
        <v>818562973</v>
      </c>
      <c r="D21" s="211" t="s">
        <v>489</v>
      </c>
    </row>
    <row r="22" spans="1:7" ht="15">
      <c r="A22" s="217">
        <v>9</v>
      </c>
      <c r="B22" s="214" t="s">
        <v>723</v>
      </c>
      <c r="C22" s="275">
        <v>820194949</v>
      </c>
      <c r="D22" s="211" t="s">
        <v>489</v>
      </c>
    </row>
    <row r="23" spans="1:7" ht="15">
      <c r="A23" s="217">
        <v>10</v>
      </c>
      <c r="B23" s="214" t="s">
        <v>724</v>
      </c>
      <c r="C23" s="275">
        <v>821826925</v>
      </c>
      <c r="D23" s="211" t="s">
        <v>489</v>
      </c>
    </row>
    <row r="24" spans="1:7" ht="15">
      <c r="A24" s="217">
        <v>11</v>
      </c>
      <c r="B24" s="214" t="s">
        <v>725</v>
      </c>
      <c r="C24" s="275">
        <v>824167967</v>
      </c>
      <c r="D24" s="211" t="s">
        <v>489</v>
      </c>
    </row>
    <row r="25" spans="1:7" ht="15">
      <c r="A25" s="217">
        <v>12</v>
      </c>
      <c r="B25" s="214" t="s">
        <v>726</v>
      </c>
      <c r="C25" s="275">
        <v>825799943</v>
      </c>
      <c r="D25" s="211" t="s">
        <v>489</v>
      </c>
    </row>
    <row r="26" spans="1:7" ht="15">
      <c r="A26" s="217">
        <v>13</v>
      </c>
      <c r="B26" s="214" t="s">
        <v>727</v>
      </c>
      <c r="C26" s="275">
        <v>827431919</v>
      </c>
      <c r="D26" s="211" t="s">
        <v>489</v>
      </c>
    </row>
    <row r="27" spans="1:7" ht="15">
      <c r="A27" s="217">
        <v>14</v>
      </c>
      <c r="B27" s="215" t="s">
        <v>728</v>
      </c>
      <c r="C27" s="275">
        <v>830378405</v>
      </c>
      <c r="D27" s="211" t="s">
        <v>489</v>
      </c>
      <c r="E27" s="211" t="s">
        <v>684</v>
      </c>
    </row>
    <row r="28" spans="1:7" ht="15">
      <c r="C28" s="247"/>
    </row>
    <row r="29" spans="1:7" ht="15">
      <c r="A29" s="217">
        <v>15</v>
      </c>
      <c r="B29" s="214" t="s">
        <v>500</v>
      </c>
      <c r="C29" s="100">
        <f>AVERAGE(C15:C27)</f>
        <v>816559384.69230771</v>
      </c>
      <c r="G29" s="3"/>
    </row>
    <row r="30" spans="1:7" ht="15">
      <c r="C30" s="141"/>
      <c r="G30" s="30"/>
    </row>
    <row r="31" spans="1:7" ht="19.5">
      <c r="A31" s="30">
        <v>16</v>
      </c>
      <c r="B31" s="216" t="s">
        <v>501</v>
      </c>
      <c r="C31" s="141"/>
      <c r="D31" s="34"/>
      <c r="F31" s="34"/>
    </row>
    <row r="32" spans="1:7" ht="15">
      <c r="A32" s="217">
        <v>17</v>
      </c>
      <c r="B32" s="214" t="s">
        <v>716</v>
      </c>
      <c r="C32" s="275">
        <v>131910635.19</v>
      </c>
      <c r="D32" s="211" t="s">
        <v>489</v>
      </c>
      <c r="E32" s="211" t="s">
        <v>685</v>
      </c>
    </row>
    <row r="33" spans="1:6" ht="15">
      <c r="A33" s="217">
        <v>18</v>
      </c>
      <c r="B33" s="215" t="s">
        <v>717</v>
      </c>
      <c r="C33" s="275">
        <v>132313216.19</v>
      </c>
      <c r="D33" s="211" t="s">
        <v>489</v>
      </c>
    </row>
    <row r="34" spans="1:6" ht="15">
      <c r="A34" s="217">
        <v>19</v>
      </c>
      <c r="B34" s="214" t="s">
        <v>718</v>
      </c>
      <c r="C34" s="275">
        <v>132644250.19</v>
      </c>
      <c r="D34" s="211" t="s">
        <v>489</v>
      </c>
    </row>
    <row r="35" spans="1:6" ht="15">
      <c r="A35" s="217">
        <v>20</v>
      </c>
      <c r="B35" s="214" t="s">
        <v>719</v>
      </c>
      <c r="C35" s="275">
        <v>133154103.19</v>
      </c>
      <c r="D35" s="211" t="s">
        <v>489</v>
      </c>
    </row>
    <row r="36" spans="1:6" ht="15">
      <c r="A36" s="217">
        <v>21</v>
      </c>
      <c r="B36" s="214" t="s">
        <v>720</v>
      </c>
      <c r="C36" s="275">
        <v>133705510.19</v>
      </c>
      <c r="D36" s="211" t="s">
        <v>489</v>
      </c>
    </row>
    <row r="37" spans="1:6" ht="15">
      <c r="A37" s="217">
        <v>22</v>
      </c>
      <c r="B37" s="214" t="s">
        <v>721</v>
      </c>
      <c r="C37" s="275">
        <v>134459050.19</v>
      </c>
      <c r="D37" s="211" t="s">
        <v>489</v>
      </c>
    </row>
    <row r="38" spans="1:6" ht="15">
      <c r="A38" s="217">
        <v>23</v>
      </c>
      <c r="B38" s="214" t="s">
        <v>722</v>
      </c>
      <c r="C38" s="275">
        <v>134459050.19</v>
      </c>
      <c r="D38" s="211" t="s">
        <v>489</v>
      </c>
    </row>
    <row r="39" spans="1:6" ht="15">
      <c r="A39" s="217">
        <v>24</v>
      </c>
      <c r="B39" s="214" t="s">
        <v>723</v>
      </c>
      <c r="C39" s="275">
        <v>134761690.19</v>
      </c>
      <c r="D39" s="211" t="s">
        <v>489</v>
      </c>
    </row>
    <row r="40" spans="1:6" ht="15">
      <c r="A40" s="217">
        <v>25</v>
      </c>
      <c r="B40" s="214" t="s">
        <v>724</v>
      </c>
      <c r="C40" s="275">
        <v>135335014.19</v>
      </c>
      <c r="D40" s="211" t="s">
        <v>489</v>
      </c>
    </row>
    <row r="41" spans="1:6" ht="15">
      <c r="A41" s="217">
        <v>26</v>
      </c>
      <c r="B41" s="214" t="s">
        <v>725</v>
      </c>
      <c r="C41" s="275">
        <v>130327632.19</v>
      </c>
      <c r="D41" s="211" t="s">
        <v>489</v>
      </c>
    </row>
    <row r="42" spans="1:6" ht="15">
      <c r="A42" s="217">
        <v>27</v>
      </c>
      <c r="B42" s="214" t="s">
        <v>726</v>
      </c>
      <c r="C42" s="275">
        <v>133192876.19</v>
      </c>
      <c r="D42" s="211" t="s">
        <v>489</v>
      </c>
    </row>
    <row r="43" spans="1:6" ht="15">
      <c r="A43" s="217">
        <v>28</v>
      </c>
      <c r="B43" s="214" t="s">
        <v>727</v>
      </c>
      <c r="C43" s="275">
        <v>136355202.19</v>
      </c>
      <c r="D43" s="211" t="s">
        <v>489</v>
      </c>
    </row>
    <row r="44" spans="1:6" ht="15">
      <c r="A44" s="217">
        <v>29</v>
      </c>
      <c r="B44" s="215" t="s">
        <v>728</v>
      </c>
      <c r="C44" s="275">
        <v>136859055.19</v>
      </c>
      <c r="D44" s="211" t="s">
        <v>489</v>
      </c>
      <c r="E44" s="211" t="s">
        <v>686</v>
      </c>
    </row>
    <row r="45" spans="1:6" ht="15">
      <c r="C45" s="141"/>
    </row>
    <row r="46" spans="1:6" ht="15">
      <c r="A46" s="217">
        <v>30</v>
      </c>
      <c r="B46" s="214" t="s">
        <v>502</v>
      </c>
      <c r="C46" s="100">
        <f>AVERAGE(C32:C44)</f>
        <v>133805945.03615388</v>
      </c>
    </row>
    <row r="47" spans="1:6" ht="15">
      <c r="C47" s="141"/>
    </row>
    <row r="48" spans="1:6" ht="19.5">
      <c r="A48" s="30">
        <v>31</v>
      </c>
      <c r="B48" s="216" t="s">
        <v>503</v>
      </c>
      <c r="C48" s="141"/>
      <c r="D48" s="34"/>
      <c r="F48" s="34"/>
    </row>
    <row r="49" spans="1:5" ht="15">
      <c r="A49" s="217">
        <v>32</v>
      </c>
      <c r="B49" s="214" t="s">
        <v>716</v>
      </c>
      <c r="C49" s="276">
        <v>1780817108</v>
      </c>
      <c r="D49" s="211" t="s">
        <v>489</v>
      </c>
      <c r="E49" s="211" t="s">
        <v>687</v>
      </c>
    </row>
    <row r="50" spans="1:5" ht="15">
      <c r="A50" s="217">
        <v>33</v>
      </c>
      <c r="B50" s="215" t="s">
        <v>717</v>
      </c>
      <c r="C50" s="276">
        <v>1784983832</v>
      </c>
      <c r="D50" s="211" t="s">
        <v>489</v>
      </c>
    </row>
    <row r="51" spans="1:5" ht="15">
      <c r="A51" s="217">
        <v>34</v>
      </c>
      <c r="B51" s="214" t="s">
        <v>718</v>
      </c>
      <c r="C51" s="276">
        <v>1793769049</v>
      </c>
      <c r="D51" s="211" t="s">
        <v>489</v>
      </c>
    </row>
    <row r="52" spans="1:5" ht="15">
      <c r="A52" s="217">
        <v>35</v>
      </c>
      <c r="B52" s="214" t="s">
        <v>719</v>
      </c>
      <c r="C52" s="276">
        <v>1798759123</v>
      </c>
      <c r="D52" s="211" t="s">
        <v>489</v>
      </c>
    </row>
    <row r="53" spans="1:5" ht="15">
      <c r="A53" s="217">
        <v>36</v>
      </c>
      <c r="B53" s="214" t="s">
        <v>720</v>
      </c>
      <c r="C53" s="276">
        <v>1801470150</v>
      </c>
      <c r="D53" s="211" t="s">
        <v>489</v>
      </c>
    </row>
    <row r="54" spans="1:5" ht="15">
      <c r="A54" s="217">
        <v>37</v>
      </c>
      <c r="B54" s="214" t="s">
        <v>721</v>
      </c>
      <c r="C54" s="276">
        <v>1804456990</v>
      </c>
      <c r="D54" s="211" t="s">
        <v>489</v>
      </c>
    </row>
    <row r="55" spans="1:5" ht="15">
      <c r="A55" s="217">
        <v>38</v>
      </c>
      <c r="B55" s="214" t="s">
        <v>722</v>
      </c>
      <c r="C55" s="276">
        <v>1811451648</v>
      </c>
      <c r="D55" s="211" t="s">
        <v>489</v>
      </c>
    </row>
    <row r="56" spans="1:5" ht="15">
      <c r="A56" s="217">
        <v>39</v>
      </c>
      <c r="B56" s="214" t="s">
        <v>723</v>
      </c>
      <c r="C56" s="276">
        <v>1816308965</v>
      </c>
      <c r="D56" s="211" t="s">
        <v>489</v>
      </c>
    </row>
    <row r="57" spans="1:5" ht="15">
      <c r="A57" s="217">
        <v>40</v>
      </c>
      <c r="B57" s="214" t="s">
        <v>724</v>
      </c>
      <c r="C57" s="276">
        <v>1825557462</v>
      </c>
      <c r="D57" s="211" t="s">
        <v>489</v>
      </c>
    </row>
    <row r="58" spans="1:5" ht="15">
      <c r="A58" s="217">
        <v>41</v>
      </c>
      <c r="B58" s="214" t="s">
        <v>725</v>
      </c>
      <c r="C58" s="276">
        <v>1824554589</v>
      </c>
      <c r="D58" s="211" t="s">
        <v>489</v>
      </c>
    </row>
    <row r="59" spans="1:5" ht="15">
      <c r="A59" s="217">
        <v>42</v>
      </c>
      <c r="B59" s="214" t="s">
        <v>726</v>
      </c>
      <c r="C59" s="276">
        <v>1834410640</v>
      </c>
      <c r="D59" s="211" t="s">
        <v>489</v>
      </c>
    </row>
    <row r="60" spans="1:5" ht="15">
      <c r="A60" s="217">
        <v>43</v>
      </c>
      <c r="B60" s="214" t="s">
        <v>727</v>
      </c>
      <c r="C60" s="276">
        <v>1839947295</v>
      </c>
      <c r="D60" s="211" t="s">
        <v>489</v>
      </c>
    </row>
    <row r="61" spans="1:5" ht="15">
      <c r="A61" s="217">
        <v>44</v>
      </c>
      <c r="B61" s="215" t="s">
        <v>728</v>
      </c>
      <c r="C61" s="277">
        <v>1849084250</v>
      </c>
      <c r="D61" s="211" t="s">
        <v>489</v>
      </c>
      <c r="E61" s="211" t="s">
        <v>688</v>
      </c>
    </row>
    <row r="62" spans="1:5" ht="15">
      <c r="C62" s="141"/>
    </row>
    <row r="63" spans="1:5" ht="15">
      <c r="A63" s="217">
        <v>45</v>
      </c>
      <c r="B63" s="214" t="s">
        <v>504</v>
      </c>
      <c r="C63" s="100">
        <f>AVERAGE(C49:C61)-10097954</f>
        <v>1802638284.5384614</v>
      </c>
    </row>
  </sheetData>
  <pageMargins left="0.7" right="0.7" top="0.75" bottom="0.75" header="0.3" footer="0.3"/>
  <pageSetup scale="75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tabSelected="1" topLeftCell="A7" workbookViewId="0">
      <selection activeCell="E21" sqref="E21"/>
    </sheetView>
  </sheetViews>
  <sheetFormatPr defaultColWidth="9.140625" defaultRowHeight="12.75"/>
  <cols>
    <col min="1" max="1" width="7.7109375" style="211" bestFit="1" customWidth="1"/>
    <col min="2" max="2" width="36.5703125" style="211" customWidth="1"/>
    <col min="3" max="3" width="20.85546875" style="211" customWidth="1"/>
    <col min="4" max="4" width="26.28515625" style="211" bestFit="1" customWidth="1"/>
    <col min="5" max="5" width="10.28515625" style="211" bestFit="1" customWidth="1"/>
    <col min="6" max="16384" width="9.140625" style="211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C5" s="23" t="s">
        <v>505</v>
      </c>
      <c r="D5" s="3"/>
      <c r="E5" s="3"/>
      <c r="F5" s="3"/>
      <c r="G5" s="3"/>
    </row>
    <row r="6" spans="1:7" ht="15">
      <c r="C6" s="212" t="str">
        <f>+'5 alloc.'!B6</f>
        <v>Forecast</v>
      </c>
      <c r="D6" s="3"/>
      <c r="E6" s="3"/>
      <c r="F6" s="3"/>
      <c r="G6" s="3"/>
    </row>
    <row r="7" spans="1:7" ht="15">
      <c r="C7" s="212">
        <f>+'5 alloc.'!B7</f>
        <v>2018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539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486</v>
      </c>
      <c r="D11" s="7" t="s">
        <v>80</v>
      </c>
      <c r="F11" s="3"/>
    </row>
    <row r="12" spans="1:7" ht="15">
      <c r="A12" s="30" t="s">
        <v>63</v>
      </c>
      <c r="B12" s="3"/>
      <c r="C12" s="23" t="s">
        <v>487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6" t="s">
        <v>209</v>
      </c>
      <c r="C14" s="3"/>
      <c r="D14" s="34"/>
      <c r="F14" s="34"/>
    </row>
    <row r="15" spans="1:7" ht="15">
      <c r="A15" s="217">
        <f>1+A14</f>
        <v>2</v>
      </c>
      <c r="B15" s="339" t="s">
        <v>716</v>
      </c>
      <c r="C15" s="273">
        <v>297865015</v>
      </c>
      <c r="D15" s="211" t="s">
        <v>489</v>
      </c>
    </row>
    <row r="16" spans="1:7" ht="15">
      <c r="A16" s="217">
        <f t="shared" ref="A16:A27" si="0">1+A15</f>
        <v>3</v>
      </c>
      <c r="B16" s="340" t="s">
        <v>717</v>
      </c>
      <c r="C16" s="273">
        <v>299033208</v>
      </c>
      <c r="D16" s="211" t="s">
        <v>489</v>
      </c>
    </row>
    <row r="17" spans="1:7" ht="15">
      <c r="A17" s="217">
        <f t="shared" si="0"/>
        <v>4</v>
      </c>
      <c r="B17" s="339" t="s">
        <v>718</v>
      </c>
      <c r="C17" s="273">
        <v>299724284</v>
      </c>
      <c r="D17" s="211" t="s">
        <v>489</v>
      </c>
    </row>
    <row r="18" spans="1:7" ht="15">
      <c r="A18" s="217">
        <f t="shared" si="0"/>
        <v>5</v>
      </c>
      <c r="B18" s="339" t="s">
        <v>719</v>
      </c>
      <c r="C18" s="273">
        <v>300868103</v>
      </c>
      <c r="D18" s="211" t="s">
        <v>489</v>
      </c>
    </row>
    <row r="19" spans="1:7" ht="15">
      <c r="A19" s="217">
        <f t="shared" si="0"/>
        <v>6</v>
      </c>
      <c r="B19" s="339" t="s">
        <v>720</v>
      </c>
      <c r="C19" s="273">
        <v>301995787</v>
      </c>
      <c r="D19" s="211" t="s">
        <v>489</v>
      </c>
    </row>
    <row r="20" spans="1:7" ht="15">
      <c r="A20" s="217">
        <f t="shared" si="0"/>
        <v>7</v>
      </c>
      <c r="B20" s="339" t="s">
        <v>721</v>
      </c>
      <c r="C20" s="273">
        <v>303136612</v>
      </c>
      <c r="D20" s="211" t="s">
        <v>489</v>
      </c>
    </row>
    <row r="21" spans="1:7" ht="15">
      <c r="A21" s="217">
        <f t="shared" si="0"/>
        <v>8</v>
      </c>
      <c r="B21" s="339" t="s">
        <v>722</v>
      </c>
      <c r="C21" s="273">
        <v>303844460</v>
      </c>
      <c r="D21" s="211" t="s">
        <v>489</v>
      </c>
    </row>
    <row r="22" spans="1:7" ht="15">
      <c r="A22" s="217">
        <f t="shared" si="0"/>
        <v>9</v>
      </c>
      <c r="B22" s="339" t="s">
        <v>723</v>
      </c>
      <c r="C22" s="273">
        <v>305041337</v>
      </c>
      <c r="D22" s="211" t="s">
        <v>489</v>
      </c>
    </row>
    <row r="23" spans="1:7" ht="15">
      <c r="A23" s="217">
        <f t="shared" si="0"/>
        <v>10</v>
      </c>
      <c r="B23" s="339" t="s">
        <v>724</v>
      </c>
      <c r="C23" s="273">
        <v>306240946</v>
      </c>
      <c r="D23" s="211" t="s">
        <v>489</v>
      </c>
    </row>
    <row r="24" spans="1:7" ht="15">
      <c r="A24" s="217">
        <f t="shared" si="0"/>
        <v>11</v>
      </c>
      <c r="B24" s="339" t="s">
        <v>725</v>
      </c>
      <c r="C24" s="273">
        <v>307409603</v>
      </c>
      <c r="D24" s="211" t="s">
        <v>489</v>
      </c>
      <c r="E24" s="187"/>
    </row>
    <row r="25" spans="1:7" ht="15">
      <c r="A25" s="217">
        <f t="shared" si="0"/>
        <v>12</v>
      </c>
      <c r="B25" s="339" t="s">
        <v>726</v>
      </c>
      <c r="C25" s="273">
        <v>308616048</v>
      </c>
      <c r="D25" s="211" t="s">
        <v>489</v>
      </c>
      <c r="E25" s="187"/>
    </row>
    <row r="26" spans="1:7" ht="15">
      <c r="A26" s="217">
        <f t="shared" si="0"/>
        <v>13</v>
      </c>
      <c r="B26" s="339" t="s">
        <v>727</v>
      </c>
      <c r="C26" s="273">
        <v>309825225</v>
      </c>
      <c r="D26" s="211" t="s">
        <v>489</v>
      </c>
      <c r="E26" s="187"/>
    </row>
    <row r="27" spans="1:7" ht="15">
      <c r="A27" s="217">
        <f t="shared" si="0"/>
        <v>14</v>
      </c>
      <c r="B27" s="341" t="s">
        <v>728</v>
      </c>
      <c r="C27" s="273">
        <v>311003957</v>
      </c>
      <c r="D27" s="211" t="s">
        <v>489</v>
      </c>
      <c r="E27" s="187"/>
    </row>
    <row r="29" spans="1:7" ht="15">
      <c r="A29" s="217">
        <f>1+A27</f>
        <v>15</v>
      </c>
      <c r="B29" s="214" t="s">
        <v>500</v>
      </c>
      <c r="C29" s="342">
        <f>AVERAGE(C15:C27)</f>
        <v>304200352.69230771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6" t="s">
        <v>501</v>
      </c>
      <c r="C31" s="141"/>
      <c r="D31" s="34"/>
      <c r="F31" s="34"/>
    </row>
    <row r="32" spans="1:7" ht="15">
      <c r="A32" s="217">
        <f>1+A31</f>
        <v>17</v>
      </c>
      <c r="B32" s="215" t="s">
        <v>682</v>
      </c>
      <c r="C32" s="360">
        <v>32285164.210000001</v>
      </c>
      <c r="D32" s="211" t="s">
        <v>713</v>
      </c>
      <c r="E32" s="302"/>
    </row>
    <row r="33" spans="1:5" ht="15">
      <c r="A33" s="217">
        <f t="shared" ref="A33:A44" si="1">1+A32</f>
        <v>18</v>
      </c>
      <c r="B33" s="214" t="s">
        <v>488</v>
      </c>
      <c r="C33" s="361">
        <v>33569987.293333329</v>
      </c>
      <c r="D33" s="211" t="s">
        <v>489</v>
      </c>
    </row>
    <row r="34" spans="1:5" ht="15">
      <c r="A34" s="217">
        <f t="shared" si="1"/>
        <v>19</v>
      </c>
      <c r="B34" s="214" t="s">
        <v>490</v>
      </c>
      <c r="C34" s="361">
        <v>34859750.376666658</v>
      </c>
      <c r="D34" s="211" t="s">
        <v>489</v>
      </c>
    </row>
    <row r="35" spans="1:5" ht="15">
      <c r="A35" s="217">
        <f t="shared" si="1"/>
        <v>20</v>
      </c>
      <c r="B35" s="214" t="s">
        <v>491</v>
      </c>
      <c r="C35" s="361">
        <v>36155036.459999986</v>
      </c>
      <c r="D35" s="211" t="s">
        <v>489</v>
      </c>
    </row>
    <row r="36" spans="1:5" ht="15">
      <c r="A36" s="217">
        <f t="shared" si="1"/>
        <v>21</v>
      </c>
      <c r="B36" s="214" t="s">
        <v>492</v>
      </c>
      <c r="C36" s="361">
        <v>37457815.543333314</v>
      </c>
      <c r="D36" s="211" t="s">
        <v>489</v>
      </c>
    </row>
    <row r="37" spans="1:5" ht="15">
      <c r="A37" s="217">
        <f t="shared" si="1"/>
        <v>22</v>
      </c>
      <c r="B37" s="214" t="s">
        <v>493</v>
      </c>
      <c r="C37" s="361">
        <v>38770801.626666643</v>
      </c>
      <c r="D37" s="211" t="s">
        <v>489</v>
      </c>
    </row>
    <row r="38" spans="1:5" ht="15">
      <c r="A38" s="217">
        <f t="shared" si="1"/>
        <v>23</v>
      </c>
      <c r="B38" s="214" t="s">
        <v>494</v>
      </c>
      <c r="C38" s="361">
        <v>40090067.709999971</v>
      </c>
      <c r="D38" s="211" t="s">
        <v>489</v>
      </c>
    </row>
    <row r="39" spans="1:5" ht="15">
      <c r="A39" s="217">
        <f t="shared" si="1"/>
        <v>24</v>
      </c>
      <c r="B39" s="214" t="s">
        <v>495</v>
      </c>
      <c r="C39" s="361">
        <v>41401515.793333299</v>
      </c>
      <c r="D39" s="211" t="s">
        <v>489</v>
      </c>
    </row>
    <row r="40" spans="1:5" ht="15">
      <c r="A40" s="217">
        <f t="shared" si="1"/>
        <v>25</v>
      </c>
      <c r="B40" s="214" t="s">
        <v>496</v>
      </c>
      <c r="C40" s="361">
        <v>42727023.876666628</v>
      </c>
      <c r="D40" s="211" t="s">
        <v>489</v>
      </c>
    </row>
    <row r="41" spans="1:5" ht="15">
      <c r="A41" s="217">
        <f t="shared" si="1"/>
        <v>26</v>
      </c>
      <c r="B41" s="214" t="s">
        <v>497</v>
      </c>
      <c r="C41" s="361">
        <v>38789428.959999956</v>
      </c>
      <c r="D41" s="211" t="s">
        <v>489</v>
      </c>
    </row>
    <row r="42" spans="1:5" ht="15">
      <c r="A42" s="217">
        <f t="shared" si="1"/>
        <v>27</v>
      </c>
      <c r="B42" s="214" t="s">
        <v>498</v>
      </c>
      <c r="C42" s="361">
        <v>39529611.043333285</v>
      </c>
      <c r="D42" s="211" t="s">
        <v>489</v>
      </c>
    </row>
    <row r="43" spans="1:5" ht="15">
      <c r="A43" s="217">
        <f t="shared" si="1"/>
        <v>28</v>
      </c>
      <c r="B43" s="215" t="s">
        <v>499</v>
      </c>
      <c r="C43" s="361">
        <v>40874083.126666613</v>
      </c>
      <c r="D43" s="211" t="s">
        <v>489</v>
      </c>
    </row>
    <row r="44" spans="1:5" ht="15">
      <c r="A44" s="217">
        <f t="shared" si="1"/>
        <v>29</v>
      </c>
      <c r="B44" t="s">
        <v>714</v>
      </c>
      <c r="C44" s="361">
        <v>42221245.209999941</v>
      </c>
      <c r="D44" s="211" t="s">
        <v>715</v>
      </c>
      <c r="E44" s="302"/>
    </row>
    <row r="45" spans="1:5" ht="15">
      <c r="C45" s="141"/>
    </row>
    <row r="46" spans="1:5" ht="15">
      <c r="A46" s="217">
        <f>1+A44</f>
        <v>30</v>
      </c>
      <c r="B46" s="214" t="s">
        <v>502</v>
      </c>
      <c r="C46" s="342">
        <f>AVERAGE(C32:C44)</f>
        <v>38363963.940769203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122"/>
  <sheetViews>
    <sheetView showGridLines="0" topLeftCell="C16" zoomScale="75" zoomScaleNormal="75" workbookViewId="0">
      <selection activeCell="F88" sqref="F88"/>
    </sheetView>
  </sheetViews>
  <sheetFormatPr defaultColWidth="9.140625" defaultRowHeight="12.75"/>
  <cols>
    <col min="1" max="1" width="7.7109375" style="211" bestFit="1" customWidth="1"/>
    <col min="2" max="2" width="66" style="211" bestFit="1" customWidth="1"/>
    <col min="3" max="3" width="37.140625" style="211" customWidth="1"/>
    <col min="4" max="4" width="21" style="211" customWidth="1"/>
    <col min="5" max="5" width="22.28515625" style="211" customWidth="1"/>
    <col min="6" max="6" width="19.140625" style="211" customWidth="1"/>
    <col min="7" max="16384" width="9.140625" style="211"/>
  </cols>
  <sheetData>
    <row r="2" spans="1:7" ht="15">
      <c r="B2" s="3"/>
    </row>
    <row r="3" spans="1:7" ht="19.5">
      <c r="C3" s="97" t="s">
        <v>93</v>
      </c>
      <c r="D3" s="3"/>
      <c r="E3" s="3"/>
      <c r="F3" s="3"/>
      <c r="G3" s="3"/>
    </row>
    <row r="4" spans="1:7" ht="15.75">
      <c r="C4" s="335" t="s">
        <v>506</v>
      </c>
      <c r="D4" s="3"/>
      <c r="E4" s="3"/>
      <c r="F4" s="3"/>
      <c r="G4" s="3"/>
    </row>
    <row r="5" spans="1:7" ht="15.75">
      <c r="C5" s="336" t="str">
        <f>+'5 alloc.'!B6</f>
        <v>Forecast</v>
      </c>
      <c r="D5" s="3"/>
      <c r="E5" s="3"/>
      <c r="F5" s="3"/>
      <c r="G5" s="3"/>
    </row>
    <row r="6" spans="1:7" ht="15.75">
      <c r="C6" s="336">
        <f>+'5 alloc.'!B7</f>
        <v>2018</v>
      </c>
      <c r="D6" s="3"/>
      <c r="E6" s="116"/>
      <c r="F6" s="337" t="s">
        <v>94</v>
      </c>
      <c r="G6" s="3"/>
    </row>
    <row r="7" spans="1:7" ht="15.75">
      <c r="C7" s="3"/>
      <c r="D7" s="3"/>
      <c r="E7" s="116"/>
      <c r="F7" s="337" t="s">
        <v>328</v>
      </c>
      <c r="G7" s="3"/>
    </row>
    <row r="8" spans="1:7" ht="15.75">
      <c r="C8" s="3"/>
      <c r="D8" s="3"/>
      <c r="E8" s="116"/>
      <c r="F8" s="337" t="s">
        <v>538</v>
      </c>
      <c r="G8" s="3"/>
    </row>
    <row r="9" spans="1:7" ht="15">
      <c r="B9" s="3"/>
      <c r="C9" s="3"/>
      <c r="D9" s="3"/>
      <c r="E9" s="5"/>
      <c r="F9" s="3"/>
      <c r="G9" s="3"/>
    </row>
    <row r="10" spans="1:7" ht="15">
      <c r="A10" s="30"/>
      <c r="B10" s="3"/>
      <c r="C10" s="3"/>
      <c r="D10" s="3"/>
      <c r="F10" s="34"/>
    </row>
    <row r="11" spans="1:7" ht="15">
      <c r="A11" s="23" t="s">
        <v>59</v>
      </c>
      <c r="B11" s="3"/>
      <c r="C11" s="23" t="s">
        <v>507</v>
      </c>
      <c r="D11" s="23" t="s">
        <v>508</v>
      </c>
      <c r="E11" s="23" t="s">
        <v>509</v>
      </c>
      <c r="F11" s="7" t="s">
        <v>80</v>
      </c>
    </row>
    <row r="12" spans="1:7" ht="15">
      <c r="A12" s="30" t="s">
        <v>63</v>
      </c>
      <c r="B12" s="3"/>
      <c r="C12" s="23" t="s">
        <v>487</v>
      </c>
      <c r="D12" s="23" t="s">
        <v>487</v>
      </c>
      <c r="E12" s="23" t="s">
        <v>487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5.75">
      <c r="A14" s="30">
        <v>1</v>
      </c>
      <c r="B14" s="306" t="s">
        <v>590</v>
      </c>
      <c r="C14" s="3"/>
      <c r="D14" s="3"/>
      <c r="F14" s="34"/>
    </row>
    <row r="15" spans="1:7" ht="15">
      <c r="A15" s="217">
        <f>1+A14</f>
        <v>2</v>
      </c>
      <c r="B15" s="307" t="s">
        <v>591</v>
      </c>
      <c r="C15" s="308" t="s">
        <v>592</v>
      </c>
      <c r="D15" s="308"/>
      <c r="E15" s="309">
        <v>-156172566</v>
      </c>
      <c r="F15" s="310" t="s">
        <v>489</v>
      </c>
      <c r="G15" s="311"/>
    </row>
    <row r="16" spans="1:7" ht="15">
      <c r="A16" s="217">
        <f t="shared" ref="A16:A70" si="0">1+A15</f>
        <v>3</v>
      </c>
      <c r="B16" s="307" t="s">
        <v>593</v>
      </c>
      <c r="C16" s="308"/>
      <c r="D16" s="308"/>
      <c r="E16" s="309"/>
      <c r="F16" s="310" t="s">
        <v>489</v>
      </c>
      <c r="G16" s="311"/>
    </row>
    <row r="17" spans="1:6" ht="15">
      <c r="A17" s="217">
        <f t="shared" si="0"/>
        <v>4</v>
      </c>
      <c r="B17" s="307">
        <v>18121</v>
      </c>
      <c r="C17" s="308" t="s">
        <v>572</v>
      </c>
      <c r="D17" s="308"/>
      <c r="E17" s="309">
        <v>143372</v>
      </c>
      <c r="F17" s="310" t="s">
        <v>489</v>
      </c>
    </row>
    <row r="18" spans="1:6" ht="15">
      <c r="A18" s="217">
        <f t="shared" si="0"/>
        <v>5</v>
      </c>
      <c r="B18" s="307">
        <v>18225</v>
      </c>
      <c r="C18" s="308" t="s">
        <v>594</v>
      </c>
      <c r="D18" s="308"/>
      <c r="E18" s="309">
        <v>-22980</v>
      </c>
      <c r="F18" s="310" t="s">
        <v>489</v>
      </c>
    </row>
    <row r="19" spans="1:6" ht="15">
      <c r="A19" s="217">
        <f t="shared" si="0"/>
        <v>6</v>
      </c>
      <c r="B19" s="307">
        <v>18233</v>
      </c>
      <c r="C19" s="308" t="s">
        <v>702</v>
      </c>
      <c r="D19" s="308"/>
      <c r="E19" s="309">
        <v>140977</v>
      </c>
      <c r="F19" s="310" t="s">
        <v>489</v>
      </c>
    </row>
    <row r="20" spans="1:6" ht="15">
      <c r="A20" s="217">
        <f t="shared" si="0"/>
        <v>7</v>
      </c>
      <c r="B20" s="307">
        <v>18235</v>
      </c>
      <c r="C20" s="308" t="s">
        <v>595</v>
      </c>
      <c r="D20" s="308"/>
      <c r="E20" s="309">
        <v>-21244</v>
      </c>
      <c r="F20" s="310" t="s">
        <v>489</v>
      </c>
    </row>
    <row r="21" spans="1:6" ht="15">
      <c r="A21" s="217">
        <f t="shared" si="0"/>
        <v>8</v>
      </c>
      <c r="B21" s="307">
        <v>18236</v>
      </c>
      <c r="C21" s="308" t="s">
        <v>596</v>
      </c>
      <c r="D21" s="308"/>
      <c r="E21" s="309">
        <v>-7174</v>
      </c>
      <c r="F21" s="310" t="s">
        <v>489</v>
      </c>
    </row>
    <row r="22" spans="1:6" ht="15">
      <c r="A22" s="217">
        <f t="shared" si="0"/>
        <v>9</v>
      </c>
      <c r="B22" s="307">
        <v>18238</v>
      </c>
      <c r="C22" s="308" t="s">
        <v>676</v>
      </c>
      <c r="D22" s="308"/>
      <c r="E22" s="309">
        <v>-45384</v>
      </c>
      <c r="F22" s="310" t="s">
        <v>489</v>
      </c>
    </row>
    <row r="23" spans="1:6" ht="15">
      <c r="A23" s="217">
        <f t="shared" si="0"/>
        <v>10</v>
      </c>
      <c r="B23" s="307">
        <v>18255</v>
      </c>
      <c r="C23" s="308" t="s">
        <v>597</v>
      </c>
      <c r="D23" s="308"/>
      <c r="E23" s="309">
        <v>22006</v>
      </c>
      <c r="F23" s="310" t="s">
        <v>489</v>
      </c>
    </row>
    <row r="24" spans="1:6" ht="15">
      <c r="A24" s="217">
        <f t="shared" si="0"/>
        <v>11</v>
      </c>
      <c r="B24" s="307">
        <v>18611</v>
      </c>
      <c r="C24" s="308" t="s">
        <v>677</v>
      </c>
      <c r="D24" s="308"/>
      <c r="E24" s="312">
        <v>-20824</v>
      </c>
      <c r="F24" s="310" t="s">
        <v>489</v>
      </c>
    </row>
    <row r="25" spans="1:6" ht="15">
      <c r="A25" s="217">
        <f t="shared" si="0"/>
        <v>12</v>
      </c>
      <c r="B25" s="307">
        <v>18612</v>
      </c>
      <c r="C25" s="308" t="s">
        <v>574</v>
      </c>
      <c r="D25" s="308"/>
      <c r="E25" s="309">
        <v>-50661</v>
      </c>
      <c r="F25" s="310" t="s">
        <v>489</v>
      </c>
    </row>
    <row r="26" spans="1:6" ht="15">
      <c r="A26" s="217">
        <f t="shared" si="0"/>
        <v>13</v>
      </c>
      <c r="B26" s="307">
        <v>18613</v>
      </c>
      <c r="C26" s="308" t="s">
        <v>575</v>
      </c>
      <c r="D26" s="308"/>
      <c r="E26" s="309">
        <v>-819387</v>
      </c>
      <c r="F26" s="310" t="s">
        <v>489</v>
      </c>
    </row>
    <row r="27" spans="1:6" ht="15">
      <c r="A27" s="217">
        <f t="shared" si="0"/>
        <v>14</v>
      </c>
      <c r="B27" s="307">
        <v>18628</v>
      </c>
      <c r="C27" s="308" t="s">
        <v>576</v>
      </c>
      <c r="D27" s="308"/>
      <c r="E27" s="309">
        <v>-6027535</v>
      </c>
      <c r="F27" s="310" t="s">
        <v>489</v>
      </c>
    </row>
    <row r="28" spans="1:6" ht="15">
      <c r="A28" s="217">
        <f t="shared" si="0"/>
        <v>15</v>
      </c>
      <c r="B28" s="307">
        <v>18647</v>
      </c>
      <c r="C28" s="308" t="s">
        <v>678</v>
      </c>
      <c r="D28" s="308"/>
      <c r="E28" s="312">
        <v>0</v>
      </c>
      <c r="F28" s="310" t="s">
        <v>489</v>
      </c>
    </row>
    <row r="29" spans="1:6" ht="15">
      <c r="A29" s="217">
        <f t="shared" si="0"/>
        <v>16</v>
      </c>
      <c r="B29" s="307" t="s">
        <v>598</v>
      </c>
      <c r="C29" s="308"/>
      <c r="D29" s="308"/>
      <c r="E29" s="309">
        <v>0</v>
      </c>
      <c r="F29" s="310" t="s">
        <v>489</v>
      </c>
    </row>
    <row r="30" spans="1:6" ht="15">
      <c r="A30" s="217">
        <f t="shared" si="0"/>
        <v>17</v>
      </c>
      <c r="B30" s="307">
        <v>18230</v>
      </c>
      <c r="C30" s="308" t="s">
        <v>573</v>
      </c>
      <c r="D30" s="308"/>
      <c r="E30" s="309">
        <v>-103484</v>
      </c>
      <c r="F30" s="310" t="s">
        <v>489</v>
      </c>
    </row>
    <row r="31" spans="1:6" ht="15">
      <c r="A31" s="217">
        <f t="shared" si="0"/>
        <v>18</v>
      </c>
      <c r="B31" s="307" t="s">
        <v>571</v>
      </c>
      <c r="C31" s="308"/>
      <c r="D31" s="308"/>
      <c r="E31" s="309">
        <v>0</v>
      </c>
      <c r="F31" s="310" t="s">
        <v>489</v>
      </c>
    </row>
    <row r="32" spans="1:6" ht="15">
      <c r="A32" s="217">
        <f t="shared" si="0"/>
        <v>19</v>
      </c>
      <c r="B32" s="307" t="s">
        <v>599</v>
      </c>
      <c r="D32" s="308"/>
      <c r="E32" s="309">
        <v>-122</v>
      </c>
      <c r="F32" s="310" t="s">
        <v>489</v>
      </c>
    </row>
    <row r="33" spans="1:6" ht="15">
      <c r="A33" s="217">
        <f t="shared" si="0"/>
        <v>20</v>
      </c>
      <c r="B33" s="307" t="s">
        <v>601</v>
      </c>
      <c r="C33" s="308" t="s">
        <v>600</v>
      </c>
      <c r="D33" s="308"/>
      <c r="E33" s="309">
        <v>0</v>
      </c>
      <c r="F33" s="310" t="s">
        <v>489</v>
      </c>
    </row>
    <row r="34" spans="1:6" ht="15">
      <c r="A34" s="217">
        <f t="shared" si="0"/>
        <v>21</v>
      </c>
      <c r="B34" s="307">
        <v>23000</v>
      </c>
      <c r="C34" s="308"/>
      <c r="D34" s="308"/>
      <c r="E34" s="309">
        <v>2397916</v>
      </c>
      <c r="F34" s="310" t="s">
        <v>489</v>
      </c>
    </row>
    <row r="35" spans="1:6" ht="15">
      <c r="A35" s="217">
        <f t="shared" si="0"/>
        <v>22</v>
      </c>
      <c r="B35" s="307">
        <v>23515</v>
      </c>
      <c r="C35" s="308" t="s">
        <v>602</v>
      </c>
      <c r="D35" s="308"/>
      <c r="E35" s="309">
        <v>88472</v>
      </c>
      <c r="F35" s="310" t="s">
        <v>489</v>
      </c>
    </row>
    <row r="36" spans="1:6" ht="15">
      <c r="A36" s="217">
        <f t="shared" si="0"/>
        <v>23</v>
      </c>
      <c r="B36" s="307">
        <v>24206</v>
      </c>
      <c r="C36" s="308" t="s">
        <v>603</v>
      </c>
      <c r="D36" s="308"/>
      <c r="E36" s="309">
        <v>870266</v>
      </c>
      <c r="F36" s="310" t="s">
        <v>489</v>
      </c>
    </row>
    <row r="37" spans="1:6" ht="15">
      <c r="A37" s="217">
        <f t="shared" si="0"/>
        <v>24</v>
      </c>
      <c r="B37" s="307">
        <v>25356</v>
      </c>
      <c r="C37" s="308" t="s">
        <v>604</v>
      </c>
      <c r="D37" s="308"/>
      <c r="E37" s="309">
        <v>0</v>
      </c>
      <c r="F37" s="310" t="s">
        <v>489</v>
      </c>
    </row>
    <row r="38" spans="1:6" ht="15">
      <c r="A38" s="217">
        <f t="shared" si="0"/>
        <v>25</v>
      </c>
      <c r="B38" s="307">
        <v>25358</v>
      </c>
      <c r="C38" s="308" t="s">
        <v>703</v>
      </c>
      <c r="D38" s="308"/>
      <c r="E38" s="309">
        <v>8519</v>
      </c>
      <c r="F38" s="310" t="s">
        <v>489</v>
      </c>
    </row>
    <row r="39" spans="1:6" ht="15">
      <c r="A39" s="217">
        <f t="shared" si="0"/>
        <v>26</v>
      </c>
      <c r="B39" s="307">
        <v>25361</v>
      </c>
      <c r="C39" s="308" t="s">
        <v>704</v>
      </c>
      <c r="D39" s="308"/>
      <c r="E39" s="309">
        <v>58293</v>
      </c>
      <c r="F39" s="310" t="s">
        <v>489</v>
      </c>
    </row>
    <row r="40" spans="1:6" ht="15">
      <c r="A40" s="217">
        <f t="shared" si="0"/>
        <v>27</v>
      </c>
      <c r="B40" s="307">
        <v>25363</v>
      </c>
      <c r="C40" s="308" t="s">
        <v>605</v>
      </c>
      <c r="D40" s="308"/>
      <c r="E40" s="309">
        <v>0</v>
      </c>
      <c r="F40" s="310" t="s">
        <v>489</v>
      </c>
    </row>
    <row r="41" spans="1:6" ht="15">
      <c r="A41" s="217">
        <f t="shared" si="0"/>
        <v>28</v>
      </c>
      <c r="B41" s="307">
        <v>25378</v>
      </c>
      <c r="C41" s="308" t="s">
        <v>705</v>
      </c>
      <c r="D41" s="308"/>
      <c r="E41" s="309">
        <v>-537004</v>
      </c>
      <c r="F41" s="310" t="s">
        <v>489</v>
      </c>
    </row>
    <row r="42" spans="1:6" ht="15">
      <c r="A42" s="217">
        <f t="shared" si="0"/>
        <v>29</v>
      </c>
      <c r="B42" s="307">
        <v>25379</v>
      </c>
      <c r="C42" s="308" t="s">
        <v>679</v>
      </c>
      <c r="D42" s="308"/>
      <c r="E42" s="309">
        <v>476840</v>
      </c>
      <c r="F42" s="310" t="s">
        <v>489</v>
      </c>
    </row>
    <row r="43" spans="1:6" ht="15">
      <c r="A43" s="217">
        <f t="shared" si="0"/>
        <v>30</v>
      </c>
      <c r="B43" s="313">
        <v>25380</v>
      </c>
      <c r="C43" s="308" t="s">
        <v>706</v>
      </c>
      <c r="D43" s="308"/>
      <c r="E43" s="309">
        <v>-32</v>
      </c>
      <c r="F43" s="310" t="s">
        <v>489</v>
      </c>
    </row>
    <row r="44" spans="1:6" ht="15">
      <c r="A44" s="217">
        <f t="shared" si="0"/>
        <v>31</v>
      </c>
      <c r="B44" s="313">
        <v>25387</v>
      </c>
      <c r="C44" s="308" t="s">
        <v>606</v>
      </c>
      <c r="D44" s="308"/>
      <c r="E44" s="309">
        <v>531891</v>
      </c>
      <c r="F44" s="310" t="s">
        <v>489</v>
      </c>
    </row>
    <row r="45" spans="1:6" ht="15">
      <c r="A45" s="217">
        <f t="shared" si="0"/>
        <v>32</v>
      </c>
      <c r="B45" s="313">
        <v>25390</v>
      </c>
      <c r="C45" s="308" t="s">
        <v>707</v>
      </c>
      <c r="D45" s="308"/>
      <c r="E45" s="309">
        <v>-77</v>
      </c>
      <c r="F45" s="310" t="s">
        <v>489</v>
      </c>
    </row>
    <row r="46" spans="1:6" ht="15">
      <c r="A46" s="217">
        <f t="shared" si="0"/>
        <v>33</v>
      </c>
      <c r="B46" s="307">
        <v>25392</v>
      </c>
      <c r="C46" s="308" t="s">
        <v>607</v>
      </c>
      <c r="D46" s="308"/>
      <c r="E46" s="309">
        <v>1268543</v>
      </c>
      <c r="F46" s="310" t="s">
        <v>489</v>
      </c>
    </row>
    <row r="47" spans="1:6" ht="15">
      <c r="A47" s="217">
        <f t="shared" si="0"/>
        <v>34</v>
      </c>
      <c r="B47" s="307">
        <v>25393</v>
      </c>
      <c r="C47" s="308" t="s">
        <v>680</v>
      </c>
      <c r="D47" s="308"/>
      <c r="E47" s="309">
        <v>521233</v>
      </c>
      <c r="F47" s="310" t="s">
        <v>489</v>
      </c>
    </row>
    <row r="48" spans="1:6" ht="15">
      <c r="A48" s="217">
        <f t="shared" si="0"/>
        <v>35</v>
      </c>
      <c r="B48" s="307">
        <v>25402</v>
      </c>
      <c r="C48" s="308" t="s">
        <v>569</v>
      </c>
      <c r="D48" s="308"/>
      <c r="E48" s="309">
        <v>-125242</v>
      </c>
      <c r="F48" s="310" t="s">
        <v>489</v>
      </c>
    </row>
    <row r="49" spans="1:6" ht="15">
      <c r="A49" s="217">
        <f t="shared" si="0"/>
        <v>36</v>
      </c>
      <c r="B49" s="307">
        <v>25403</v>
      </c>
      <c r="C49" s="308" t="s">
        <v>681</v>
      </c>
      <c r="D49" s="308"/>
      <c r="E49" s="309">
        <v>190124</v>
      </c>
      <c r="F49" s="310" t="s">
        <v>489</v>
      </c>
    </row>
    <row r="50" spans="1:6" ht="15">
      <c r="A50" s="217">
        <f t="shared" si="0"/>
        <v>37</v>
      </c>
      <c r="B50" s="307">
        <v>25404</v>
      </c>
      <c r="C50" s="308" t="s">
        <v>708</v>
      </c>
      <c r="D50" s="308"/>
      <c r="E50" s="309">
        <v>132931</v>
      </c>
      <c r="F50" s="310" t="s">
        <v>489</v>
      </c>
    </row>
    <row r="51" spans="1:6" ht="15">
      <c r="A51" s="217">
        <f t="shared" si="0"/>
        <v>38</v>
      </c>
      <c r="B51" s="307" t="s">
        <v>608</v>
      </c>
      <c r="C51" s="308" t="s">
        <v>709</v>
      </c>
      <c r="D51" s="308"/>
      <c r="E51" s="309">
        <v>437563</v>
      </c>
      <c r="F51" s="310" t="s">
        <v>489</v>
      </c>
    </row>
    <row r="52" spans="1:6" ht="15">
      <c r="A52" s="217">
        <f t="shared" si="0"/>
        <v>39</v>
      </c>
      <c r="B52" s="307" t="s">
        <v>610</v>
      </c>
      <c r="C52" s="308" t="s">
        <v>609</v>
      </c>
      <c r="D52" s="308"/>
      <c r="E52" s="309">
        <v>-6958890</v>
      </c>
      <c r="F52" s="310" t="s">
        <v>489</v>
      </c>
    </row>
    <row r="53" spans="1:6" ht="15">
      <c r="A53" s="217">
        <f t="shared" si="0"/>
        <v>40</v>
      </c>
      <c r="B53" s="307" t="s">
        <v>611</v>
      </c>
      <c r="C53" s="308"/>
      <c r="D53" s="308"/>
      <c r="E53" s="309">
        <v>-833577</v>
      </c>
      <c r="F53" s="310" t="s">
        <v>489</v>
      </c>
    </row>
    <row r="54" spans="1:6" ht="15">
      <c r="A54" s="217">
        <f t="shared" si="0"/>
        <v>41</v>
      </c>
      <c r="B54" s="307" t="s">
        <v>613</v>
      </c>
      <c r="C54" s="308" t="s">
        <v>612</v>
      </c>
      <c r="D54" s="308"/>
      <c r="E54" s="309">
        <v>860654</v>
      </c>
      <c r="F54" s="310" t="s">
        <v>489</v>
      </c>
    </row>
    <row r="55" spans="1:6" ht="15">
      <c r="A55" s="217">
        <f t="shared" si="0"/>
        <v>42</v>
      </c>
      <c r="B55" s="307" t="s">
        <v>615</v>
      </c>
      <c r="C55" s="308" t="s">
        <v>614</v>
      </c>
      <c r="D55" s="308"/>
      <c r="E55" s="309">
        <v>1555563</v>
      </c>
      <c r="F55" s="310" t="s">
        <v>489</v>
      </c>
    </row>
    <row r="56" spans="1:6" ht="15">
      <c r="A56" s="217">
        <f t="shared" si="0"/>
        <v>43</v>
      </c>
      <c r="B56" s="307" t="s">
        <v>616</v>
      </c>
      <c r="C56" s="308"/>
      <c r="D56" s="308"/>
      <c r="E56" s="309">
        <v>-4907988</v>
      </c>
      <c r="F56" s="310" t="s">
        <v>489</v>
      </c>
    </row>
    <row r="57" spans="1:6" ht="15">
      <c r="A57" s="217">
        <f t="shared" si="0"/>
        <v>44</v>
      </c>
      <c r="B57" s="307" t="s">
        <v>617</v>
      </c>
      <c r="C57" s="308"/>
      <c r="D57" s="308"/>
      <c r="E57" s="309">
        <v>-815483</v>
      </c>
      <c r="F57" s="310" t="s">
        <v>489</v>
      </c>
    </row>
    <row r="58" spans="1:6" ht="15">
      <c r="A58" s="217">
        <f t="shared" si="0"/>
        <v>45</v>
      </c>
      <c r="B58" s="307" t="s">
        <v>619</v>
      </c>
      <c r="C58" s="308" t="s">
        <v>618</v>
      </c>
      <c r="D58" s="308"/>
      <c r="E58" s="309">
        <v>-283547971</v>
      </c>
      <c r="F58" s="310" t="s">
        <v>489</v>
      </c>
    </row>
    <row r="59" spans="1:6" ht="15">
      <c r="A59" s="217">
        <f t="shared" si="0"/>
        <v>46</v>
      </c>
      <c r="B59" s="307">
        <v>18223</v>
      </c>
      <c r="C59" s="308" t="s">
        <v>620</v>
      </c>
      <c r="D59" s="308"/>
      <c r="E59" s="309">
        <v>0</v>
      </c>
      <c r="F59" s="310" t="s">
        <v>489</v>
      </c>
    </row>
    <row r="60" spans="1:6" ht="15">
      <c r="A60" s="217">
        <f t="shared" si="0"/>
        <v>47</v>
      </c>
      <c r="B60" s="307" t="s">
        <v>621</v>
      </c>
      <c r="C60" s="308" t="s">
        <v>710</v>
      </c>
      <c r="D60" s="308"/>
      <c r="E60" s="309">
        <v>27008249</v>
      </c>
      <c r="F60" s="310" t="s">
        <v>489</v>
      </c>
    </row>
    <row r="61" spans="1:6" ht="15">
      <c r="A61" s="217">
        <f t="shared" si="0"/>
        <v>48</v>
      </c>
      <c r="B61" s="307">
        <v>25382</v>
      </c>
      <c r="C61" s="308" t="s">
        <v>622</v>
      </c>
      <c r="D61" s="308"/>
      <c r="E61" s="309">
        <v>-11370</v>
      </c>
      <c r="F61" s="310" t="s">
        <v>489</v>
      </c>
    </row>
    <row r="62" spans="1:6" ht="15">
      <c r="A62" s="217">
        <f t="shared" si="0"/>
        <v>49</v>
      </c>
      <c r="B62" s="307">
        <v>25394</v>
      </c>
      <c r="C62" s="308" t="s">
        <v>711</v>
      </c>
      <c r="D62" s="308"/>
      <c r="E62" s="309">
        <v>0</v>
      </c>
      <c r="F62" s="310" t="s">
        <v>489</v>
      </c>
    </row>
    <row r="63" spans="1:6" ht="15">
      <c r="A63" s="217">
        <f t="shared" si="0"/>
        <v>50</v>
      </c>
      <c r="B63" s="307" t="s">
        <v>623</v>
      </c>
      <c r="C63" s="308" t="s">
        <v>570</v>
      </c>
      <c r="D63" s="308"/>
      <c r="E63" s="309">
        <v>28810596</v>
      </c>
      <c r="F63" s="310" t="s">
        <v>489</v>
      </c>
    </row>
    <row r="64" spans="1:6" ht="15">
      <c r="A64" s="217">
        <f t="shared" si="0"/>
        <v>51</v>
      </c>
      <c r="B64" s="307">
        <v>18250</v>
      </c>
      <c r="C64" s="308" t="s">
        <v>624</v>
      </c>
      <c r="D64" s="308"/>
      <c r="E64" s="309">
        <v>-340443</v>
      </c>
      <c r="F64" s="310" t="s">
        <v>489</v>
      </c>
    </row>
    <row r="65" spans="1:6" ht="15">
      <c r="A65" s="217">
        <f t="shared" si="0"/>
        <v>52</v>
      </c>
      <c r="B65" s="307" t="s">
        <v>626</v>
      </c>
      <c r="C65" s="308" t="s">
        <v>625</v>
      </c>
      <c r="D65" s="308"/>
      <c r="E65" s="309">
        <v>1520302</v>
      </c>
      <c r="F65" s="310" t="s">
        <v>489</v>
      </c>
    </row>
    <row r="66" spans="1:6" ht="15">
      <c r="A66" s="217">
        <f t="shared" si="0"/>
        <v>53</v>
      </c>
      <c r="B66" s="314" t="s">
        <v>627</v>
      </c>
      <c r="C66" s="308"/>
      <c r="D66" s="308"/>
      <c r="E66" s="309">
        <v>18914</v>
      </c>
      <c r="F66" s="310" t="s">
        <v>489</v>
      </c>
    </row>
    <row r="67" spans="1:6" ht="15">
      <c r="A67" s="217">
        <f t="shared" si="0"/>
        <v>54</v>
      </c>
      <c r="B67" s="307" t="s">
        <v>628</v>
      </c>
      <c r="C67" s="308" t="s">
        <v>627</v>
      </c>
      <c r="D67" s="308"/>
      <c r="E67" s="309">
        <v>574533</v>
      </c>
      <c r="F67" s="310" t="s">
        <v>489</v>
      </c>
    </row>
    <row r="68" spans="1:6" ht="15">
      <c r="A68" s="217">
        <f t="shared" si="0"/>
        <v>55</v>
      </c>
      <c r="B68" s="314">
        <v>20</v>
      </c>
      <c r="C68" s="308" t="s">
        <v>629</v>
      </c>
      <c r="D68" s="308"/>
      <c r="E68" s="309">
        <v>2092</v>
      </c>
      <c r="F68" s="310" t="s">
        <v>489</v>
      </c>
    </row>
    <row r="69" spans="1:6" ht="15">
      <c r="A69" s="217">
        <f t="shared" si="0"/>
        <v>56</v>
      </c>
      <c r="C69" s="308" t="s">
        <v>630</v>
      </c>
      <c r="D69" s="308"/>
      <c r="E69" s="309"/>
      <c r="F69" s="310" t="s">
        <v>489</v>
      </c>
    </row>
    <row r="70" spans="1:6" ht="15">
      <c r="A70" s="217">
        <f t="shared" si="0"/>
        <v>57</v>
      </c>
      <c r="B70" s="307" t="s">
        <v>577</v>
      </c>
      <c r="C70" s="308"/>
      <c r="D70" s="308"/>
      <c r="E70" s="309">
        <v>-902584</v>
      </c>
      <c r="F70" s="310" t="s">
        <v>489</v>
      </c>
    </row>
    <row r="71" spans="1:6" ht="15">
      <c r="A71" s="217">
        <f t="shared" ref="A71:A79" si="1">1+A70</f>
        <v>58</v>
      </c>
      <c r="B71" s="307"/>
      <c r="C71" s="308"/>
      <c r="D71" s="308"/>
      <c r="E71" s="309"/>
      <c r="F71" s="310" t="s">
        <v>489</v>
      </c>
    </row>
    <row r="72" spans="1:6" ht="15">
      <c r="A72" s="217">
        <f t="shared" si="1"/>
        <v>59</v>
      </c>
      <c r="B72" s="307"/>
      <c r="C72" s="308"/>
      <c r="D72" s="308"/>
      <c r="E72" s="309"/>
      <c r="F72" s="310" t="s">
        <v>489</v>
      </c>
    </row>
    <row r="73" spans="1:6" ht="15">
      <c r="A73" s="217">
        <f t="shared" si="1"/>
        <v>60</v>
      </c>
      <c r="B73" s="307"/>
      <c r="C73" s="308"/>
      <c r="D73" s="308"/>
      <c r="E73" s="309"/>
      <c r="F73" s="310" t="s">
        <v>489</v>
      </c>
    </row>
    <row r="74" spans="1:6" ht="15">
      <c r="A74" s="217">
        <f t="shared" si="1"/>
        <v>61</v>
      </c>
      <c r="B74" s="307"/>
      <c r="C74" s="308"/>
      <c r="D74" s="308"/>
      <c r="E74" s="309"/>
      <c r="F74" s="310" t="s">
        <v>489</v>
      </c>
    </row>
    <row r="75" spans="1:6" ht="15">
      <c r="A75" s="217">
        <f t="shared" si="1"/>
        <v>62</v>
      </c>
      <c r="B75" s="307"/>
      <c r="C75" s="308"/>
      <c r="D75" s="308"/>
      <c r="E75" s="309"/>
      <c r="F75" s="310" t="s">
        <v>489</v>
      </c>
    </row>
    <row r="76" spans="1:6" ht="15">
      <c r="A76" s="217">
        <f t="shared" si="1"/>
        <v>63</v>
      </c>
      <c r="B76" s="307"/>
      <c r="C76" s="308"/>
      <c r="D76" s="308"/>
      <c r="E76" s="309"/>
      <c r="F76" s="310" t="s">
        <v>489</v>
      </c>
    </row>
    <row r="77" spans="1:6" ht="15">
      <c r="A77" s="217">
        <f t="shared" si="1"/>
        <v>64</v>
      </c>
      <c r="B77" s="307"/>
      <c r="C77" s="308"/>
      <c r="D77" s="308"/>
      <c r="E77" s="309"/>
      <c r="F77" s="310" t="s">
        <v>489</v>
      </c>
    </row>
    <row r="78" spans="1:6" ht="15">
      <c r="A78" s="217">
        <f t="shared" si="1"/>
        <v>65</v>
      </c>
      <c r="B78" s="307"/>
      <c r="C78" s="308"/>
      <c r="D78" s="308"/>
      <c r="E78" s="309"/>
      <c r="F78" s="310" t="s">
        <v>489</v>
      </c>
    </row>
    <row r="79" spans="1:6" ht="15">
      <c r="A79" s="217">
        <f t="shared" si="1"/>
        <v>66</v>
      </c>
      <c r="B79" s="307"/>
      <c r="C79" s="308"/>
      <c r="D79" s="308"/>
      <c r="E79" s="309"/>
      <c r="F79" s="310" t="s">
        <v>489</v>
      </c>
    </row>
    <row r="80" spans="1:6" ht="15">
      <c r="A80" s="217">
        <f t="shared" ref="A80" si="2">1+A79</f>
        <v>67</v>
      </c>
      <c r="B80" s="307"/>
      <c r="C80" s="308"/>
      <c r="D80" s="308"/>
      <c r="E80" s="309"/>
      <c r="F80" s="310" t="s">
        <v>489</v>
      </c>
    </row>
    <row r="81" spans="1:7" ht="15">
      <c r="B81" s="307"/>
      <c r="C81" s="308"/>
      <c r="D81" s="308"/>
      <c r="E81" s="309"/>
      <c r="F81" s="310" t="s">
        <v>489</v>
      </c>
      <c r="G81" s="311"/>
    </row>
    <row r="82" spans="1:7" ht="15">
      <c r="A82" s="217">
        <f>1+A80</f>
        <v>68</v>
      </c>
      <c r="B82" s="307"/>
      <c r="C82" s="308"/>
      <c r="D82" s="308"/>
      <c r="E82" s="309"/>
      <c r="F82" s="310" t="s">
        <v>489</v>
      </c>
      <c r="G82" s="311"/>
    </row>
    <row r="83" spans="1:7" ht="15">
      <c r="B83" s="307"/>
      <c r="C83" s="308"/>
      <c r="D83" s="308"/>
      <c r="E83" s="309"/>
      <c r="F83" s="310" t="s">
        <v>489</v>
      </c>
      <c r="G83" s="311"/>
    </row>
    <row r="84" spans="1:7" ht="15.75">
      <c r="A84" s="30">
        <f>1+A82</f>
        <v>69</v>
      </c>
      <c r="B84" s="307"/>
      <c r="C84" s="308"/>
      <c r="D84" s="308"/>
      <c r="E84" s="309"/>
      <c r="F84" s="310" t="s">
        <v>489</v>
      </c>
      <c r="G84" s="311"/>
    </row>
    <row r="85" spans="1:7" ht="15">
      <c r="A85" s="217">
        <f>1+A84</f>
        <v>70</v>
      </c>
      <c r="B85" s="307"/>
      <c r="C85" s="308"/>
      <c r="D85" s="308"/>
      <c r="E85" s="309"/>
      <c r="F85" s="310" t="s">
        <v>489</v>
      </c>
      <c r="G85" s="311"/>
    </row>
    <row r="86" spans="1:7" ht="15">
      <c r="A86" s="217">
        <f>1+A85</f>
        <v>71</v>
      </c>
      <c r="B86" s="314"/>
      <c r="C86" s="308"/>
      <c r="D86" s="308"/>
      <c r="E86" s="315"/>
      <c r="F86" s="310" t="s">
        <v>489</v>
      </c>
      <c r="G86" s="311"/>
    </row>
    <row r="87" spans="1:7">
      <c r="C87" s="217"/>
      <c r="D87" s="217"/>
      <c r="E87" s="217"/>
    </row>
    <row r="88" spans="1:7" ht="16.5" thickBot="1">
      <c r="A88" s="217">
        <f>1+A86</f>
        <v>72</v>
      </c>
      <c r="B88" s="316" t="s">
        <v>631</v>
      </c>
      <c r="C88" s="317"/>
      <c r="D88" s="317"/>
      <c r="E88" s="318">
        <f>SUM(E15:E87)</f>
        <v>-394632173</v>
      </c>
      <c r="F88" s="319" t="s">
        <v>712</v>
      </c>
    </row>
    <row r="89" spans="1:7" ht="15.75" thickTop="1">
      <c r="C89" s="217"/>
      <c r="D89" s="217"/>
      <c r="E89" s="217"/>
      <c r="F89" s="320" t="s">
        <v>632</v>
      </c>
    </row>
    <row r="90" spans="1:7" ht="19.5">
      <c r="A90" s="321">
        <v>75</v>
      </c>
      <c r="B90" s="322" t="s">
        <v>510</v>
      </c>
      <c r="C90" s="176"/>
      <c r="D90" s="176"/>
      <c r="E90" s="311"/>
      <c r="G90" s="311"/>
    </row>
    <row r="91" spans="1:7" ht="15">
      <c r="A91" s="323">
        <v>76</v>
      </c>
      <c r="B91" s="214"/>
      <c r="C91" s="324"/>
      <c r="D91" s="324"/>
      <c r="E91" s="325"/>
      <c r="F91" s="310" t="s">
        <v>489</v>
      </c>
      <c r="G91" s="311"/>
    </row>
    <row r="92" spans="1:7" ht="15">
      <c r="A92" s="323">
        <v>77</v>
      </c>
      <c r="B92" s="215"/>
      <c r="C92" s="324"/>
      <c r="D92" s="324"/>
      <c r="E92" s="326"/>
      <c r="F92" s="310" t="s">
        <v>489</v>
      </c>
      <c r="G92" s="311"/>
    </row>
    <row r="93" spans="1:7" ht="15">
      <c r="A93" s="323">
        <v>78</v>
      </c>
      <c r="B93" s="214"/>
      <c r="C93" s="324"/>
      <c r="D93" s="324"/>
      <c r="E93" s="326"/>
      <c r="F93" s="310" t="s">
        <v>489</v>
      </c>
      <c r="G93" s="311"/>
    </row>
    <row r="94" spans="1:7" ht="15">
      <c r="A94" s="323">
        <v>79</v>
      </c>
      <c r="B94" s="214"/>
      <c r="C94" s="324"/>
      <c r="D94" s="324"/>
      <c r="E94" s="326"/>
      <c r="F94" s="310" t="s">
        <v>489</v>
      </c>
      <c r="G94" s="311"/>
    </row>
    <row r="95" spans="1:7" ht="15">
      <c r="A95" s="323">
        <v>80</v>
      </c>
      <c r="B95" s="214"/>
      <c r="C95" s="324"/>
      <c r="D95" s="324"/>
      <c r="E95" s="326"/>
      <c r="F95" s="310" t="s">
        <v>489</v>
      </c>
      <c r="G95" s="311"/>
    </row>
    <row r="96" spans="1:7" ht="15">
      <c r="A96" s="323">
        <v>81</v>
      </c>
      <c r="B96" s="214"/>
      <c r="C96" s="324"/>
      <c r="D96" s="324"/>
      <c r="E96" s="326"/>
      <c r="F96" s="310" t="s">
        <v>489</v>
      </c>
      <c r="G96" s="311"/>
    </row>
    <row r="97" spans="1:8" ht="15">
      <c r="A97" s="323">
        <v>82</v>
      </c>
      <c r="B97" s="214"/>
      <c r="C97" s="324"/>
      <c r="D97" s="324"/>
      <c r="E97" s="326"/>
      <c r="F97" s="310" t="s">
        <v>489</v>
      </c>
    </row>
    <row r="98" spans="1:8" ht="15">
      <c r="A98" s="323">
        <v>83</v>
      </c>
      <c r="B98" s="214"/>
      <c r="C98" s="324"/>
      <c r="D98" s="324"/>
      <c r="E98" s="326"/>
      <c r="F98" s="310" t="s">
        <v>489</v>
      </c>
    </row>
    <row r="99" spans="1:8" ht="15">
      <c r="A99" s="323">
        <v>84</v>
      </c>
      <c r="B99" s="214"/>
      <c r="C99" s="324"/>
      <c r="D99" s="324"/>
      <c r="E99" s="326"/>
      <c r="F99" s="310" t="s">
        <v>489</v>
      </c>
    </row>
    <row r="100" spans="1:8" ht="15">
      <c r="A100" s="323">
        <v>85</v>
      </c>
      <c r="B100" s="214"/>
      <c r="C100" s="324"/>
      <c r="D100" s="324"/>
      <c r="E100" s="326"/>
      <c r="F100" s="310" t="s">
        <v>489</v>
      </c>
    </row>
    <row r="101" spans="1:8" ht="15">
      <c r="A101" s="323">
        <v>86</v>
      </c>
      <c r="B101" s="214"/>
      <c r="C101" s="324"/>
      <c r="D101" s="324"/>
      <c r="E101" s="326"/>
      <c r="F101" s="310" t="s">
        <v>489</v>
      </c>
    </row>
    <row r="102" spans="1:8" ht="15">
      <c r="A102" s="323">
        <v>87</v>
      </c>
      <c r="B102" s="214"/>
      <c r="C102" s="324"/>
      <c r="D102" s="324"/>
      <c r="E102" s="326"/>
      <c r="F102" s="310" t="s">
        <v>489</v>
      </c>
    </row>
    <row r="103" spans="1:8" ht="15.75">
      <c r="A103" s="323">
        <v>88</v>
      </c>
      <c r="B103" s="215"/>
      <c r="C103" s="324"/>
      <c r="D103" s="324"/>
      <c r="E103" s="326"/>
      <c r="F103" s="310" t="s">
        <v>489</v>
      </c>
      <c r="H103" s="267"/>
    </row>
    <row r="104" spans="1:8">
      <c r="C104" s="217"/>
      <c r="D104" s="217"/>
      <c r="E104" s="217"/>
    </row>
    <row r="105" spans="1:8" ht="15">
      <c r="A105" s="323">
        <v>89</v>
      </c>
      <c r="B105" s="214" t="s">
        <v>511</v>
      </c>
      <c r="C105" s="327"/>
      <c r="D105" s="327"/>
      <c r="E105" s="328"/>
      <c r="F105" s="176" t="s">
        <v>633</v>
      </c>
    </row>
    <row r="106" spans="1:8" ht="15">
      <c r="A106" s="311"/>
      <c r="B106" s="311"/>
      <c r="C106" s="311"/>
      <c r="D106" s="311"/>
      <c r="E106" s="311"/>
      <c r="F106" s="176"/>
    </row>
    <row r="107" spans="1:8" ht="19.5">
      <c r="A107" s="321">
        <v>90</v>
      </c>
      <c r="B107" s="322" t="s">
        <v>512</v>
      </c>
      <c r="C107" s="176"/>
      <c r="D107" s="176"/>
      <c r="E107" s="311"/>
      <c r="F107" s="329"/>
    </row>
    <row r="108" spans="1:8" ht="15">
      <c r="A108" s="323">
        <v>91</v>
      </c>
      <c r="B108" s="214"/>
      <c r="C108" s="324"/>
      <c r="D108" s="324"/>
      <c r="E108" s="325"/>
      <c r="F108" s="310" t="s">
        <v>489</v>
      </c>
    </row>
    <row r="109" spans="1:8" ht="15">
      <c r="A109" s="323">
        <v>92</v>
      </c>
      <c r="B109" s="215"/>
      <c r="C109" s="324"/>
      <c r="D109" s="324"/>
      <c r="E109" s="326"/>
      <c r="F109" s="310" t="s">
        <v>489</v>
      </c>
    </row>
    <row r="110" spans="1:8" ht="15">
      <c r="A110" s="323">
        <v>93</v>
      </c>
      <c r="B110" s="214"/>
      <c r="C110" s="324"/>
      <c r="D110" s="324"/>
      <c r="E110" s="326"/>
      <c r="F110" s="310" t="s">
        <v>489</v>
      </c>
    </row>
    <row r="111" spans="1:8" ht="15">
      <c r="A111" s="323">
        <v>94</v>
      </c>
      <c r="B111" s="214"/>
      <c r="C111" s="324"/>
      <c r="D111" s="324"/>
      <c r="E111" s="326"/>
      <c r="F111" s="310" t="s">
        <v>489</v>
      </c>
    </row>
    <row r="112" spans="1:8" ht="15">
      <c r="A112" s="323">
        <v>95</v>
      </c>
      <c r="B112" s="214"/>
      <c r="C112" s="324"/>
      <c r="D112" s="324"/>
      <c r="E112" s="326"/>
      <c r="F112" s="310" t="s">
        <v>489</v>
      </c>
    </row>
    <row r="113" spans="1:8" ht="15">
      <c r="A113" s="323">
        <v>96</v>
      </c>
      <c r="B113" s="214"/>
      <c r="C113" s="324"/>
      <c r="D113" s="324"/>
      <c r="E113" s="326"/>
      <c r="F113" s="310" t="s">
        <v>489</v>
      </c>
    </row>
    <row r="114" spans="1:8" ht="15">
      <c r="A114" s="323">
        <v>97</v>
      </c>
      <c r="B114" s="214"/>
      <c r="C114" s="324"/>
      <c r="D114" s="324"/>
      <c r="E114" s="326"/>
      <c r="F114" s="310" t="s">
        <v>489</v>
      </c>
    </row>
    <row r="115" spans="1:8" ht="15">
      <c r="A115" s="323">
        <v>98</v>
      </c>
      <c r="B115" s="214"/>
      <c r="C115" s="324"/>
      <c r="D115" s="324"/>
      <c r="E115" s="326"/>
      <c r="F115" s="310" t="s">
        <v>489</v>
      </c>
    </row>
    <row r="116" spans="1:8" ht="15">
      <c r="A116" s="323">
        <v>99</v>
      </c>
      <c r="B116" s="214"/>
      <c r="C116" s="324"/>
      <c r="D116" s="324"/>
      <c r="E116" s="326"/>
      <c r="F116" s="310" t="s">
        <v>489</v>
      </c>
    </row>
    <row r="117" spans="1:8" ht="15">
      <c r="A117" s="323">
        <v>100</v>
      </c>
      <c r="B117" s="214"/>
      <c r="C117" s="324"/>
      <c r="D117" s="324"/>
      <c r="E117" s="326"/>
      <c r="F117" s="310" t="s">
        <v>489</v>
      </c>
    </row>
    <row r="118" spans="1:8" ht="15">
      <c r="A118" s="323">
        <v>101</v>
      </c>
      <c r="B118" s="214"/>
      <c r="C118" s="324"/>
      <c r="D118" s="324"/>
      <c r="E118" s="326"/>
      <c r="F118" s="310" t="s">
        <v>489</v>
      </c>
    </row>
    <row r="119" spans="1:8" ht="15">
      <c r="A119" s="323">
        <v>102</v>
      </c>
      <c r="B119" s="214"/>
      <c r="C119" s="324"/>
      <c r="D119" s="324"/>
      <c r="E119" s="326"/>
      <c r="F119" s="310" t="s">
        <v>489</v>
      </c>
    </row>
    <row r="120" spans="1:8" ht="15.75">
      <c r="A120" s="323">
        <v>103</v>
      </c>
      <c r="B120" s="215"/>
      <c r="C120" s="324"/>
      <c r="D120" s="324"/>
      <c r="E120" s="326"/>
      <c r="F120" s="310" t="s">
        <v>489</v>
      </c>
      <c r="H120" s="267"/>
    </row>
    <row r="122" spans="1:8" ht="15">
      <c r="A122" s="323">
        <v>104</v>
      </c>
      <c r="B122" s="214" t="s">
        <v>502</v>
      </c>
      <c r="C122" s="327"/>
      <c r="D122" s="327"/>
      <c r="E122" s="328"/>
      <c r="F122" s="176" t="s">
        <v>634</v>
      </c>
    </row>
  </sheetData>
  <pageMargins left="0.7" right="0.7" top="0.75" bottom="0.75" header="0.3" footer="0.3"/>
  <pageSetup paperSize="3"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35"/>
  <sheetViews>
    <sheetView showGridLines="0" workbookViewId="0">
      <selection activeCell="A34" sqref="A34"/>
    </sheetView>
  </sheetViews>
  <sheetFormatPr defaultColWidth="9.140625" defaultRowHeight="12.75"/>
  <cols>
    <col min="1" max="1" width="7.7109375" style="211" bestFit="1" customWidth="1"/>
    <col min="2" max="2" width="49.140625" style="211" customWidth="1"/>
    <col min="3" max="3" width="19.5703125" style="211" customWidth="1"/>
    <col min="4" max="4" width="18.7109375" style="211" customWidth="1"/>
    <col min="5" max="5" width="20.5703125" style="211" customWidth="1"/>
    <col min="6" max="16384" width="9.140625" style="211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C5" s="23" t="s">
        <v>635</v>
      </c>
      <c r="D5" s="3"/>
      <c r="E5" s="3"/>
      <c r="F5" s="3"/>
      <c r="G5" s="3"/>
    </row>
    <row r="6" spans="1:7" ht="15">
      <c r="C6" s="212" t="str">
        <f>+'5 alloc.'!B6</f>
        <v>Forecast</v>
      </c>
      <c r="D6" s="3"/>
      <c r="E6" s="3"/>
      <c r="F6" s="3"/>
      <c r="G6" s="3"/>
    </row>
    <row r="7" spans="1:7" ht="15">
      <c r="C7" s="212">
        <f>+'5 alloc.'!B7</f>
        <v>2018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537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507</v>
      </c>
      <c r="D11" s="23" t="s">
        <v>508</v>
      </c>
      <c r="E11" s="23" t="s">
        <v>509</v>
      </c>
      <c r="F11" s="7" t="s">
        <v>80</v>
      </c>
    </row>
    <row r="12" spans="1:7" ht="15">
      <c r="A12" s="30" t="s">
        <v>63</v>
      </c>
      <c r="B12" s="3"/>
      <c r="C12" s="23" t="s">
        <v>487</v>
      </c>
      <c r="D12" s="23" t="s">
        <v>487</v>
      </c>
      <c r="E12" s="23" t="s">
        <v>487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6" t="s">
        <v>513</v>
      </c>
      <c r="C14" s="3"/>
      <c r="D14" s="3"/>
      <c r="F14" s="34"/>
    </row>
    <row r="15" spans="1:7" ht="15">
      <c r="A15" s="217">
        <f>1+A14</f>
        <v>2</v>
      </c>
      <c r="B15" s="214" t="s">
        <v>664</v>
      </c>
      <c r="C15" s="304">
        <v>735714.66692307696</v>
      </c>
      <c r="D15" s="100">
        <f>+C15</f>
        <v>735714.66692307696</v>
      </c>
      <c r="E15" s="100">
        <f>AVERAGE(C15:D15)</f>
        <v>735714.66692307696</v>
      </c>
      <c r="F15" s="211" t="s">
        <v>489</v>
      </c>
    </row>
    <row r="16" spans="1:7" ht="15">
      <c r="A16" s="217">
        <f t="shared" ref="A16:A31" si="0">1+A15</f>
        <v>3</v>
      </c>
      <c r="B16" s="215" t="s">
        <v>665</v>
      </c>
      <c r="C16" s="305">
        <v>-1040008.5276923076</v>
      </c>
      <c r="D16" s="100">
        <f t="shared" ref="D16:D31" si="1">+C16</f>
        <v>-1040008.5276923076</v>
      </c>
      <c r="E16" s="141">
        <f>AVERAGE(C16:D16)</f>
        <v>-1040008.5276923076</v>
      </c>
      <c r="F16" s="211" t="s">
        <v>489</v>
      </c>
    </row>
    <row r="17" spans="1:6" ht="15">
      <c r="A17" s="217">
        <f t="shared" si="0"/>
        <v>4</v>
      </c>
      <c r="B17" s="214" t="s">
        <v>666</v>
      </c>
      <c r="C17" s="305">
        <v>0</v>
      </c>
      <c r="D17" s="100">
        <f t="shared" si="1"/>
        <v>0</v>
      </c>
      <c r="E17" s="141">
        <f t="shared" ref="E17:E31" si="2">AVERAGE(C17:D17)</f>
        <v>0</v>
      </c>
      <c r="F17" s="211" t="s">
        <v>489</v>
      </c>
    </row>
    <row r="18" spans="1:6" ht="15">
      <c r="A18" s="217">
        <f t="shared" si="0"/>
        <v>5</v>
      </c>
      <c r="B18" s="214" t="s">
        <v>667</v>
      </c>
      <c r="C18" s="305">
        <v>100150.88000000002</v>
      </c>
      <c r="D18" s="100">
        <f t="shared" si="1"/>
        <v>100150.88000000002</v>
      </c>
      <c r="E18" s="141">
        <f t="shared" si="2"/>
        <v>100150.88000000002</v>
      </c>
      <c r="F18" s="211" t="s">
        <v>489</v>
      </c>
    </row>
    <row r="19" spans="1:6" ht="15">
      <c r="A19" s="217">
        <f t="shared" si="0"/>
        <v>6</v>
      </c>
      <c r="B19" s="214" t="s">
        <v>668</v>
      </c>
      <c r="C19" s="305">
        <v>0</v>
      </c>
      <c r="D19" s="100">
        <f t="shared" si="1"/>
        <v>0</v>
      </c>
      <c r="E19" s="141">
        <f t="shared" si="2"/>
        <v>0</v>
      </c>
      <c r="F19" s="211" t="s">
        <v>489</v>
      </c>
    </row>
    <row r="20" spans="1:6" ht="15">
      <c r="A20" s="217">
        <f t="shared" si="0"/>
        <v>7</v>
      </c>
      <c r="B20" s="214" t="s">
        <v>669</v>
      </c>
      <c r="C20" s="305">
        <v>603693.90846153838</v>
      </c>
      <c r="D20" s="100">
        <f t="shared" si="1"/>
        <v>603693.90846153838</v>
      </c>
      <c r="E20" s="141">
        <f t="shared" si="2"/>
        <v>603693.90846153838</v>
      </c>
      <c r="F20" s="211" t="s">
        <v>489</v>
      </c>
    </row>
    <row r="21" spans="1:6" ht="15">
      <c r="A21" s="217">
        <f t="shared" si="0"/>
        <v>8</v>
      </c>
      <c r="B21" s="214" t="s">
        <v>670</v>
      </c>
      <c r="C21" s="305">
        <v>237877.68846153843</v>
      </c>
      <c r="D21" s="100">
        <f t="shared" si="1"/>
        <v>237877.68846153843</v>
      </c>
      <c r="E21" s="141">
        <f t="shared" si="2"/>
        <v>237877.68846153843</v>
      </c>
      <c r="F21" s="211" t="s">
        <v>489</v>
      </c>
    </row>
    <row r="22" spans="1:6" ht="15">
      <c r="A22" s="217">
        <f t="shared" si="0"/>
        <v>9</v>
      </c>
      <c r="B22" s="214" t="s">
        <v>671</v>
      </c>
      <c r="C22" s="305">
        <v>1.5384615384615385E-3</v>
      </c>
      <c r="D22" s="100">
        <f t="shared" si="1"/>
        <v>1.5384615384615385E-3</v>
      </c>
      <c r="E22" s="141">
        <f t="shared" si="2"/>
        <v>1.5384615384615385E-3</v>
      </c>
      <c r="F22" s="211" t="s">
        <v>489</v>
      </c>
    </row>
    <row r="23" spans="1:6" ht="15">
      <c r="A23" s="217">
        <f t="shared" si="0"/>
        <v>10</v>
      </c>
      <c r="B23" s="214" t="s">
        <v>672</v>
      </c>
      <c r="C23" s="305">
        <v>168096.39538461543</v>
      </c>
      <c r="D23" s="100">
        <f t="shared" si="1"/>
        <v>168096.39538461543</v>
      </c>
      <c r="E23" s="141">
        <f t="shared" si="2"/>
        <v>168096.39538461543</v>
      </c>
      <c r="F23" s="211" t="s">
        <v>489</v>
      </c>
    </row>
    <row r="24" spans="1:6" ht="15">
      <c r="A24" s="217">
        <f t="shared" si="0"/>
        <v>11</v>
      </c>
      <c r="B24" s="214" t="s">
        <v>673</v>
      </c>
      <c r="C24" s="305">
        <v>1582104.8784615386</v>
      </c>
      <c r="D24" s="100">
        <f t="shared" si="1"/>
        <v>1582104.8784615386</v>
      </c>
      <c r="E24" s="141">
        <f t="shared" si="2"/>
        <v>1582104.8784615386</v>
      </c>
      <c r="F24" s="211" t="s">
        <v>489</v>
      </c>
    </row>
    <row r="25" spans="1:6" ht="15">
      <c r="A25" s="217">
        <f t="shared" si="0"/>
        <v>12</v>
      </c>
      <c r="B25" s="214" t="s">
        <v>674</v>
      </c>
      <c r="C25" s="305">
        <v>-213712.33076923076</v>
      </c>
      <c r="D25" s="100">
        <f t="shared" si="1"/>
        <v>-213712.33076923076</v>
      </c>
      <c r="E25" s="141">
        <f t="shared" si="2"/>
        <v>-213712.33076923076</v>
      </c>
      <c r="F25" s="211" t="s">
        <v>489</v>
      </c>
    </row>
    <row r="26" spans="1:6" ht="15">
      <c r="A26" s="217">
        <f t="shared" si="0"/>
        <v>13</v>
      </c>
      <c r="B26" s="214" t="s">
        <v>696</v>
      </c>
      <c r="C26" s="305">
        <v>0</v>
      </c>
      <c r="D26" s="100">
        <f t="shared" si="1"/>
        <v>0</v>
      </c>
      <c r="E26" s="141">
        <f t="shared" si="2"/>
        <v>0</v>
      </c>
      <c r="F26" s="211" t="s">
        <v>489</v>
      </c>
    </row>
    <row r="27" spans="1:6" ht="15">
      <c r="A27" s="217">
        <f t="shared" si="0"/>
        <v>14</v>
      </c>
      <c r="B27" s="214" t="s">
        <v>697</v>
      </c>
      <c r="C27" s="305">
        <v>0</v>
      </c>
      <c r="D27" s="100">
        <f t="shared" si="1"/>
        <v>0</v>
      </c>
      <c r="E27" s="141">
        <f t="shared" si="2"/>
        <v>0</v>
      </c>
      <c r="F27" s="211" t="s">
        <v>489</v>
      </c>
    </row>
    <row r="28" spans="1:6" ht="15">
      <c r="A28" s="217">
        <f t="shared" si="0"/>
        <v>15</v>
      </c>
      <c r="B28" s="214" t="s">
        <v>698</v>
      </c>
      <c r="C28" s="305">
        <v>954685.91</v>
      </c>
      <c r="D28" s="100">
        <f t="shared" si="1"/>
        <v>954685.91</v>
      </c>
      <c r="E28" s="141">
        <f t="shared" si="2"/>
        <v>954685.91</v>
      </c>
      <c r="F28" s="211" t="s">
        <v>489</v>
      </c>
    </row>
    <row r="29" spans="1:6" ht="15">
      <c r="A29" s="217">
        <f t="shared" si="0"/>
        <v>16</v>
      </c>
      <c r="B29" s="214" t="s">
        <v>699</v>
      </c>
      <c r="C29" s="305">
        <v>0</v>
      </c>
      <c r="D29" s="100">
        <f t="shared" si="1"/>
        <v>0</v>
      </c>
      <c r="E29" s="141">
        <f t="shared" si="2"/>
        <v>0</v>
      </c>
      <c r="F29" s="211" t="s">
        <v>489</v>
      </c>
    </row>
    <row r="30" spans="1:6" ht="15">
      <c r="A30" s="217">
        <f t="shared" si="0"/>
        <v>17</v>
      </c>
      <c r="B30" s="214" t="s">
        <v>700</v>
      </c>
      <c r="C30" s="305">
        <v>44922498.540769234</v>
      </c>
      <c r="D30" s="100">
        <f t="shared" si="1"/>
        <v>44922498.540769234</v>
      </c>
      <c r="E30" s="141">
        <f t="shared" si="2"/>
        <v>44922498.540769234</v>
      </c>
      <c r="F30" s="211" t="s">
        <v>489</v>
      </c>
    </row>
    <row r="31" spans="1:6" ht="15">
      <c r="A31" s="217">
        <f t="shared" si="0"/>
        <v>18</v>
      </c>
      <c r="B31" s="214" t="s">
        <v>701</v>
      </c>
      <c r="C31" s="305">
        <v>-41577316.140000001</v>
      </c>
      <c r="D31" s="100">
        <f t="shared" si="1"/>
        <v>-41577316.140000001</v>
      </c>
      <c r="E31" s="141">
        <f t="shared" si="2"/>
        <v>-41577316.140000001</v>
      </c>
      <c r="F31" s="211" t="s">
        <v>489</v>
      </c>
    </row>
    <row r="32" spans="1:6" ht="15">
      <c r="C32" s="3"/>
      <c r="D32" s="3"/>
      <c r="E32" s="3"/>
    </row>
    <row r="33" spans="1:7" ht="15.75">
      <c r="A33" s="217">
        <f>+A31+1</f>
        <v>19</v>
      </c>
      <c r="B33" s="214" t="s">
        <v>514</v>
      </c>
      <c r="C33" s="100">
        <f>SUM(C15:C31)</f>
        <v>6473785.8715384677</v>
      </c>
      <c r="D33" s="100">
        <f>SUM(D15:D31)</f>
        <v>6473785.8715384677</v>
      </c>
      <c r="E33" s="100">
        <f>SUM(E15:E31)</f>
        <v>6473785.8715384677</v>
      </c>
      <c r="F33" s="3" t="s">
        <v>675</v>
      </c>
      <c r="G33" s="3"/>
    </row>
    <row r="35" spans="1:7" ht="15">
      <c r="G35" s="30"/>
    </row>
  </sheetData>
  <pageMargins left="0.7" right="0.7" top="0.75" bottom="0.75" header="0.3" footer="0.3"/>
  <pageSetup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zoomScaleNormal="100" workbookViewId="0">
      <selection activeCell="G31" sqref="G30:G31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530</v>
      </c>
      <c r="F4" s="3"/>
      <c r="G4" s="5" t="s">
        <v>94</v>
      </c>
      <c r="I4" s="3"/>
    </row>
    <row r="5" spans="1:9" ht="15">
      <c r="B5" s="3"/>
      <c r="C5" s="3"/>
      <c r="D5" s="23" t="s">
        <v>559</v>
      </c>
      <c r="F5" s="3"/>
      <c r="G5" s="5" t="s">
        <v>551</v>
      </c>
      <c r="I5" s="3"/>
    </row>
    <row r="6" spans="1:9" ht="15">
      <c r="B6" s="3"/>
      <c r="C6" s="3"/>
      <c r="D6" s="212" t="str">
        <f>+'5 alloc.'!B6</f>
        <v>Forecast</v>
      </c>
      <c r="F6" s="3"/>
      <c r="G6" s="5" t="s">
        <v>536</v>
      </c>
      <c r="I6" s="3"/>
    </row>
    <row r="7" spans="1:9" ht="15">
      <c r="B7" s="3"/>
      <c r="C7" s="3"/>
      <c r="D7" s="212">
        <f>+'5 alloc.'!B7</f>
        <v>2018</v>
      </c>
      <c r="F7" s="3"/>
      <c r="I7" s="3"/>
    </row>
    <row r="8" spans="1:9" ht="15">
      <c r="A8" s="23" t="s">
        <v>263</v>
      </c>
      <c r="B8" s="3"/>
      <c r="C8" s="127"/>
      <c r="E8" s="96"/>
      <c r="F8" s="3"/>
      <c r="G8" s="3"/>
      <c r="H8" s="3"/>
      <c r="I8" s="3"/>
    </row>
    <row r="9" spans="1:9" ht="15">
      <c r="A9" s="30" t="s">
        <v>63</v>
      </c>
      <c r="B9" s="3"/>
      <c r="C9" s="127"/>
      <c r="D9" s="218"/>
      <c r="E9" s="96"/>
      <c r="F9" s="3"/>
      <c r="G9" s="212"/>
      <c r="H9" s="3"/>
      <c r="I9" s="3"/>
    </row>
    <row r="10" spans="1:9" ht="15">
      <c r="A10" s="23"/>
      <c r="B10" s="3"/>
      <c r="C10" s="127"/>
      <c r="D10" s="218"/>
      <c r="E10" s="96"/>
      <c r="F10" s="3"/>
      <c r="G10" s="3"/>
      <c r="H10" s="3"/>
      <c r="I10" s="3"/>
    </row>
    <row r="11" spans="1:9" ht="15">
      <c r="A11" s="23">
        <v>1</v>
      </c>
      <c r="B11" s="3" t="s">
        <v>532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234</v>
      </c>
      <c r="D12" s="3"/>
      <c r="E12" s="3"/>
      <c r="F12" s="219">
        <f>+'7 Substation'!J24</f>
        <v>235</v>
      </c>
      <c r="G12" s="3" t="s">
        <v>553</v>
      </c>
      <c r="I12" s="3"/>
    </row>
    <row r="13" spans="1:9" ht="15">
      <c r="A13" s="23">
        <v>3</v>
      </c>
      <c r="B13" s="3"/>
      <c r="C13" s="3" t="s">
        <v>235</v>
      </c>
      <c r="D13" s="3"/>
      <c r="E13" s="3"/>
      <c r="F13" s="220">
        <f>+'7 Substation'!J31</f>
        <v>80</v>
      </c>
      <c r="G13" s="3" t="s">
        <v>555</v>
      </c>
      <c r="I13" s="3"/>
    </row>
    <row r="14" spans="1:9" ht="15">
      <c r="A14" s="23">
        <v>4</v>
      </c>
      <c r="B14" s="3"/>
      <c r="C14" s="3" t="s">
        <v>531</v>
      </c>
      <c r="D14" s="3"/>
      <c r="E14" s="3"/>
      <c r="F14" s="220">
        <f>+'7 Substation'!J42</f>
        <v>306</v>
      </c>
      <c r="G14" s="3" t="s">
        <v>554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533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234</v>
      </c>
      <c r="D17" s="3"/>
      <c r="E17" s="3"/>
      <c r="F17" s="219">
        <f>+'8 Lines'!J23</f>
        <v>281</v>
      </c>
      <c r="G17" s="3" t="s">
        <v>556</v>
      </c>
      <c r="I17" s="3"/>
    </row>
    <row r="18" spans="1:9" ht="15">
      <c r="A18" s="23">
        <v>7</v>
      </c>
      <c r="B18" s="3"/>
      <c r="C18" s="3" t="s">
        <v>235</v>
      </c>
      <c r="D18" s="3"/>
      <c r="E18" s="3"/>
      <c r="F18" s="220">
        <f>+'8 Lines'!J36</f>
        <v>1676</v>
      </c>
      <c r="G18" s="3" t="s">
        <v>557</v>
      </c>
      <c r="I18" s="3"/>
    </row>
    <row r="19" spans="1:9" ht="15">
      <c r="A19" s="23">
        <v>8</v>
      </c>
      <c r="B19" s="3"/>
      <c r="C19" s="3" t="s">
        <v>531</v>
      </c>
      <c r="D19" s="3"/>
      <c r="E19" s="3"/>
      <c r="F19" s="220">
        <f>+'8 Lines'!J47</f>
        <v>2292</v>
      </c>
      <c r="G19" s="3" t="s">
        <v>558</v>
      </c>
      <c r="I19" s="3"/>
    </row>
    <row r="20" spans="1:9" ht="15">
      <c r="B20" s="3"/>
      <c r="C20" s="3"/>
      <c r="D20" s="3"/>
      <c r="E20" s="3"/>
      <c r="F20" s="221"/>
      <c r="G20" s="3"/>
      <c r="I20" s="3"/>
    </row>
    <row r="21" spans="1:9" ht="15">
      <c r="A21" s="23">
        <v>9</v>
      </c>
      <c r="B21" s="3" t="s">
        <v>534</v>
      </c>
      <c r="C21" s="3"/>
      <c r="D21" s="3"/>
      <c r="E21" s="3"/>
      <c r="F21" s="219">
        <f>+'9 Meters'!E54</f>
        <v>48</v>
      </c>
      <c r="G21" s="3" t="s">
        <v>535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1"/>
      <c r="H24" s="3"/>
      <c r="I24" s="3"/>
    </row>
    <row r="25" spans="1:9" ht="15">
      <c r="B25" s="3"/>
      <c r="C25" s="3"/>
      <c r="D25" s="3"/>
      <c r="E25" s="3"/>
      <c r="F25" s="3"/>
      <c r="G25" s="223"/>
      <c r="H25" s="3"/>
      <c r="I25" s="3"/>
    </row>
    <row r="26" spans="1:9" ht="15">
      <c r="B26" s="3"/>
      <c r="C26" s="3"/>
      <c r="D26" s="3"/>
      <c r="E26" s="3"/>
      <c r="F26" s="3"/>
      <c r="G26" s="222"/>
      <c r="H26" s="3"/>
      <c r="I26" s="3"/>
    </row>
    <row r="27" spans="1:9" ht="15">
      <c r="B27" s="3"/>
      <c r="C27" s="3"/>
      <c r="D27" s="3"/>
      <c r="E27" s="3"/>
      <c r="F27" s="3"/>
      <c r="G27" s="222"/>
      <c r="H27" s="3"/>
      <c r="I27" s="3"/>
    </row>
    <row r="28" spans="1:9" ht="15">
      <c r="B28" s="3"/>
      <c r="C28" s="3"/>
      <c r="D28" s="3"/>
      <c r="E28" s="70"/>
      <c r="F28" s="3"/>
      <c r="G28" s="222"/>
      <c r="H28" s="3"/>
      <c r="I28" s="3"/>
    </row>
    <row r="29" spans="1:9" ht="15">
      <c r="B29" s="3"/>
      <c r="C29" s="3"/>
      <c r="D29" s="3"/>
      <c r="E29" s="70"/>
      <c r="F29" s="3"/>
      <c r="G29" s="222"/>
      <c r="H29" s="3"/>
      <c r="I29" s="3"/>
    </row>
    <row r="30" spans="1:9">
      <c r="G30" s="224"/>
    </row>
    <row r="31" spans="1:9">
      <c r="G31" s="224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B16" zoomScale="85" zoomScaleNormal="85" workbookViewId="0">
      <selection activeCell="I91" sqref="I91"/>
    </sheetView>
  </sheetViews>
  <sheetFormatPr defaultColWidth="7.85546875" defaultRowHeight="15"/>
  <cols>
    <col min="1" max="1" width="3.85546875" style="3" bestFit="1" customWidth="1"/>
    <col min="2" max="2" width="7.140625" style="3" customWidth="1"/>
    <col min="3" max="3" width="36.1406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93</v>
      </c>
      <c r="T5" s="5" t="s">
        <v>94</v>
      </c>
    </row>
    <row r="6" spans="1:20">
      <c r="D6" s="96"/>
      <c r="E6" s="98" t="str">
        <f>+'5 alloc.'!B6</f>
        <v>Forecast</v>
      </c>
      <c r="F6" s="96"/>
      <c r="G6" s="5"/>
      <c r="T6" s="5" t="s">
        <v>328</v>
      </c>
    </row>
    <row r="7" spans="1:20">
      <c r="E7" s="98">
        <f>+'5 alloc.'!B7</f>
        <v>2018</v>
      </c>
      <c r="T7" s="5" t="s">
        <v>548</v>
      </c>
    </row>
    <row r="8" spans="1:20">
      <c r="B8" s="205"/>
      <c r="C8" s="205"/>
    </row>
    <row r="9" spans="1:20">
      <c r="B9" s="205"/>
      <c r="C9" s="205"/>
      <c r="N9" s="3" t="s">
        <v>106</v>
      </c>
    </row>
    <row r="10" spans="1:20">
      <c r="A10" s="3">
        <v>1</v>
      </c>
      <c r="D10" s="14"/>
      <c r="E10" s="23" t="s">
        <v>28</v>
      </c>
      <c r="F10" s="23"/>
      <c r="G10" s="23"/>
      <c r="H10" s="23"/>
      <c r="I10" s="23"/>
      <c r="J10" s="23"/>
      <c r="K10" s="23"/>
      <c r="L10" s="23"/>
      <c r="N10" s="23" t="s">
        <v>28</v>
      </c>
      <c r="P10" s="23" t="s">
        <v>29</v>
      </c>
      <c r="R10" s="23" t="s">
        <v>29</v>
      </c>
      <c r="T10" s="23" t="s">
        <v>30</v>
      </c>
    </row>
    <row r="11" spans="1:20">
      <c r="A11" s="3">
        <v>2</v>
      </c>
      <c r="E11" s="295"/>
      <c r="F11" s="279"/>
      <c r="G11" s="25"/>
      <c r="H11" s="25"/>
      <c r="I11" s="25"/>
      <c r="J11" s="25"/>
      <c r="K11" s="25"/>
      <c r="L11" s="25"/>
      <c r="N11" s="45" t="s">
        <v>31</v>
      </c>
      <c r="P11" s="45" t="s">
        <v>32</v>
      </c>
      <c r="R11" s="45" t="s">
        <v>32</v>
      </c>
      <c r="T11" s="45" t="s">
        <v>33</v>
      </c>
    </row>
    <row r="13" spans="1:20">
      <c r="A13" s="3">
        <v>3</v>
      </c>
      <c r="B13" s="36" t="s">
        <v>34</v>
      </c>
      <c r="D13" s="5" t="s">
        <v>35</v>
      </c>
      <c r="E13" s="240">
        <f>+K58</f>
        <v>727156200</v>
      </c>
      <c r="M13" s="23"/>
      <c r="N13" s="46">
        <f>ROUND(E13/$E$17,4)</f>
        <v>0.51980000000000004</v>
      </c>
      <c r="O13" s="46"/>
      <c r="P13" s="209">
        <f>+K71/K64</f>
        <v>5.0181151540406511E-2</v>
      </c>
      <c r="Q13" s="46"/>
      <c r="R13" s="46">
        <f>ROUND(N13*P13,4)</f>
        <v>2.6100000000000002E-2</v>
      </c>
      <c r="S13" s="46"/>
      <c r="T13" s="46"/>
    </row>
    <row r="14" spans="1:20">
      <c r="A14" s="3">
        <v>4</v>
      </c>
      <c r="B14" s="36" t="s">
        <v>36</v>
      </c>
      <c r="E14" s="208">
        <f>+K79</f>
        <v>0</v>
      </c>
      <c r="M14" s="23"/>
      <c r="N14" s="46">
        <f>ROUND(E14/$E$17,4)</f>
        <v>0</v>
      </c>
      <c r="O14" s="46"/>
      <c r="P14" s="209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37</v>
      </c>
      <c r="E15" s="210">
        <f>+K86</f>
        <v>671672464</v>
      </c>
      <c r="M15" s="23"/>
      <c r="N15" s="47">
        <f>ROUND(E15/$E$17,4)+0.0001</f>
        <v>0.4803</v>
      </c>
      <c r="O15" s="46"/>
      <c r="P15" s="363">
        <f>+I90</f>
        <v>0.1057</v>
      </c>
      <c r="Q15" s="46"/>
      <c r="R15" s="47">
        <f>ROUND(N15*P15,4)</f>
        <v>5.0799999999999998E-2</v>
      </c>
      <c r="S15" s="46"/>
      <c r="T15" s="47">
        <f>R15</f>
        <v>5.0799999999999998E-2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38</v>
      </c>
      <c r="D17" s="5" t="s">
        <v>35</v>
      </c>
      <c r="E17" s="48">
        <f>SUM(E13:E15)</f>
        <v>1398828664</v>
      </c>
      <c r="F17" s="49"/>
      <c r="G17" s="49"/>
      <c r="H17" s="49"/>
      <c r="I17" s="49"/>
      <c r="J17" s="49"/>
      <c r="K17" s="49"/>
      <c r="L17" s="49"/>
      <c r="N17" s="50">
        <f>SUM(N13:N15)</f>
        <v>1.0001</v>
      </c>
      <c r="O17" s="46"/>
      <c r="P17" s="46"/>
      <c r="Q17" s="46"/>
      <c r="R17" s="50">
        <f>SUM(R13:R15)</f>
        <v>7.6899999999999996E-2</v>
      </c>
      <c r="S17" s="46"/>
      <c r="T17" s="50">
        <f>SUM(T13:T15)</f>
        <v>5.0799999999999998E-2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39</v>
      </c>
    </row>
    <row r="21" spans="1:20" ht="15.75" thickBot="1">
      <c r="A21" s="3">
        <v>8</v>
      </c>
      <c r="B21" s="37" t="s">
        <v>40</v>
      </c>
      <c r="D21" s="37"/>
      <c r="E21" s="51">
        <f>+R17</f>
        <v>7.6899999999999996E-2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244</v>
      </c>
      <c r="I23" s="53"/>
    </row>
    <row r="24" spans="1:20">
      <c r="A24" s="3">
        <v>10</v>
      </c>
      <c r="B24" s="37" t="s">
        <v>41</v>
      </c>
      <c r="D24" s="37" t="s">
        <v>42</v>
      </c>
      <c r="E24" s="54" t="s">
        <v>85</v>
      </c>
      <c r="F24" s="31" t="s">
        <v>43</v>
      </c>
      <c r="G24" s="55" t="s">
        <v>370</v>
      </c>
      <c r="H24" s="56"/>
      <c r="I24" s="56"/>
      <c r="J24" s="57" t="s">
        <v>431</v>
      </c>
      <c r="K24" s="58" t="s">
        <v>371</v>
      </c>
      <c r="L24" s="58"/>
      <c r="M24" s="54" t="s">
        <v>45</v>
      </c>
      <c r="N24" s="59" t="s">
        <v>46</v>
      </c>
      <c r="O24" s="59"/>
      <c r="P24" s="59"/>
      <c r="Q24" s="37" t="s">
        <v>47</v>
      </c>
    </row>
    <row r="25" spans="1:20">
      <c r="A25" s="3">
        <v>11</v>
      </c>
      <c r="D25" s="60" t="s">
        <v>43</v>
      </c>
      <c r="E25" s="23"/>
      <c r="F25" s="23"/>
      <c r="G25" s="23"/>
      <c r="H25" s="23"/>
      <c r="I25" s="23"/>
      <c r="J25" s="23"/>
      <c r="K25" s="23"/>
      <c r="L25" s="23"/>
      <c r="M25" s="29" t="s">
        <v>48</v>
      </c>
      <c r="N25" s="61" t="s">
        <v>46</v>
      </c>
      <c r="O25" s="4"/>
      <c r="P25" s="4"/>
      <c r="Q25" s="37" t="s">
        <v>47</v>
      </c>
    </row>
    <row r="27" spans="1:20">
      <c r="A27" s="3">
        <v>12</v>
      </c>
      <c r="D27" s="37" t="s">
        <v>42</v>
      </c>
      <c r="E27" s="118">
        <f>+T17</f>
        <v>5.0799999999999998E-2</v>
      </c>
      <c r="F27" s="62" t="s">
        <v>49</v>
      </c>
      <c r="G27" s="58">
        <f>+'4 Expenses'!F21</f>
        <v>15215</v>
      </c>
      <c r="H27" s="56"/>
      <c r="I27" s="182"/>
      <c r="J27" s="56" t="s">
        <v>107</v>
      </c>
      <c r="K27" s="178">
        <f>+'1 Rev Req'!E26</f>
        <v>60808085.353500001</v>
      </c>
      <c r="L27" s="57" t="s">
        <v>47</v>
      </c>
      <c r="M27" s="54" t="s">
        <v>45</v>
      </c>
      <c r="N27" s="364">
        <v>0.35</v>
      </c>
      <c r="O27" s="183"/>
      <c r="P27" s="169"/>
      <c r="Q27" s="37" t="s">
        <v>47</v>
      </c>
    </row>
    <row r="28" spans="1:20">
      <c r="A28" s="3">
        <v>13</v>
      </c>
      <c r="D28" s="60" t="s">
        <v>43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48</v>
      </c>
      <c r="N28" s="5">
        <f>+N27</f>
        <v>0.35</v>
      </c>
      <c r="O28" s="5"/>
      <c r="P28" s="5"/>
      <c r="Q28" s="37" t="s">
        <v>47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2.7488599999999998E-2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244</v>
      </c>
      <c r="I32" s="53"/>
    </row>
    <row r="33" spans="1:20">
      <c r="A33" s="3">
        <v>16</v>
      </c>
      <c r="B33" s="37" t="s">
        <v>50</v>
      </c>
      <c r="D33" s="37" t="s">
        <v>42</v>
      </c>
      <c r="E33" s="54" t="s">
        <v>85</v>
      </c>
      <c r="F33" s="31" t="s">
        <v>43</v>
      </c>
      <c r="G33" s="55" t="s">
        <v>370</v>
      </c>
      <c r="H33" s="56"/>
      <c r="I33" s="56"/>
      <c r="J33" s="57" t="s">
        <v>431</v>
      </c>
      <c r="K33" s="58" t="s">
        <v>371</v>
      </c>
      <c r="L33" s="10"/>
      <c r="M33" s="31" t="s">
        <v>44</v>
      </c>
      <c r="N33" s="59" t="s">
        <v>51</v>
      </c>
      <c r="O33" s="59"/>
      <c r="P33" s="59"/>
      <c r="Q33" s="65" t="s">
        <v>52</v>
      </c>
      <c r="R33" s="10" t="s">
        <v>53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48</v>
      </c>
      <c r="N34" s="61" t="s">
        <v>53</v>
      </c>
      <c r="O34" s="4"/>
      <c r="P34" s="4"/>
      <c r="Q34" s="66" t="s">
        <v>47</v>
      </c>
    </row>
    <row r="36" spans="1:20">
      <c r="A36" s="3">
        <v>18</v>
      </c>
      <c r="D36" s="37" t="s">
        <v>42</v>
      </c>
      <c r="E36" s="118">
        <f>+T17</f>
        <v>5.0799999999999998E-2</v>
      </c>
      <c r="F36" s="62" t="s">
        <v>49</v>
      </c>
      <c r="G36" s="58">
        <f>+G27</f>
        <v>15215</v>
      </c>
      <c r="H36" s="56"/>
      <c r="I36" s="67"/>
      <c r="J36" s="57" t="s">
        <v>108</v>
      </c>
      <c r="K36" s="58">
        <f>+K27</f>
        <v>60808085.353500001</v>
      </c>
      <c r="L36" s="57" t="s">
        <v>47</v>
      </c>
      <c r="M36" s="31" t="s">
        <v>44</v>
      </c>
      <c r="N36" s="119">
        <f>+E30</f>
        <v>2.7488599999999998E-2</v>
      </c>
      <c r="O36" s="59"/>
      <c r="P36" s="59"/>
      <c r="Q36" s="65" t="s">
        <v>52</v>
      </c>
      <c r="R36" s="364">
        <v>8.5000000000000006E-2</v>
      </c>
      <c r="S36" s="170"/>
      <c r="T36" s="170"/>
    </row>
    <row r="37" spans="1:20">
      <c r="A37" s="3">
        <v>19</v>
      </c>
      <c r="D37" s="60" t="s">
        <v>43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48</v>
      </c>
      <c r="N37" s="5">
        <f>+R36</f>
        <v>8.5000000000000006E-2</v>
      </c>
      <c r="O37" s="5"/>
      <c r="P37" s="5"/>
      <c r="Q37" s="37" t="s">
        <v>47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7.2960000000000004E-3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92</v>
      </c>
      <c r="D42" s="37" t="s">
        <v>0</v>
      </c>
      <c r="E42" s="63">
        <f>+E21+E30+E39</f>
        <v>0.11168459999999999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113</v>
      </c>
      <c r="F43" s="30"/>
      <c r="G43" s="31" t="s">
        <v>114</v>
      </c>
      <c r="H43" s="30"/>
      <c r="I43" s="30"/>
      <c r="J43" s="30"/>
      <c r="K43" s="31" t="s">
        <v>115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35</v>
      </c>
      <c r="E45" s="70">
        <f>+'1 Rev Req'!E26</f>
        <v>60808085.353500001</v>
      </c>
      <c r="F45" s="70"/>
      <c r="G45" s="70">
        <f>+'1 Rev Req'!G26</f>
        <v>227173800.63330001</v>
      </c>
      <c r="H45" s="70"/>
      <c r="I45" s="70"/>
      <c r="J45" s="70"/>
      <c r="K45" s="70">
        <f>+'1 Rev Req'!I26</f>
        <v>17565154.094700001</v>
      </c>
      <c r="L45" s="70"/>
      <c r="M45" s="36" t="s">
        <v>470</v>
      </c>
      <c r="N45" s="71"/>
    </row>
    <row r="46" spans="1:20">
      <c r="A46"/>
      <c r="N46" s="41"/>
    </row>
    <row r="47" spans="1:20">
      <c r="A47" s="3">
        <v>23</v>
      </c>
      <c r="B47" s="37" t="s">
        <v>54</v>
      </c>
      <c r="E47" s="72">
        <f>+E42</f>
        <v>0.11168459999999999</v>
      </c>
      <c r="F47" s="72"/>
      <c r="G47" s="72">
        <f>+E47</f>
        <v>0.11168459999999999</v>
      </c>
      <c r="H47" s="72"/>
      <c r="I47" s="72"/>
      <c r="J47" s="72"/>
      <c r="K47" s="72">
        <f>+E47</f>
        <v>0.11168459999999999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55</v>
      </c>
      <c r="E49" s="43">
        <f>ROUND(+E45*E47,0)</f>
        <v>6791327</v>
      </c>
      <c r="F49" s="74"/>
      <c r="G49" s="43">
        <f>ROUND(+G45*G47,0)</f>
        <v>25371815</v>
      </c>
      <c r="H49" s="74"/>
      <c r="I49" s="74"/>
      <c r="J49" s="74"/>
      <c r="K49" s="43">
        <f>ROUND(+K45*K47,0)</f>
        <v>1961757</v>
      </c>
      <c r="L49" s="74"/>
      <c r="M49" s="36" t="s">
        <v>471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432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433</v>
      </c>
      <c r="D53" s="184"/>
      <c r="E53" s="184"/>
      <c r="F53" s="184"/>
      <c r="G53" s="187"/>
      <c r="I53" s="191"/>
      <c r="K53" s="192"/>
      <c r="L53" s="187"/>
      <c r="N53" s="271"/>
    </row>
    <row r="54" spans="1:16">
      <c r="A54" s="3">
        <v>27</v>
      </c>
      <c r="B54" s="184"/>
      <c r="C54" s="187"/>
      <c r="D54" s="187" t="s">
        <v>434</v>
      </c>
      <c r="E54" s="187"/>
      <c r="F54" s="187"/>
      <c r="G54" s="187"/>
      <c r="I54" s="191"/>
      <c r="K54" s="332">
        <v>727156200</v>
      </c>
      <c r="L54" s="187" t="s">
        <v>638</v>
      </c>
      <c r="N54"/>
    </row>
    <row r="55" spans="1:16">
      <c r="A55" s="3">
        <v>28</v>
      </c>
      <c r="B55" s="184"/>
      <c r="C55" s="187"/>
      <c r="D55" s="187"/>
      <c r="E55" s="187" t="s">
        <v>435</v>
      </c>
      <c r="F55" s="187"/>
      <c r="G55" s="187"/>
      <c r="I55" s="191"/>
      <c r="K55" s="285">
        <v>0</v>
      </c>
      <c r="L55" s="187" t="s">
        <v>639</v>
      </c>
      <c r="N55"/>
    </row>
    <row r="56" spans="1:16">
      <c r="A56" s="3">
        <v>29</v>
      </c>
      <c r="B56" s="184"/>
      <c r="C56" s="271"/>
      <c r="D56" s="187" t="s">
        <v>436</v>
      </c>
      <c r="E56" s="283"/>
      <c r="F56" s="283"/>
      <c r="G56" s="187"/>
      <c r="I56" s="191"/>
      <c r="K56" s="285">
        <v>0</v>
      </c>
      <c r="L56" s="187" t="s">
        <v>640</v>
      </c>
      <c r="N56" s="211"/>
    </row>
    <row r="57" spans="1:16">
      <c r="A57" s="3">
        <v>30</v>
      </c>
      <c r="B57" s="184"/>
      <c r="C57" s="187"/>
      <c r="D57" s="187" t="s">
        <v>437</v>
      </c>
      <c r="E57" s="187"/>
      <c r="F57" s="187"/>
      <c r="G57" s="187"/>
      <c r="I57" s="191"/>
      <c r="K57" s="285">
        <v>0</v>
      </c>
      <c r="L57" s="187" t="s">
        <v>641</v>
      </c>
      <c r="N57"/>
    </row>
    <row r="58" spans="1:16">
      <c r="A58" s="3">
        <v>31</v>
      </c>
      <c r="B58" s="184"/>
      <c r="C58" s="187"/>
      <c r="D58" s="193" t="s">
        <v>438</v>
      </c>
      <c r="E58" s="187"/>
      <c r="F58" s="187"/>
      <c r="G58" s="187"/>
      <c r="I58" s="191"/>
      <c r="K58" s="333">
        <f>SUM(K54:K57)</f>
        <v>727156200</v>
      </c>
      <c r="L58" s="187" t="s">
        <v>474</v>
      </c>
      <c r="N58"/>
    </row>
    <row r="59" spans="1:16">
      <c r="A59" s="3">
        <v>32</v>
      </c>
      <c r="B59" s="184"/>
      <c r="C59" s="187"/>
      <c r="D59" s="187"/>
      <c r="E59" s="187" t="s">
        <v>439</v>
      </c>
      <c r="F59" s="187"/>
      <c r="G59" s="187"/>
      <c r="I59" s="191"/>
      <c r="K59" s="285">
        <v>0</v>
      </c>
      <c r="L59" s="187" t="s">
        <v>642</v>
      </c>
      <c r="N59"/>
    </row>
    <row r="60" spans="1:16">
      <c r="A60" s="3">
        <v>33</v>
      </c>
      <c r="B60" s="184"/>
      <c r="C60" s="187"/>
      <c r="D60" s="187"/>
      <c r="E60" s="187" t="s">
        <v>440</v>
      </c>
      <c r="F60" s="187"/>
      <c r="G60" s="187"/>
      <c r="I60" s="191"/>
      <c r="K60" s="332">
        <v>-4347000</v>
      </c>
      <c r="L60" s="187" t="s">
        <v>659</v>
      </c>
      <c r="N60" s="211"/>
      <c r="P60" s="271"/>
    </row>
    <row r="61" spans="1:16">
      <c r="A61" s="3">
        <v>34</v>
      </c>
      <c r="B61" s="184"/>
      <c r="C61" s="187"/>
      <c r="D61" s="187"/>
      <c r="E61" s="187" t="s">
        <v>441</v>
      </c>
      <c r="F61" s="187"/>
      <c r="G61" s="187"/>
      <c r="I61" s="191"/>
      <c r="K61" s="285">
        <v>0</v>
      </c>
      <c r="L61" s="187" t="s">
        <v>643</v>
      </c>
      <c r="N61" s="211"/>
    </row>
    <row r="62" spans="1:16">
      <c r="A62" s="3">
        <v>35</v>
      </c>
      <c r="B62" s="184"/>
      <c r="C62" s="187"/>
      <c r="D62" s="187"/>
      <c r="E62" s="187" t="s">
        <v>442</v>
      </c>
      <c r="F62" s="187"/>
      <c r="G62" s="187"/>
      <c r="I62" s="191"/>
      <c r="K62" s="285">
        <v>0</v>
      </c>
      <c r="L62" s="187" t="s">
        <v>644</v>
      </c>
      <c r="N62" s="211"/>
    </row>
    <row r="63" spans="1:16">
      <c r="A63" s="3">
        <v>36</v>
      </c>
      <c r="B63" s="184"/>
      <c r="C63" s="187"/>
      <c r="D63" s="187"/>
      <c r="E63" s="187" t="s">
        <v>443</v>
      </c>
      <c r="F63" s="187"/>
      <c r="G63" s="187"/>
      <c r="I63" s="191"/>
      <c r="K63" s="285">
        <v>0</v>
      </c>
      <c r="L63" s="187" t="s">
        <v>645</v>
      </c>
      <c r="N63" s="211"/>
    </row>
    <row r="64" spans="1:16">
      <c r="A64" s="3">
        <v>37</v>
      </c>
      <c r="B64" s="184"/>
      <c r="C64" s="187"/>
      <c r="D64" s="193" t="s">
        <v>444</v>
      </c>
      <c r="E64" s="187"/>
      <c r="F64" s="187"/>
      <c r="G64" s="187"/>
      <c r="I64" s="191"/>
      <c r="K64" s="286">
        <f>SUM(K58:K63)</f>
        <v>722809200</v>
      </c>
      <c r="L64" s="187" t="s">
        <v>475</v>
      </c>
      <c r="N64" s="211"/>
    </row>
    <row r="65" spans="1:18">
      <c r="A65" s="3">
        <v>38</v>
      </c>
      <c r="B65" s="184"/>
      <c r="C65" s="184" t="s">
        <v>445</v>
      </c>
      <c r="D65" s="187"/>
      <c r="E65" s="187"/>
      <c r="F65" s="187"/>
      <c r="G65" s="187"/>
      <c r="I65" s="191"/>
      <c r="K65" s="287"/>
      <c r="L65" s="190"/>
    </row>
    <row r="66" spans="1:18">
      <c r="A66" s="3">
        <v>39</v>
      </c>
      <c r="B66" s="184"/>
      <c r="C66" s="187"/>
      <c r="D66" s="187" t="s">
        <v>446</v>
      </c>
      <c r="E66" s="187"/>
      <c r="F66" s="187"/>
      <c r="G66" s="187"/>
      <c r="I66" s="191"/>
      <c r="K66" s="332">
        <v>35808000</v>
      </c>
      <c r="L66" s="187" t="s">
        <v>646</v>
      </c>
    </row>
    <row r="67" spans="1:18">
      <c r="A67" s="3">
        <v>40</v>
      </c>
      <c r="B67" s="184"/>
      <c r="C67" s="187"/>
      <c r="D67" s="187" t="s">
        <v>447</v>
      </c>
      <c r="E67" s="187"/>
      <c r="F67" s="187"/>
      <c r="G67" s="187"/>
      <c r="I67" s="191"/>
      <c r="K67" s="332">
        <v>463398</v>
      </c>
      <c r="L67" s="187" t="s">
        <v>660</v>
      </c>
    </row>
    <row r="68" spans="1:18">
      <c r="A68" s="3">
        <v>41</v>
      </c>
      <c r="B68" s="184"/>
      <c r="C68" s="187"/>
      <c r="D68" s="187" t="s">
        <v>448</v>
      </c>
      <c r="E68" s="187"/>
      <c r="F68" s="187"/>
      <c r="G68" s="187"/>
      <c r="I68" s="191"/>
      <c r="K68" s="285">
        <v>0</v>
      </c>
      <c r="L68" s="187" t="s">
        <v>647</v>
      </c>
    </row>
    <row r="69" spans="1:18">
      <c r="A69" s="3">
        <v>42</v>
      </c>
      <c r="B69" s="184"/>
      <c r="C69" s="187"/>
      <c r="D69" s="187"/>
      <c r="E69" s="187" t="s">
        <v>449</v>
      </c>
      <c r="F69" s="187"/>
      <c r="G69" s="187"/>
      <c r="I69" s="191"/>
      <c r="K69" s="285">
        <v>0</v>
      </c>
      <c r="L69" s="187" t="s">
        <v>648</v>
      </c>
    </row>
    <row r="70" spans="1:18">
      <c r="A70" s="3">
        <v>43</v>
      </c>
      <c r="B70" s="184"/>
      <c r="C70" s="187"/>
      <c r="D70" s="187"/>
      <c r="E70" s="187" t="s">
        <v>450</v>
      </c>
      <c r="F70" s="187"/>
      <c r="G70" s="187"/>
      <c r="I70" s="191"/>
      <c r="K70" s="285">
        <v>0</v>
      </c>
      <c r="L70" s="187" t="s">
        <v>649</v>
      </c>
    </row>
    <row r="71" spans="1:18">
      <c r="A71" s="3">
        <v>44</v>
      </c>
      <c r="B71" s="184"/>
      <c r="C71" s="187"/>
      <c r="D71" s="187"/>
      <c r="E71" s="187"/>
      <c r="F71" s="187" t="s">
        <v>451</v>
      </c>
      <c r="G71" s="187"/>
      <c r="I71" s="191"/>
      <c r="K71" s="286">
        <f>SUM(K66:K70)</f>
        <v>36271398</v>
      </c>
      <c r="L71" s="190" t="s">
        <v>476</v>
      </c>
    </row>
    <row r="72" spans="1:18">
      <c r="A72" s="3">
        <v>45</v>
      </c>
      <c r="B72" s="184"/>
      <c r="C72" s="184" t="s">
        <v>452</v>
      </c>
      <c r="D72" s="184"/>
      <c r="E72" s="184"/>
      <c r="F72" s="184"/>
      <c r="G72" s="187"/>
      <c r="I72" s="191"/>
      <c r="K72" s="288"/>
      <c r="L72" s="187"/>
    </row>
    <row r="73" spans="1:18">
      <c r="A73" s="3">
        <v>46</v>
      </c>
      <c r="B73" s="184"/>
      <c r="C73" s="187"/>
      <c r="D73" s="187" t="s">
        <v>453</v>
      </c>
      <c r="E73" s="187"/>
      <c r="F73" s="187"/>
      <c r="G73" s="187"/>
      <c r="I73" s="191"/>
      <c r="K73" s="285">
        <v>0</v>
      </c>
      <c r="L73" s="187" t="s">
        <v>650</v>
      </c>
      <c r="P73" s="271"/>
    </row>
    <row r="74" spans="1:18">
      <c r="A74" s="3">
        <v>47</v>
      </c>
      <c r="B74" s="184"/>
      <c r="C74" s="187"/>
      <c r="D74" s="187" t="s">
        <v>454</v>
      </c>
      <c r="E74" s="187"/>
      <c r="F74" s="187"/>
      <c r="G74" s="187"/>
      <c r="I74" s="191"/>
      <c r="K74" s="285">
        <v>0</v>
      </c>
      <c r="L74" s="187" t="s">
        <v>651</v>
      </c>
    </row>
    <row r="75" spans="1:18">
      <c r="A75" s="3">
        <v>48</v>
      </c>
      <c r="B75" s="184"/>
      <c r="C75" s="187"/>
      <c r="D75" s="187" t="s">
        <v>455</v>
      </c>
      <c r="E75" s="187"/>
      <c r="F75" s="187"/>
      <c r="G75" s="187"/>
      <c r="I75" s="191"/>
      <c r="K75" s="285">
        <v>0</v>
      </c>
      <c r="L75" s="187" t="s">
        <v>652</v>
      </c>
    </row>
    <row r="76" spans="1:18">
      <c r="A76" s="3">
        <v>49</v>
      </c>
      <c r="B76" s="184"/>
      <c r="C76" s="187"/>
      <c r="D76" s="187" t="s">
        <v>456</v>
      </c>
      <c r="E76" s="187"/>
      <c r="F76" s="187"/>
      <c r="G76" s="187"/>
      <c r="I76" s="191"/>
      <c r="K76" s="285">
        <v>0</v>
      </c>
      <c r="L76" s="187" t="s">
        <v>653</v>
      </c>
      <c r="Q76" s="271"/>
      <c r="R76" s="271"/>
    </row>
    <row r="77" spans="1:18">
      <c r="A77" s="3">
        <v>50</v>
      </c>
      <c r="B77" s="184"/>
      <c r="C77" s="187"/>
      <c r="D77" s="187" t="s">
        <v>457</v>
      </c>
      <c r="E77" s="187"/>
      <c r="F77" s="187"/>
      <c r="G77" s="187"/>
      <c r="I77" s="191"/>
      <c r="K77" s="285">
        <v>0</v>
      </c>
      <c r="L77" s="187" t="s">
        <v>654</v>
      </c>
    </row>
    <row r="78" spans="1:18">
      <c r="A78" s="3">
        <v>51</v>
      </c>
      <c r="B78" s="184"/>
      <c r="C78" s="187"/>
      <c r="D78" s="187" t="s">
        <v>458</v>
      </c>
      <c r="E78" s="187"/>
      <c r="F78" s="187"/>
      <c r="G78" s="187"/>
      <c r="I78" s="191"/>
      <c r="K78" s="285">
        <v>0</v>
      </c>
      <c r="L78" s="187" t="s">
        <v>655</v>
      </c>
    </row>
    <row r="79" spans="1:18">
      <c r="A79" s="3">
        <v>52</v>
      </c>
      <c r="B79" s="184"/>
      <c r="C79" s="187"/>
      <c r="D79" s="187"/>
      <c r="E79" s="187" t="s">
        <v>459</v>
      </c>
      <c r="F79" s="187"/>
      <c r="G79" s="187"/>
      <c r="I79" s="187"/>
      <c r="K79" s="289">
        <f>SUM(K73:K78)</f>
        <v>0</v>
      </c>
      <c r="L79" s="206" t="s">
        <v>477</v>
      </c>
    </row>
    <row r="80" spans="1:18">
      <c r="A80" s="3">
        <v>53</v>
      </c>
      <c r="B80" s="184"/>
      <c r="C80" s="187"/>
      <c r="D80" s="187" t="s">
        <v>460</v>
      </c>
      <c r="E80" s="187"/>
      <c r="F80" s="187"/>
      <c r="G80" s="187"/>
      <c r="I80" s="191"/>
      <c r="K80" s="285">
        <v>0</v>
      </c>
      <c r="L80" s="187" t="s">
        <v>656</v>
      </c>
    </row>
    <row r="81" spans="1:18">
      <c r="A81" s="3">
        <v>54</v>
      </c>
      <c r="B81" s="184"/>
      <c r="C81" s="184" t="s">
        <v>461</v>
      </c>
      <c r="D81" s="184"/>
      <c r="E81" s="184"/>
      <c r="F81" s="184"/>
      <c r="G81" s="187"/>
      <c r="I81" s="191"/>
      <c r="K81" s="288"/>
      <c r="L81" s="187"/>
      <c r="N81" s="211"/>
    </row>
    <row r="82" spans="1:18">
      <c r="A82" s="3">
        <v>55</v>
      </c>
      <c r="B82" s="184"/>
      <c r="C82" s="187"/>
      <c r="D82" s="187" t="s">
        <v>462</v>
      </c>
      <c r="E82" s="187"/>
      <c r="F82" s="187"/>
      <c r="G82" s="187"/>
      <c r="I82" s="191"/>
      <c r="K82" s="332">
        <v>768516888</v>
      </c>
      <c r="L82" s="187" t="s">
        <v>657</v>
      </c>
      <c r="N82" s="211"/>
      <c r="R82" s="274"/>
    </row>
    <row r="83" spans="1:18">
      <c r="A83" s="3">
        <v>56</v>
      </c>
      <c r="B83" s="184"/>
      <c r="C83" s="187"/>
      <c r="D83" s="187"/>
      <c r="E83" s="187" t="s">
        <v>463</v>
      </c>
      <c r="F83" s="187"/>
      <c r="G83" s="187"/>
      <c r="I83" s="191"/>
      <c r="K83" s="332">
        <v>0</v>
      </c>
      <c r="L83" s="187" t="s">
        <v>658</v>
      </c>
      <c r="N83" s="211"/>
      <c r="R83" s="274"/>
    </row>
    <row r="84" spans="1:18">
      <c r="A84" s="3">
        <v>57</v>
      </c>
      <c r="B84" s="184"/>
      <c r="C84" s="187"/>
      <c r="D84" s="187"/>
      <c r="E84" s="187" t="s">
        <v>464</v>
      </c>
      <c r="F84" s="187"/>
      <c r="G84" s="187"/>
      <c r="I84" s="191"/>
      <c r="K84" s="332">
        <v>96844424</v>
      </c>
      <c r="L84" s="187" t="s">
        <v>661</v>
      </c>
      <c r="N84" s="211"/>
    </row>
    <row r="85" spans="1:18">
      <c r="A85" s="3">
        <v>58</v>
      </c>
      <c r="B85" s="184"/>
      <c r="C85" s="187"/>
      <c r="D85" s="187"/>
      <c r="E85" s="187" t="s">
        <v>465</v>
      </c>
      <c r="F85" s="187"/>
      <c r="G85" s="187"/>
      <c r="I85" s="191"/>
      <c r="K85" s="333">
        <v>0</v>
      </c>
      <c r="L85" s="190" t="s">
        <v>662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466</v>
      </c>
      <c r="G86" s="187"/>
      <c r="I86" s="194"/>
      <c r="J86" s="96"/>
      <c r="K86" s="290">
        <f>K82-K83-K84+K85</f>
        <v>671672464</v>
      </c>
      <c r="L86" s="207" t="s">
        <v>478</v>
      </c>
      <c r="M86" s="207"/>
      <c r="N86" s="7"/>
    </row>
    <row r="87" spans="1:18">
      <c r="A87" s="3">
        <v>60</v>
      </c>
      <c r="B87" s="184"/>
      <c r="C87" s="201" t="s">
        <v>467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527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528</v>
      </c>
      <c r="G89" s="199"/>
      <c r="H89" s="202"/>
      <c r="I89" s="202"/>
      <c r="J89"/>
      <c r="K89"/>
      <c r="M89" s="204" t="s">
        <v>473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468</v>
      </c>
      <c r="G90"/>
      <c r="H90"/>
      <c r="I90" s="346">
        <v>0.1057</v>
      </c>
      <c r="J90" s="202"/>
      <c r="K90" s="271"/>
      <c r="L90"/>
      <c r="M90" t="s">
        <v>637</v>
      </c>
      <c r="N90"/>
    </row>
    <row r="91" spans="1:18">
      <c r="A91" s="3">
        <v>64</v>
      </c>
      <c r="B91" s="187"/>
      <c r="C91" s="187" t="s">
        <v>484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1" t="s">
        <v>483</v>
      </c>
    </row>
  </sheetData>
  <phoneticPr fontId="0" type="noConversion"/>
  <pageMargins left="0.41" right="0" top="0.5" bottom="0" header="0.5" footer="0.25"/>
  <pageSetup scale="46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topLeftCell="A4" zoomScale="80" zoomScaleNormal="80" workbookViewId="0">
      <selection activeCell="C33" sqref="C33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93</v>
      </c>
    </row>
    <row r="6" spans="1:15">
      <c r="A6" s="2"/>
      <c r="B6" s="23" t="s">
        <v>197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94</v>
      </c>
    </row>
    <row r="7" spans="1:15">
      <c r="B7" s="98" t="str">
        <f>+'5 alloc.'!B6</f>
        <v>Forecast</v>
      </c>
      <c r="M7" s="5" t="s">
        <v>328</v>
      </c>
    </row>
    <row r="8" spans="1:15">
      <c r="B8" s="198">
        <f>+'5 alloc.'!B7</f>
        <v>2018</v>
      </c>
      <c r="C8" s="205"/>
      <c r="M8" s="5" t="s">
        <v>547</v>
      </c>
    </row>
    <row r="9" spans="1:15">
      <c r="A9" s="96"/>
      <c r="B9" s="205"/>
      <c r="C9" s="205"/>
    </row>
    <row r="10" spans="1:15">
      <c r="A10" s="5"/>
      <c r="C10" s="25" t="s">
        <v>60</v>
      </c>
      <c r="D10" s="25" t="s">
        <v>56</v>
      </c>
      <c r="F10" s="29" t="s">
        <v>58</v>
      </c>
      <c r="G10" s="25" t="s">
        <v>181</v>
      </c>
      <c r="I10" s="29" t="s">
        <v>182</v>
      </c>
      <c r="J10" s="25" t="s">
        <v>183</v>
      </c>
      <c r="L10" s="29" t="s">
        <v>184</v>
      </c>
    </row>
    <row r="11" spans="1:15">
      <c r="A11" s="12"/>
      <c r="D11" s="23" t="s">
        <v>57</v>
      </c>
      <c r="E11" s="7"/>
      <c r="F11" s="23" t="s">
        <v>177</v>
      </c>
      <c r="G11" s="23" t="s">
        <v>57</v>
      </c>
      <c r="H11" s="7"/>
      <c r="I11" s="23" t="s">
        <v>114</v>
      </c>
      <c r="J11" s="23" t="s">
        <v>57</v>
      </c>
      <c r="K11" s="7"/>
      <c r="L11" s="23" t="s">
        <v>115</v>
      </c>
      <c r="M11" s="7"/>
      <c r="N11" s="7"/>
      <c r="O11" s="7"/>
    </row>
    <row r="12" spans="1:15">
      <c r="A12" s="5" t="s">
        <v>59</v>
      </c>
      <c r="D12" s="23" t="s">
        <v>61</v>
      </c>
      <c r="F12" s="30" t="s">
        <v>147</v>
      </c>
      <c r="G12" s="23" t="s">
        <v>61</v>
      </c>
      <c r="I12" s="30" t="s">
        <v>147</v>
      </c>
      <c r="J12" s="23" t="s">
        <v>61</v>
      </c>
      <c r="L12" s="30" t="s">
        <v>147</v>
      </c>
      <c r="M12" s="30" t="s">
        <v>62</v>
      </c>
    </row>
    <row r="13" spans="1:15">
      <c r="A13" s="6" t="s">
        <v>63</v>
      </c>
      <c r="C13" s="31" t="s">
        <v>64</v>
      </c>
      <c r="D13" s="31" t="s">
        <v>65</v>
      </c>
      <c r="F13" s="31" t="s">
        <v>66</v>
      </c>
      <c r="G13" s="31" t="s">
        <v>65</v>
      </c>
      <c r="I13" s="31" t="s">
        <v>66</v>
      </c>
      <c r="J13" s="31" t="s">
        <v>65</v>
      </c>
      <c r="L13" s="31" t="s">
        <v>66</v>
      </c>
      <c r="M13" s="31" t="s">
        <v>67</v>
      </c>
    </row>
    <row r="14" spans="1:15">
      <c r="B14" s="13" t="s">
        <v>151</v>
      </c>
    </row>
    <row r="15" spans="1:15">
      <c r="A15" s="3">
        <v>1</v>
      </c>
      <c r="B15" s="3" t="s">
        <v>151</v>
      </c>
      <c r="C15" s="38">
        <f>+'6 Dist alloc.'!C65</f>
        <v>816559384.69230783</v>
      </c>
      <c r="D15" s="32">
        <f>+'6 Dist alloc.'!D$69</f>
        <v>0.16359243906052576</v>
      </c>
      <c r="E15" s="96" t="s">
        <v>170</v>
      </c>
      <c r="F15" s="111">
        <f>+C15*D15</f>
        <v>133582941.37957677</v>
      </c>
      <c r="G15" s="32">
        <f>+'6 Dist alloc.'!E$69</f>
        <v>0.54221620662213121</v>
      </c>
      <c r="H15" s="96" t="s">
        <v>179</v>
      </c>
      <c r="I15" s="111">
        <f>+C15*G15</f>
        <v>442751732.04956472</v>
      </c>
      <c r="J15" s="32">
        <f>+'6 Dist alloc.'!F$69</f>
        <v>5.0975292181409733E-2</v>
      </c>
      <c r="K15" s="96" t="s">
        <v>180</v>
      </c>
      <c r="L15" s="111">
        <f>+C15*J15</f>
        <v>41624353.218162544</v>
      </c>
      <c r="M15" s="3" t="s">
        <v>517</v>
      </c>
    </row>
    <row r="16" spans="1:15">
      <c r="A16" s="3">
        <f>1+A15</f>
        <v>2</v>
      </c>
      <c r="B16" s="3" t="s">
        <v>160</v>
      </c>
      <c r="C16" s="99">
        <f>+'5 alloc.'!D43</f>
        <v>133805945.03615388</v>
      </c>
      <c r="D16" s="32">
        <f>+'5 alloc.'!D$24</f>
        <v>7.9526390524775697E-2</v>
      </c>
      <c r="E16" s="3" t="s">
        <v>1</v>
      </c>
      <c r="F16" s="33">
        <f>ROUND(C16*D16,0)</f>
        <v>10641104</v>
      </c>
      <c r="G16" s="32">
        <f>+'5 alloc.'!E$24</f>
        <v>0.48852863986346423</v>
      </c>
      <c r="H16" s="3" t="s">
        <v>1</v>
      </c>
      <c r="I16" s="33">
        <f>ROUND(C16*G16,0)</f>
        <v>65368036</v>
      </c>
      <c r="J16" s="32">
        <f>+'5 alloc.'!F$24</f>
        <v>1.2645573789369455E-2</v>
      </c>
      <c r="K16" s="3" t="s">
        <v>1</v>
      </c>
      <c r="L16" s="33">
        <f>ROUND(C16*J16,0)</f>
        <v>1692053</v>
      </c>
      <c r="M16" s="3" t="s">
        <v>519</v>
      </c>
    </row>
    <row r="17" spans="1:13" ht="15.75" thickBot="1">
      <c r="A17" s="3">
        <f t="shared" ref="A17:A49" si="0">1+A16</f>
        <v>3</v>
      </c>
      <c r="B17" s="3" t="s">
        <v>68</v>
      </c>
      <c r="C17" s="18"/>
      <c r="D17" s="8"/>
      <c r="F17" s="112">
        <f>F15+F16</f>
        <v>144224045.37957677</v>
      </c>
      <c r="G17" s="8"/>
      <c r="I17" s="112">
        <f>I15+I16</f>
        <v>508119768.04956472</v>
      </c>
      <c r="J17" s="8"/>
      <c r="L17" s="112">
        <f>L15+L16</f>
        <v>43316406.218162544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152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153</v>
      </c>
      <c r="C20" s="237">
        <f>+'12 13 mo avg accu dep'!C29</f>
        <v>304200352.69230771</v>
      </c>
      <c r="D20" s="32">
        <f>+'6 Dist alloc.'!D$69</f>
        <v>0.16359243906052576</v>
      </c>
      <c r="E20" s="96" t="s">
        <v>170</v>
      </c>
      <c r="F20" s="18">
        <f>ROUND(C20*D20,0)</f>
        <v>49764878</v>
      </c>
      <c r="G20" s="32">
        <f>+'6 Dist alloc.'!E$69</f>
        <v>0.54221620662213121</v>
      </c>
      <c r="H20" s="96" t="s">
        <v>179</v>
      </c>
      <c r="I20" s="18">
        <f>ROUND(C20*G20,0)</f>
        <v>164942361</v>
      </c>
      <c r="J20" s="32">
        <f>+'6 Dist alloc.'!F$69</f>
        <v>5.0975292181409733E-2</v>
      </c>
      <c r="K20" s="96" t="s">
        <v>180</v>
      </c>
      <c r="L20" s="18">
        <f>ROUND(C20*J20,0)</f>
        <v>15506702</v>
      </c>
      <c r="M20" s="3" t="s">
        <v>520</v>
      </c>
    </row>
    <row r="21" spans="1:13">
      <c r="A21" s="3">
        <f t="shared" si="0"/>
        <v>6</v>
      </c>
      <c r="B21" s="3" t="s">
        <v>523</v>
      </c>
      <c r="C21" s="237">
        <f>+'12 13 mo avg accu dep'!C46</f>
        <v>38363963.940769203</v>
      </c>
      <c r="D21" s="32">
        <f>+'5 alloc.'!D$24</f>
        <v>7.9526390524775697E-2</v>
      </c>
      <c r="E21" s="3" t="s">
        <v>1</v>
      </c>
      <c r="F21" s="33">
        <f>ROUND(C21*D21,0)</f>
        <v>3050948</v>
      </c>
      <c r="G21" s="32">
        <f>+'5 alloc.'!E$24</f>
        <v>0.48852863986346423</v>
      </c>
      <c r="H21" s="3" t="s">
        <v>1</v>
      </c>
      <c r="I21" s="33">
        <f>ROUND(C21*G21,0)</f>
        <v>18741895</v>
      </c>
      <c r="J21" s="32">
        <f>+'5 alloc.'!F$24</f>
        <v>1.2645573789369455E-2</v>
      </c>
      <c r="K21" s="3" t="s">
        <v>1</v>
      </c>
      <c r="L21" s="33">
        <f>ROUND(C21*J21,0)</f>
        <v>485134</v>
      </c>
      <c r="M21" s="3" t="s">
        <v>521</v>
      </c>
    </row>
    <row r="22" spans="1:13" ht="15.75" thickBot="1">
      <c r="A22" s="3">
        <f t="shared" si="0"/>
        <v>7</v>
      </c>
      <c r="B22" s="3" t="s">
        <v>358</v>
      </c>
      <c r="C22" s="95"/>
      <c r="D22" s="32"/>
      <c r="F22" s="112">
        <f>F20+F21</f>
        <v>52815826</v>
      </c>
      <c r="G22" s="32"/>
      <c r="I22" s="112">
        <f>I20+I21</f>
        <v>183684256</v>
      </c>
      <c r="J22" s="32"/>
      <c r="L22" s="112">
        <f>L20+L21</f>
        <v>15991836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154</v>
      </c>
      <c r="C24" s="236"/>
      <c r="F24" s="17"/>
      <c r="I24" s="17"/>
      <c r="L24" s="17"/>
    </row>
    <row r="25" spans="1:13">
      <c r="A25" s="3">
        <f t="shared" si="0"/>
        <v>9</v>
      </c>
      <c r="B25" s="96" t="s">
        <v>564</v>
      </c>
      <c r="C25" s="278"/>
      <c r="D25" s="238"/>
      <c r="E25" s="96"/>
      <c r="F25" s="239"/>
      <c r="G25" s="238"/>
      <c r="H25" s="96"/>
      <c r="I25" s="239"/>
      <c r="J25" s="238"/>
      <c r="K25" s="96"/>
      <c r="L25" s="239"/>
      <c r="M25" s="96"/>
    </row>
    <row r="26" spans="1:13">
      <c r="A26" s="3">
        <f t="shared" si="0"/>
        <v>10</v>
      </c>
      <c r="B26" s="26" t="s">
        <v>300</v>
      </c>
      <c r="C26" s="293">
        <f>-'13 ADIT '!E88</f>
        <v>394632173</v>
      </c>
      <c r="D26" s="32">
        <f>+'5 alloc.'!D$38</f>
        <v>8.1303315511373514E-2</v>
      </c>
      <c r="E26" s="3" t="s">
        <v>2</v>
      </c>
      <c r="F26" s="18">
        <f>ROUND(C26*D26,0)</f>
        <v>32084904</v>
      </c>
      <c r="G26" s="32">
        <f>+'5 alloc.'!E$38</f>
        <v>0.26947440588051313</v>
      </c>
      <c r="H26" s="3" t="s">
        <v>2</v>
      </c>
      <c r="I26" s="18">
        <f>ROUND(C26*G26,0)</f>
        <v>106343270</v>
      </c>
      <c r="J26" s="32">
        <f>+'5 alloc.'!F$38</f>
        <v>2.5334057535362279E-2</v>
      </c>
      <c r="K26" s="3" t="s">
        <v>2</v>
      </c>
      <c r="L26" s="18">
        <f>ROUND(C26*J26,0)</f>
        <v>9997634</v>
      </c>
      <c r="M26" s="3" t="s">
        <v>522</v>
      </c>
    </row>
    <row r="27" spans="1:13">
      <c r="A27" s="3">
        <f t="shared" si="0"/>
        <v>11</v>
      </c>
      <c r="B27" s="26" t="s">
        <v>301</v>
      </c>
      <c r="C27" s="138">
        <f>+-'13 ADIT '!E105</f>
        <v>0</v>
      </c>
      <c r="D27" s="32">
        <f>+'5 alloc.'!D$38</f>
        <v>8.1303315511373514E-2</v>
      </c>
      <c r="E27" s="3" t="s">
        <v>2</v>
      </c>
      <c r="F27" s="18">
        <f>ROUND(C27*D27,0)</f>
        <v>0</v>
      </c>
      <c r="G27" s="32">
        <f>+'5 alloc.'!E$38</f>
        <v>0.26947440588051313</v>
      </c>
      <c r="H27" s="3" t="s">
        <v>2</v>
      </c>
      <c r="I27" s="18">
        <f>ROUND(C27*G27,0)</f>
        <v>0</v>
      </c>
      <c r="J27" s="32">
        <f>+'5 alloc.'!F$38</f>
        <v>2.5334057535362279E-2</v>
      </c>
      <c r="K27" s="3" t="s">
        <v>2</v>
      </c>
      <c r="L27" s="18">
        <f>ROUND(C27*J27,0)</f>
        <v>0</v>
      </c>
      <c r="M27" s="3" t="s">
        <v>522</v>
      </c>
    </row>
    <row r="28" spans="1:13">
      <c r="A28" s="3">
        <f t="shared" si="0"/>
        <v>12</v>
      </c>
      <c r="B28" s="3" t="s">
        <v>69</v>
      </c>
      <c r="C28" s="138">
        <f>+-'13 ADIT '!E122</f>
        <v>0</v>
      </c>
      <c r="D28" s="32">
        <f>+'5 alloc.'!D$38</f>
        <v>8.1303315511373514E-2</v>
      </c>
      <c r="E28" s="3" t="s">
        <v>2</v>
      </c>
      <c r="F28" s="74">
        <f>ROUND(C28*D28,0)</f>
        <v>0</v>
      </c>
      <c r="G28" s="32">
        <f>+'5 alloc.'!E$38</f>
        <v>0.26947440588051313</v>
      </c>
      <c r="H28" s="3" t="s">
        <v>2</v>
      </c>
      <c r="I28" s="74">
        <f>ROUND(C28*G28,0)</f>
        <v>0</v>
      </c>
      <c r="J28" s="32">
        <f>+'5 alloc.'!F$38</f>
        <v>2.5334057535362279E-2</v>
      </c>
      <c r="K28" s="3" t="s">
        <v>2</v>
      </c>
      <c r="L28" s="74">
        <f>ROUND(C28*J28,0)</f>
        <v>0</v>
      </c>
      <c r="M28" s="3" t="s">
        <v>522</v>
      </c>
    </row>
    <row r="29" spans="1:13" ht="15.75" thickBot="1">
      <c r="A29" s="3">
        <f t="shared" si="0"/>
        <v>13</v>
      </c>
      <c r="B29" s="3" t="s">
        <v>359</v>
      </c>
      <c r="C29" s="294">
        <f>SUM(C25:C28)</f>
        <v>394632173</v>
      </c>
      <c r="F29" s="113">
        <f>+C29*D28</f>
        <v>32084904.072357938</v>
      </c>
      <c r="I29" s="113">
        <f>+C29*G28</f>
        <v>106343270.36051087</v>
      </c>
      <c r="L29" s="113">
        <f>+C29*J28</f>
        <v>9997634.1760870405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155</v>
      </c>
      <c r="C31" s="237">
        <f>+'14 165 Prepayments'!E33</f>
        <v>6473785.8715384677</v>
      </c>
      <c r="D31" s="32">
        <f>+'5 alloc.'!D$24</f>
        <v>7.9526390524775697E-2</v>
      </c>
      <c r="E31" s="3" t="s">
        <v>1</v>
      </c>
      <c r="F31" s="17">
        <f>ROUND(C31*D31,0)</f>
        <v>514837</v>
      </c>
      <c r="G31" s="32">
        <f>+'5 alloc.'!E$24</f>
        <v>0.48852863986346423</v>
      </c>
      <c r="H31" s="3" t="s">
        <v>1</v>
      </c>
      <c r="I31" s="17">
        <f>ROUND(C31*G31,0)</f>
        <v>3162630</v>
      </c>
      <c r="J31" s="32">
        <f>+'5 alloc.'!F$24</f>
        <v>1.2645573789369455E-2</v>
      </c>
      <c r="K31" s="3" t="s">
        <v>1</v>
      </c>
      <c r="L31" s="17">
        <f>ROUND(C31*J31,0)</f>
        <v>81865</v>
      </c>
      <c r="M31" s="3" t="s">
        <v>636</v>
      </c>
    </row>
    <row r="32" spans="1:13">
      <c r="C32" s="18"/>
    </row>
    <row r="33" spans="1:13">
      <c r="A33" s="3">
        <v>15</v>
      </c>
      <c r="B33" s="34" t="s">
        <v>156</v>
      </c>
      <c r="C33" s="296">
        <f>AVERAGE(100067,70000)</f>
        <v>85033.5</v>
      </c>
      <c r="D33" s="32">
        <f>+'6 Dist alloc.'!D$69</f>
        <v>0.16359243906052576</v>
      </c>
      <c r="E33" s="96" t="s">
        <v>170</v>
      </c>
      <c r="F33" s="18">
        <f>ROUND(C33*D33,0)</f>
        <v>13911</v>
      </c>
      <c r="G33" s="32">
        <f>+'6 Dist alloc.'!E$69</f>
        <v>0.54221620662213121</v>
      </c>
      <c r="H33" s="96" t="s">
        <v>179</v>
      </c>
      <c r="I33" s="18">
        <f>ROUND(C33*G33,0)</f>
        <v>46107</v>
      </c>
      <c r="J33" s="32">
        <f>+'6 Dist alloc.'!F$69</f>
        <v>5.0975292181409733E-2</v>
      </c>
      <c r="K33" s="96" t="s">
        <v>180</v>
      </c>
      <c r="L33" s="18">
        <f>ROUND(C33*J33,0)</f>
        <v>4335</v>
      </c>
      <c r="M33" s="3" t="s">
        <v>729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12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25</v>
      </c>
      <c r="F36" s="17">
        <f>+'1 Rev Req'!E38</f>
        <v>4299020.8278728537</v>
      </c>
      <c r="I36" s="99">
        <f>+'1 Rev Req'!G38</f>
        <v>26408778.066334259</v>
      </c>
      <c r="J36" s="96"/>
      <c r="K36" s="96"/>
      <c r="L36" s="99">
        <f>+'1 Rev Req'!I38</f>
        <v>683591.75793305831</v>
      </c>
      <c r="M36" s="96" t="s">
        <v>321</v>
      </c>
    </row>
    <row r="37" spans="1:13">
      <c r="A37" s="3">
        <f t="shared" si="0"/>
        <v>18</v>
      </c>
      <c r="B37" s="36" t="s">
        <v>27</v>
      </c>
      <c r="C37" s="22"/>
      <c r="D37" s="135"/>
      <c r="E37" s="135"/>
      <c r="F37" s="17">
        <f>+'1 Rev Req'!E39</f>
        <v>3349158</v>
      </c>
      <c r="G37" s="135"/>
      <c r="H37" s="135"/>
      <c r="I37" s="99">
        <f>+'1 Rev Req'!G39</f>
        <v>20573795</v>
      </c>
      <c r="J37" s="138"/>
      <c r="K37" s="138"/>
      <c r="L37" s="99">
        <f>+'1 Rev Req'!I39</f>
        <v>532553</v>
      </c>
      <c r="M37" s="96" t="s">
        <v>322</v>
      </c>
    </row>
    <row r="38" spans="1:13">
      <c r="A38" s="3">
        <f t="shared" si="0"/>
        <v>19</v>
      </c>
      <c r="B38" s="3" t="s">
        <v>360</v>
      </c>
      <c r="F38" s="114">
        <f>SUM(F36:F37)</f>
        <v>7648178.8278728537</v>
      </c>
      <c r="I38" s="114">
        <f>SUM(I36:I37)</f>
        <v>46982573.066334262</v>
      </c>
      <c r="J38" s="96"/>
      <c r="K38" s="96"/>
      <c r="L38" s="114">
        <f>SUM(L36:L37)</f>
        <v>1216144.7579330583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568</v>
      </c>
    </row>
    <row r="40" spans="1:13">
      <c r="A40" s="3">
        <v>21</v>
      </c>
      <c r="B40" s="3" t="s">
        <v>361</v>
      </c>
      <c r="C40" s="17"/>
      <c r="F40" s="114">
        <f>ROUND(+F38*F39,4)</f>
        <v>956022.35349999997</v>
      </c>
      <c r="I40" s="114">
        <f>ROUND(+I38*I39,4)</f>
        <v>5872821.6332999999</v>
      </c>
      <c r="L40" s="114">
        <f>ROUND(+L38*L39,4)</f>
        <v>152018.09469999999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96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45" orientation="portrait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C1" zoomScale="80" zoomScaleNormal="80" zoomScaleSheetLayoutView="100" workbookViewId="0">
      <selection activeCell="I29" sqref="I29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93</v>
      </c>
    </row>
    <row r="6" spans="1:15">
      <c r="B6" s="23" t="s">
        <v>196</v>
      </c>
    </row>
    <row r="7" spans="1:15">
      <c r="A7" s="2"/>
      <c r="B7" s="98" t="str">
        <f>+'5 alloc.'!B6</f>
        <v>Forecast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>
        <f>+'5 alloc.'!B7</f>
        <v>2018</v>
      </c>
      <c r="C8" s="205"/>
      <c r="E8" s="96"/>
      <c r="F8" s="96"/>
      <c r="G8" s="96"/>
      <c r="H8" s="96"/>
      <c r="I8" s="96"/>
      <c r="J8" s="96"/>
      <c r="K8" s="96"/>
      <c r="L8" s="96"/>
      <c r="M8" s="5" t="s">
        <v>94</v>
      </c>
    </row>
    <row r="9" spans="1:15">
      <c r="A9" s="2"/>
      <c r="B9" s="198"/>
      <c r="C9" s="205"/>
      <c r="E9" s="96"/>
      <c r="F9" s="96"/>
      <c r="G9" s="96"/>
      <c r="H9" s="96"/>
      <c r="I9" s="96"/>
      <c r="J9" s="96"/>
      <c r="K9" s="96"/>
      <c r="L9" s="96"/>
      <c r="M9" s="5" t="s">
        <v>328</v>
      </c>
    </row>
    <row r="10" spans="1:15">
      <c r="M10" s="5" t="s">
        <v>546</v>
      </c>
    </row>
    <row r="11" spans="1:15">
      <c r="A11" s="5"/>
      <c r="D11" s="25"/>
    </row>
    <row r="12" spans="1:15">
      <c r="A12" s="5"/>
      <c r="C12" s="25" t="s">
        <v>60</v>
      </c>
      <c r="D12" s="25" t="s">
        <v>56</v>
      </c>
      <c r="F12" s="29" t="s">
        <v>58</v>
      </c>
      <c r="G12" s="25" t="s">
        <v>181</v>
      </c>
      <c r="I12" s="29" t="s">
        <v>182</v>
      </c>
      <c r="J12" s="25" t="s">
        <v>183</v>
      </c>
      <c r="L12" s="29" t="s">
        <v>184</v>
      </c>
    </row>
    <row r="13" spans="1:15">
      <c r="A13" s="12"/>
      <c r="D13" s="23" t="s">
        <v>57</v>
      </c>
      <c r="E13" s="7"/>
      <c r="F13" s="23" t="s">
        <v>177</v>
      </c>
      <c r="G13" s="23" t="s">
        <v>57</v>
      </c>
      <c r="H13" s="7"/>
      <c r="I13" s="23" t="s">
        <v>114</v>
      </c>
      <c r="J13" s="23" t="s">
        <v>57</v>
      </c>
      <c r="K13" s="7"/>
      <c r="L13" s="23" t="s">
        <v>115</v>
      </c>
      <c r="M13" s="7"/>
      <c r="N13" s="7"/>
      <c r="O13" s="7"/>
    </row>
    <row r="14" spans="1:15">
      <c r="A14" s="5" t="s">
        <v>59</v>
      </c>
      <c r="C14" s="25"/>
      <c r="D14" s="23" t="s">
        <v>61</v>
      </c>
      <c r="F14" s="30" t="s">
        <v>147</v>
      </c>
      <c r="G14" s="23" t="s">
        <v>61</v>
      </c>
      <c r="I14" s="30" t="s">
        <v>147</v>
      </c>
      <c r="J14" s="23" t="s">
        <v>61</v>
      </c>
      <c r="L14" s="30" t="s">
        <v>147</v>
      </c>
      <c r="M14" s="30" t="s">
        <v>62</v>
      </c>
    </row>
    <row r="15" spans="1:15">
      <c r="A15" s="6" t="s">
        <v>63</v>
      </c>
      <c r="C15" s="31" t="s">
        <v>64</v>
      </c>
      <c r="D15" s="31" t="s">
        <v>65</v>
      </c>
      <c r="F15" s="31" t="s">
        <v>66</v>
      </c>
      <c r="G15" s="31" t="s">
        <v>65</v>
      </c>
      <c r="I15" s="31" t="s">
        <v>66</v>
      </c>
      <c r="J15" s="31" t="s">
        <v>65</v>
      </c>
      <c r="L15" s="31" t="s">
        <v>66</v>
      </c>
      <c r="M15" s="31" t="s">
        <v>67</v>
      </c>
    </row>
    <row r="16" spans="1:15">
      <c r="B16" s="13" t="s">
        <v>17</v>
      </c>
    </row>
    <row r="17" spans="1:13">
      <c r="A17" s="3">
        <v>1</v>
      </c>
      <c r="B17" s="3" t="s">
        <v>428</v>
      </c>
      <c r="C17" s="234">
        <v>17519823</v>
      </c>
      <c r="D17" s="32">
        <f>+'6 Dist alloc.'!D$69</f>
        <v>0.16359243906052576</v>
      </c>
      <c r="E17" s="96" t="s">
        <v>170</v>
      </c>
      <c r="F17" s="100">
        <f>ROUND(C17*D17,0)</f>
        <v>2866111</v>
      </c>
      <c r="G17" s="32">
        <f>+'6 Dist alloc.'!E$69</f>
        <v>0.54221620662213121</v>
      </c>
      <c r="H17" s="96" t="s">
        <v>179</v>
      </c>
      <c r="I17" s="100">
        <f>ROUND(C17*G17,0)</f>
        <v>9499532</v>
      </c>
      <c r="J17" s="32">
        <f>+'6 Dist alloc.'!F$69</f>
        <v>5.0975292181409733E-2</v>
      </c>
      <c r="K17" s="96" t="s">
        <v>180</v>
      </c>
      <c r="L17" s="100">
        <f>ROUND(C17*J17,0)</f>
        <v>893078</v>
      </c>
      <c r="M17" s="3" t="s">
        <v>161</v>
      </c>
    </row>
    <row r="18" spans="1:13">
      <c r="A18" s="3">
        <f>1+A17</f>
        <v>2</v>
      </c>
      <c r="B18" s="3" t="s">
        <v>70</v>
      </c>
      <c r="C18" s="233">
        <v>6235387</v>
      </c>
      <c r="D18" s="32">
        <f>+'5 alloc.'!$D$24</f>
        <v>7.9526390524775697E-2</v>
      </c>
      <c r="E18" s="3" t="s">
        <v>1</v>
      </c>
      <c r="F18" s="33">
        <f>ROUND(C18*D18,0)</f>
        <v>495878</v>
      </c>
      <c r="G18" s="32">
        <f>+'5 alloc.'!E$24</f>
        <v>0.48852863986346423</v>
      </c>
      <c r="H18" s="3" t="s">
        <v>1</v>
      </c>
      <c r="I18" s="33">
        <f>ROUND(C18*G18,0)</f>
        <v>3046165</v>
      </c>
      <c r="J18" s="32">
        <f>+'5 alloc.'!F$24</f>
        <v>1.2645573789369455E-2</v>
      </c>
      <c r="K18" s="3" t="s">
        <v>1</v>
      </c>
      <c r="L18" s="33">
        <f>ROUND(C18*J18,0)</f>
        <v>78850</v>
      </c>
      <c r="M18" s="3" t="s">
        <v>90</v>
      </c>
    </row>
    <row r="19" spans="1:13">
      <c r="A19" s="3">
        <f t="shared" ref="A19:A65" si="0">1+A18</f>
        <v>3</v>
      </c>
      <c r="B19" s="3" t="s">
        <v>68</v>
      </c>
      <c r="C19" s="18"/>
      <c r="D19" s="8"/>
      <c r="F19" s="100">
        <f>F17+F18</f>
        <v>3361989</v>
      </c>
      <c r="G19" s="8"/>
      <c r="I19" s="100">
        <f>I17+I18</f>
        <v>12545697</v>
      </c>
      <c r="J19" s="8"/>
      <c r="L19" s="100">
        <f>L17+L18</f>
        <v>971928</v>
      </c>
    </row>
    <row r="20" spans="1:13">
      <c r="F20" s="17"/>
      <c r="I20" s="17"/>
      <c r="L20" s="17"/>
    </row>
    <row r="21" spans="1:13">
      <c r="A21" s="3">
        <v>4</v>
      </c>
      <c r="B21" s="34" t="s">
        <v>71</v>
      </c>
      <c r="C21" s="235">
        <v>187137</v>
      </c>
      <c r="D21" s="32">
        <f>+'5 alloc.'!D$38</f>
        <v>8.1303315511373514E-2</v>
      </c>
      <c r="E21" s="3" t="s">
        <v>2</v>
      </c>
      <c r="F21" s="17">
        <f>ROUND(C21*D21,0)</f>
        <v>15215</v>
      </c>
      <c r="G21" s="32">
        <f>+'5 alloc.'!E$38</f>
        <v>0.26947440588051313</v>
      </c>
      <c r="H21" s="3" t="s">
        <v>2</v>
      </c>
      <c r="I21" s="17">
        <f>ROUND(C21*G21,0)</f>
        <v>50429</v>
      </c>
      <c r="J21" s="32">
        <f>+'5 alloc.'!F$38</f>
        <v>2.5334057535362279E-2</v>
      </c>
      <c r="K21" s="3" t="s">
        <v>2</v>
      </c>
      <c r="L21" s="17">
        <f>ROUND(C21*J21,0)</f>
        <v>4741</v>
      </c>
      <c r="M21" s="3" t="s">
        <v>72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95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148</v>
      </c>
      <c r="C24" s="99">
        <f>+C62</f>
        <v>29161719</v>
      </c>
      <c r="D24" s="32">
        <f>+'5 alloc.'!D$38</f>
        <v>8.1303315511373514E-2</v>
      </c>
      <c r="E24" s="3" t="s">
        <v>2</v>
      </c>
      <c r="F24" s="17">
        <f>ROUND(C24*D24,0)</f>
        <v>2370944</v>
      </c>
      <c r="G24" s="32">
        <f>+'5 alloc.'!E$38</f>
        <v>0.26947440588051313</v>
      </c>
      <c r="H24" s="3" t="s">
        <v>2</v>
      </c>
      <c r="I24" s="17">
        <f>ROUND(C24*G24,0)</f>
        <v>7858337</v>
      </c>
      <c r="J24" s="32">
        <f>+'5 alloc.'!F$38</f>
        <v>2.5334057535362279E-2</v>
      </c>
      <c r="K24" s="3" t="s">
        <v>2</v>
      </c>
      <c r="L24" s="17">
        <f>ROUND(C24*J24,0)</f>
        <v>738785</v>
      </c>
      <c r="M24" s="3" t="s">
        <v>317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149</v>
      </c>
      <c r="C26" s="114"/>
      <c r="D26" s="22"/>
      <c r="F26" s="112">
        <f>+'6 Dist alloc.'!D43</f>
        <v>4299020.8278728537</v>
      </c>
      <c r="G26" s="22"/>
      <c r="I26" s="112">
        <f>+'6 Dist alloc.'!E43</f>
        <v>26408778.066334259</v>
      </c>
      <c r="J26" s="22"/>
      <c r="L26" s="112">
        <f>+'6 Dist alloc.'!F43</f>
        <v>683591.75793305831</v>
      </c>
      <c r="M26" s="3" t="s">
        <v>357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150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73</v>
      </c>
      <c r="C29" s="233">
        <v>40250742</v>
      </c>
      <c r="M29" s="3" t="s">
        <v>87</v>
      </c>
    </row>
    <row r="30" spans="1:13">
      <c r="A30" s="3">
        <f t="shared" si="0"/>
        <v>10</v>
      </c>
      <c r="B30" s="2" t="s">
        <v>203</v>
      </c>
      <c r="C30" s="344">
        <v>0</v>
      </c>
      <c r="M30" s="2" t="s">
        <v>91</v>
      </c>
    </row>
    <row r="31" spans="1:13">
      <c r="A31" s="3">
        <f t="shared" si="0"/>
        <v>11</v>
      </c>
      <c r="B31" s="2" t="s">
        <v>74</v>
      </c>
      <c r="C31" s="233">
        <v>235263</v>
      </c>
      <c r="M31" s="2" t="s">
        <v>88</v>
      </c>
    </row>
    <row r="32" spans="1:13">
      <c r="A32" s="3">
        <f t="shared" si="0"/>
        <v>12</v>
      </c>
      <c r="B32" s="35" t="s">
        <v>75</v>
      </c>
      <c r="C32" s="260">
        <v>82515</v>
      </c>
      <c r="M32" s="2" t="s">
        <v>89</v>
      </c>
    </row>
    <row r="33" spans="1:19">
      <c r="A33" s="3">
        <f t="shared" si="0"/>
        <v>13</v>
      </c>
      <c r="B33" s="2" t="s">
        <v>355</v>
      </c>
      <c r="C33" s="100">
        <f>+C29-C30-C31-C32</f>
        <v>39932964</v>
      </c>
      <c r="D33" s="32">
        <f>+'5 alloc.'!D$24</f>
        <v>7.9526390524775697E-2</v>
      </c>
      <c r="E33" s="3" t="s">
        <v>1</v>
      </c>
      <c r="F33" s="33">
        <f>ROUND(C33*D33,0)</f>
        <v>3175724</v>
      </c>
      <c r="G33" s="32">
        <f>+'5 alloc.'!E$24</f>
        <v>0.48852863986346423</v>
      </c>
      <c r="H33" s="3" t="s">
        <v>1</v>
      </c>
      <c r="I33" s="33">
        <f>ROUND(C33*G33,0)</f>
        <v>19508397</v>
      </c>
      <c r="J33" s="32">
        <f>+'5 alloc.'!F$24</f>
        <v>1.2645573789369455E-2</v>
      </c>
      <c r="K33" s="3" t="s">
        <v>1</v>
      </c>
      <c r="L33" s="33">
        <f>ROUND(C33*J33,0)</f>
        <v>504975</v>
      </c>
    </row>
    <row r="34" spans="1:19">
      <c r="A34" s="3">
        <f t="shared" si="0"/>
        <v>14</v>
      </c>
      <c r="B34" s="2" t="s">
        <v>516</v>
      </c>
      <c r="C34" s="345">
        <v>2180830</v>
      </c>
      <c r="D34" s="269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356</v>
      </c>
      <c r="C35" s="113">
        <f>+C33+C34</f>
        <v>42113794</v>
      </c>
      <c r="D35" s="32">
        <f>+'5 alloc.'!D$24</f>
        <v>7.9526390524775697E-2</v>
      </c>
      <c r="E35" s="3" t="s">
        <v>1</v>
      </c>
      <c r="F35" s="113">
        <f>ROUND(D35*C35,0)</f>
        <v>3349158</v>
      </c>
      <c r="G35" s="32">
        <f>+'5 alloc.'!E$24</f>
        <v>0.48852863986346423</v>
      </c>
      <c r="H35" s="3" t="s">
        <v>1</v>
      </c>
      <c r="I35" s="113">
        <f>ROUND(G35*C35,0)</f>
        <v>20573795</v>
      </c>
      <c r="J35" s="32">
        <f>+'5 alloc.'!F$24</f>
        <v>1.2645573789369455E-2</v>
      </c>
      <c r="K35" s="3" t="s">
        <v>1</v>
      </c>
      <c r="L35" s="113">
        <f>ROUND(J35*C35,0)</f>
        <v>532553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24</v>
      </c>
      <c r="C37" s="17">
        <f>+C53</f>
        <v>2486054</v>
      </c>
      <c r="D37" s="32">
        <f>+'5 alloc.'!D$24</f>
        <v>7.9526390524775697E-2</v>
      </c>
      <c r="E37" s="3" t="s">
        <v>1</v>
      </c>
      <c r="F37" s="112">
        <f>ROUND(C37*D37,0)</f>
        <v>197707</v>
      </c>
      <c r="G37" s="32">
        <f>+'5 alloc.'!E$24</f>
        <v>0.48852863986346423</v>
      </c>
      <c r="H37" s="3" t="s">
        <v>1</v>
      </c>
      <c r="I37" s="112">
        <f>ROUND(C37*G37,0)</f>
        <v>1214509</v>
      </c>
      <c r="J37" s="32">
        <f>+'5 alloc.'!F$24</f>
        <v>1.2645573789369455E-2</v>
      </c>
      <c r="K37" s="3" t="s">
        <v>1</v>
      </c>
      <c r="L37" s="112">
        <f>ROUND(C37*J37,0)</f>
        <v>31438</v>
      </c>
      <c r="M37" s="3" t="s">
        <v>481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96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588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76</v>
      </c>
      <c r="C49" s="291">
        <v>0</v>
      </c>
      <c r="D49" s="292"/>
      <c r="F49" s="3" t="s">
        <v>580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77</v>
      </c>
      <c r="C50" s="330">
        <v>2482054</v>
      </c>
      <c r="D50" s="26"/>
      <c r="F50" s="3" t="s">
        <v>579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78</v>
      </c>
      <c r="C51" s="291">
        <v>4000</v>
      </c>
      <c r="D51" s="292"/>
      <c r="F51" s="3" t="s">
        <v>581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97</v>
      </c>
      <c r="C52" s="264">
        <v>0</v>
      </c>
      <c r="D52" s="26"/>
      <c r="F52" s="3" t="s">
        <v>578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79</v>
      </c>
      <c r="C53" s="178">
        <f>SUM(C49:C52)</f>
        <v>2486054</v>
      </c>
      <c r="D53" s="3" t="s">
        <v>372</v>
      </c>
      <c r="F53" s="258"/>
      <c r="G53" s="17"/>
      <c r="H53" s="17"/>
      <c r="I53" s="17"/>
      <c r="J53" s="17"/>
      <c r="K53" s="17"/>
      <c r="L53" s="17"/>
    </row>
    <row r="54" spans="1:12">
      <c r="D54" s="26"/>
      <c r="F54" s="258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193</v>
      </c>
      <c r="C55" s="106"/>
      <c r="D55" s="26"/>
      <c r="F55" s="258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100</v>
      </c>
      <c r="C56" s="331">
        <v>236607</v>
      </c>
      <c r="D56" s="26"/>
      <c r="F56" s="3" t="s">
        <v>582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101</v>
      </c>
      <c r="C57" s="330">
        <v>42414</v>
      </c>
      <c r="F57" s="3" t="s">
        <v>583</v>
      </c>
    </row>
    <row r="58" spans="1:12">
      <c r="A58" s="3">
        <f t="shared" si="0"/>
        <v>34</v>
      </c>
      <c r="B58" s="3" t="s">
        <v>102</v>
      </c>
      <c r="C58" s="330">
        <v>154102</v>
      </c>
      <c r="D58" s="26"/>
      <c r="F58" s="3" t="s">
        <v>584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327</v>
      </c>
      <c r="C59" s="330">
        <v>64298</v>
      </c>
      <c r="D59" s="26"/>
      <c r="F59" s="3" t="s">
        <v>585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103</v>
      </c>
      <c r="C60" s="330">
        <v>54087</v>
      </c>
      <c r="D60" s="26"/>
      <c r="F60" s="3" t="s">
        <v>586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104</v>
      </c>
      <c r="C61" s="362">
        <f>28818400-C58-C60</f>
        <v>28610211</v>
      </c>
      <c r="D61" s="134"/>
      <c r="E61" s="134"/>
      <c r="F61" s="3" t="s">
        <v>587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105</v>
      </c>
      <c r="C62" s="178">
        <f>SUM(C56:C61)</f>
        <v>29161719</v>
      </c>
      <c r="D62" s="3" t="s">
        <v>329</v>
      </c>
      <c r="F62" s="259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430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70" t="s">
        <v>515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65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65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43" orientation="portrait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="80" zoomScaleNormal="80" workbookViewId="0">
      <selection activeCell="B7" sqref="B7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93</v>
      </c>
    </row>
    <row r="5" spans="1:10">
      <c r="B5" s="23" t="s">
        <v>98</v>
      </c>
    </row>
    <row r="6" spans="1:10">
      <c r="B6" s="213" t="s">
        <v>730</v>
      </c>
    </row>
    <row r="7" spans="1:10">
      <c r="B7" s="213">
        <v>2018</v>
      </c>
      <c r="G7" s="5" t="s">
        <v>94</v>
      </c>
    </row>
    <row r="8" spans="1:10">
      <c r="B8" s="205"/>
      <c r="C8" s="205"/>
      <c r="G8" s="5" t="s">
        <v>328</v>
      </c>
    </row>
    <row r="9" spans="1:10">
      <c r="B9" s="205"/>
      <c r="C9" s="205"/>
      <c r="G9" s="5" t="s">
        <v>545</v>
      </c>
    </row>
    <row r="11" spans="1:10">
      <c r="A11" s="36" t="s">
        <v>59</v>
      </c>
    </row>
    <row r="12" spans="1:10">
      <c r="A12" s="81" t="s">
        <v>63</v>
      </c>
      <c r="C12" s="8"/>
      <c r="D12" s="8"/>
      <c r="E12" s="8"/>
      <c r="F12" s="8"/>
      <c r="H12" s="11"/>
      <c r="I12" s="9"/>
    </row>
    <row r="13" spans="1:10">
      <c r="A13" s="12"/>
      <c r="G13" s="3" t="s">
        <v>80</v>
      </c>
      <c r="H13" s="7"/>
      <c r="I13" s="7"/>
    </row>
    <row r="14" spans="1:10">
      <c r="A14" s="23">
        <v>1</v>
      </c>
      <c r="B14" s="13" t="s">
        <v>109</v>
      </c>
      <c r="D14" s="123" t="s">
        <v>177</v>
      </c>
      <c r="E14" s="123" t="s">
        <v>114</v>
      </c>
      <c r="F14" s="123" t="s">
        <v>115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110</v>
      </c>
      <c r="D16" s="230">
        <v>13048909</v>
      </c>
      <c r="E16" s="139"/>
      <c r="F16" s="139"/>
      <c r="G16" s="3" t="s">
        <v>692</v>
      </c>
      <c r="H16" s="7"/>
      <c r="I16" s="16"/>
      <c r="J16" s="257"/>
    </row>
    <row r="17" spans="1:10">
      <c r="A17" s="23"/>
      <c r="D17" s="229"/>
      <c r="E17" s="99"/>
      <c r="F17" s="99"/>
      <c r="H17" s="7"/>
      <c r="I17" s="19"/>
      <c r="J17" s="256"/>
    </row>
    <row r="18" spans="1:10">
      <c r="A18" s="23">
        <v>3</v>
      </c>
      <c r="B18" s="3" t="s">
        <v>81</v>
      </c>
      <c r="D18" s="231">
        <v>34510221</v>
      </c>
      <c r="E18" s="107"/>
      <c r="F18" s="107"/>
      <c r="G18" s="3" t="s">
        <v>693</v>
      </c>
      <c r="H18" s="7"/>
      <c r="I18" s="16"/>
      <c r="J18" s="257"/>
    </row>
    <row r="19" spans="1:10">
      <c r="A19" s="23">
        <f>1+A18</f>
        <v>4</v>
      </c>
      <c r="B19" s="3" t="s">
        <v>82</v>
      </c>
      <c r="C19" s="7"/>
      <c r="D19" s="232">
        <v>12500157</v>
      </c>
      <c r="E19" s="106"/>
      <c r="F19" s="106"/>
      <c r="G19" s="3" t="s">
        <v>694</v>
      </c>
      <c r="H19" s="7"/>
      <c r="I19" s="16"/>
      <c r="J19" s="257"/>
    </row>
    <row r="20" spans="1:10">
      <c r="A20" s="23">
        <f>1+A19</f>
        <v>5</v>
      </c>
      <c r="B20" s="3" t="s">
        <v>99</v>
      </c>
      <c r="C20" s="23"/>
      <c r="D20" s="17">
        <f>D18-D19</f>
        <v>22010064</v>
      </c>
      <c r="E20" s="99"/>
      <c r="F20" s="99"/>
      <c r="G20" s="3" t="s">
        <v>347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198</v>
      </c>
      <c r="D22" s="20">
        <f>+D16/D20</f>
        <v>0.59286102030416632</v>
      </c>
      <c r="E22" s="20">
        <f>+D22</f>
        <v>0.59286102030416632</v>
      </c>
      <c r="F22" s="20">
        <f>+D22</f>
        <v>0.59286102030416632</v>
      </c>
      <c r="G22" s="3" t="s">
        <v>348</v>
      </c>
      <c r="H22" s="7"/>
      <c r="I22" s="21"/>
    </row>
    <row r="23" spans="1:10">
      <c r="A23" s="23">
        <f>1+A22</f>
        <v>7</v>
      </c>
      <c r="B23" s="96" t="s">
        <v>199</v>
      </c>
      <c r="D23" s="174">
        <f>+'6 Dist alloc.'!D45</f>
        <v>0.13414002236810041</v>
      </c>
      <c r="E23" s="174">
        <f>+'6 Dist alloc.'!E45</f>
        <v>0.82401882251058678</v>
      </c>
      <c r="F23" s="174">
        <f>+'6 Dist alloc.'!F45</f>
        <v>2.1329743997811942E-2</v>
      </c>
      <c r="G23" s="3" t="s">
        <v>176</v>
      </c>
      <c r="H23" s="7"/>
      <c r="I23" s="21"/>
    </row>
    <row r="24" spans="1:10" ht="16.5" thickBot="1">
      <c r="A24" s="23">
        <f>1+A23</f>
        <v>8</v>
      </c>
      <c r="B24" s="116" t="s">
        <v>204</v>
      </c>
      <c r="D24" s="129">
        <f>+D22*D23</f>
        <v>7.9526390524775697E-2</v>
      </c>
      <c r="E24" s="129">
        <f>+E22*E23</f>
        <v>0.48852863986346423</v>
      </c>
      <c r="F24" s="129">
        <f>+F22*F23</f>
        <v>1.2645573789369455E-2</v>
      </c>
      <c r="G24" s="3" t="s">
        <v>349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163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112</v>
      </c>
      <c r="D29" s="102">
        <f>+'11 13 mo avg plant'!C29</f>
        <v>816559384.69230771</v>
      </c>
      <c r="E29" s="102"/>
      <c r="F29" s="102"/>
      <c r="G29" s="3" t="s">
        <v>517</v>
      </c>
      <c r="H29" s="7"/>
      <c r="I29" s="19"/>
    </row>
    <row r="30" spans="1:10">
      <c r="A30" s="23">
        <f>1+A29</f>
        <v>11</v>
      </c>
      <c r="B30" s="2" t="s">
        <v>159</v>
      </c>
      <c r="D30" s="27">
        <f>+D45</f>
        <v>79328329.096897393</v>
      </c>
      <c r="E30" s="24"/>
      <c r="F30" s="24"/>
      <c r="G30" s="101" t="s">
        <v>565</v>
      </c>
      <c r="H30" s="7"/>
      <c r="I30" s="26"/>
    </row>
    <row r="31" spans="1:10">
      <c r="A31" s="23">
        <f>1+A30</f>
        <v>12</v>
      </c>
      <c r="B31" s="36" t="s">
        <v>374</v>
      </c>
      <c r="C31" s="25"/>
      <c r="D31" s="100">
        <f>+D29+D30</f>
        <v>895887713.78920507</v>
      </c>
      <c r="E31" s="100"/>
      <c r="F31" s="100"/>
      <c r="G31" s="3" t="s">
        <v>350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83</v>
      </c>
      <c r="D33" s="225">
        <f>+'11 13 mo avg plant'!C63</f>
        <v>1802638284.5384614</v>
      </c>
      <c r="E33" s="139"/>
      <c r="F33" s="139"/>
      <c r="G33" s="3" t="s">
        <v>518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162</v>
      </c>
      <c r="D35" s="130">
        <f>ROUND(D31/D33,6)</f>
        <v>0.49698700000000001</v>
      </c>
      <c r="E35" s="130">
        <f>+D35</f>
        <v>0.49698700000000001</v>
      </c>
      <c r="F35" s="130">
        <f>+D35</f>
        <v>0.49698700000000001</v>
      </c>
      <c r="G35" s="3" t="s">
        <v>351</v>
      </c>
      <c r="H35" s="7"/>
      <c r="I35" s="20"/>
      <c r="K35" s="96"/>
    </row>
    <row r="36" spans="1:11" ht="15.75">
      <c r="A36" s="23">
        <f>1+A35</f>
        <v>15</v>
      </c>
      <c r="B36" s="117" t="s">
        <v>202</v>
      </c>
      <c r="C36" s="96"/>
      <c r="D36" s="131">
        <f>+'6 Dist alloc.'!D69</f>
        <v>0.16359243906052576</v>
      </c>
      <c r="E36" s="131">
        <f>+'6 Dist alloc.'!E69</f>
        <v>0.54221620662213121</v>
      </c>
      <c r="F36" s="131">
        <f>+'6 Dist alloc.'!F69</f>
        <v>5.0975292181409733E-2</v>
      </c>
      <c r="G36" s="96" t="s">
        <v>192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201</v>
      </c>
      <c r="C38" s="96"/>
      <c r="D38" s="115">
        <f>+D35*D36</f>
        <v>8.1303315511373514E-2</v>
      </c>
      <c r="E38" s="115">
        <f>+E35*E36</f>
        <v>0.26947440588051313</v>
      </c>
      <c r="F38" s="115">
        <f>+F35*F36</f>
        <v>2.5334057535362279E-2</v>
      </c>
      <c r="G38" s="96" t="s">
        <v>352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563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7</v>
      </c>
      <c r="D43" s="225">
        <f>+'11 13 mo avg plant'!C46</f>
        <v>133805945.03615388</v>
      </c>
      <c r="E43" s="107"/>
      <c r="F43" s="107"/>
      <c r="G43" s="3" t="s">
        <v>519</v>
      </c>
      <c r="I43" s="18"/>
    </row>
    <row r="44" spans="1:11" ht="15.75">
      <c r="A44" s="23">
        <f>1+A43</f>
        <v>19</v>
      </c>
      <c r="B44" s="116" t="s">
        <v>111</v>
      </c>
      <c r="D44" s="174">
        <f>+D22</f>
        <v>0.59286102030416632</v>
      </c>
      <c r="E44" s="137"/>
      <c r="F44" s="137"/>
      <c r="G44" s="3" t="s">
        <v>353</v>
      </c>
      <c r="H44" s="7"/>
      <c r="I44" s="19"/>
    </row>
    <row r="45" spans="1:11">
      <c r="A45" s="23">
        <f>1+A44</f>
        <v>20</v>
      </c>
      <c r="B45" s="36" t="s">
        <v>158</v>
      </c>
      <c r="D45" s="100">
        <f>+D43*D44</f>
        <v>79328329.096897393</v>
      </c>
      <c r="E45" s="100"/>
      <c r="F45" s="100"/>
      <c r="G45" s="96" t="s">
        <v>354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172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171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173</v>
      </c>
    </row>
    <row r="52" spans="1:10">
      <c r="A52" s="23">
        <f>1+A51</f>
        <v>24</v>
      </c>
      <c r="B52" s="3" t="s">
        <v>174</v>
      </c>
    </row>
    <row r="53" spans="1:10">
      <c r="A53" s="23">
        <f>1+A52</f>
        <v>25</v>
      </c>
      <c r="B53" s="3" t="s">
        <v>175</v>
      </c>
    </row>
    <row r="54" spans="1:10">
      <c r="A54" s="23">
        <f>1+A53</f>
        <v>26</v>
      </c>
      <c r="B54" s="3" t="s">
        <v>178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84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C1" zoomScale="90" zoomScaleNormal="90" workbookViewId="0">
      <selection activeCell="D51" sqref="D51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/>
    </row>
    <row r="3" spans="2:9">
      <c r="B3" s="263"/>
    </row>
    <row r="6" spans="2:9" ht="19.5">
      <c r="C6" s="97" t="s">
        <v>93</v>
      </c>
    </row>
    <row r="7" spans="2:9">
      <c r="C7" s="23" t="s">
        <v>98</v>
      </c>
    </row>
    <row r="8" spans="2:9">
      <c r="B8" s="196"/>
      <c r="C8" s="198" t="str">
        <f>+'5 alloc.'!B6</f>
        <v>Forecast</v>
      </c>
      <c r="E8" s="96"/>
      <c r="F8" s="96"/>
      <c r="G8" s="96"/>
    </row>
    <row r="9" spans="2:9">
      <c r="B9" s="196"/>
      <c r="C9" s="198">
        <f>+'5 alloc.'!B7</f>
        <v>2018</v>
      </c>
      <c r="E9" s="96"/>
      <c r="F9" s="96"/>
      <c r="G9" s="5" t="s">
        <v>94</v>
      </c>
      <c r="H9" s="5"/>
    </row>
    <row r="10" spans="2:9">
      <c r="B10" s="2"/>
      <c r="E10" s="96"/>
      <c r="F10" s="96"/>
      <c r="G10" s="5" t="s">
        <v>328</v>
      </c>
    </row>
    <row r="11" spans="2:9">
      <c r="G11" s="5" t="s">
        <v>544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113</v>
      </c>
      <c r="E15" s="123" t="s">
        <v>114</v>
      </c>
      <c r="F15" s="123" t="s">
        <v>115</v>
      </c>
      <c r="G15" s="123" t="s">
        <v>116</v>
      </c>
      <c r="H15" s="298"/>
      <c r="I15" s="96"/>
    </row>
    <row r="16" spans="2:9">
      <c r="B16" s="13" t="s">
        <v>117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118</v>
      </c>
      <c r="D17" s="126"/>
      <c r="H17" s="96"/>
      <c r="I17" s="96"/>
    </row>
    <row r="18" spans="1:11">
      <c r="A18" s="3">
        <f>1+A17</f>
        <v>2</v>
      </c>
      <c r="B18" s="3" t="s">
        <v>119</v>
      </c>
      <c r="C18" s="349">
        <v>608653.41218731878</v>
      </c>
      <c r="D18" s="126">
        <f>ROUND(ROUND((+D65-D49)/(C65-C49),6)*C18,0)</f>
        <v>99851</v>
      </c>
      <c r="E18" s="126">
        <f>ROUND(ROUND((+E65-E49)/(C65-C49),6)*C18,0)</f>
        <v>325746</v>
      </c>
      <c r="F18" s="126">
        <f>ROUND(ROUND((+F65-F49)/(C65-C49),6)*C18,0)</f>
        <v>31719</v>
      </c>
      <c r="G18" s="126">
        <f>ROUND(ROUND((+G65-G49)/(C65-C49),6)*C18,0)</f>
        <v>151337</v>
      </c>
      <c r="H18" s="299"/>
      <c r="I18" s="224"/>
      <c r="J18" s="121"/>
      <c r="K18" s="136"/>
    </row>
    <row r="19" spans="1:11">
      <c r="A19" s="3">
        <f t="shared" ref="A19:A63" si="0">1+A18</f>
        <v>3</v>
      </c>
      <c r="B19" s="3" t="s">
        <v>120</v>
      </c>
      <c r="C19" s="349">
        <v>102936.23133682778</v>
      </c>
      <c r="D19" s="70">
        <f>ROUND(ROUND((+D65-D49)/(C65-C49),6)*C19,0)</f>
        <v>16887</v>
      </c>
      <c r="E19" s="70">
        <f>ROUND(ROUND((+E65-E49)/(C65-C49),6)*C19,0)</f>
        <v>55091</v>
      </c>
      <c r="F19" s="70">
        <f>ROUND(ROUND((+F65-F49)/(C65-C49),6)*C19,0)</f>
        <v>5364</v>
      </c>
      <c r="G19" s="70">
        <f>ROUND(ROUND((+G65-G49)/(C65-C49),6)*C19,0)</f>
        <v>25594</v>
      </c>
      <c r="H19" s="299"/>
      <c r="I19" s="224"/>
      <c r="J19" s="122"/>
      <c r="K19" s="152"/>
    </row>
    <row r="20" spans="1:11">
      <c r="A20" s="3">
        <f t="shared" si="0"/>
        <v>4</v>
      </c>
      <c r="B20" s="3" t="s">
        <v>121</v>
      </c>
      <c r="C20" s="349">
        <v>220908.13293764004</v>
      </c>
      <c r="D20" s="70">
        <f>C20</f>
        <v>220908.13293764004</v>
      </c>
      <c r="E20" s="70"/>
      <c r="F20" s="70"/>
      <c r="G20" s="70"/>
      <c r="H20" s="299"/>
      <c r="I20" s="224"/>
      <c r="J20" s="122"/>
      <c r="K20" s="152"/>
    </row>
    <row r="21" spans="1:11">
      <c r="A21" s="3">
        <f t="shared" si="0"/>
        <v>5</v>
      </c>
      <c r="B21" s="3" t="s">
        <v>122</v>
      </c>
      <c r="C21" s="349">
        <v>418101.92834343284</v>
      </c>
      <c r="D21" s="70"/>
      <c r="E21" s="70">
        <f>C21</f>
        <v>418101.92834343284</v>
      </c>
      <c r="F21" s="70"/>
      <c r="G21" s="70"/>
      <c r="H21" s="299"/>
      <c r="I21" s="224"/>
      <c r="J21" s="122"/>
      <c r="K21" s="152"/>
    </row>
    <row r="22" spans="1:11">
      <c r="A22" s="3">
        <f t="shared" si="0"/>
        <v>6</v>
      </c>
      <c r="B22" s="3" t="s">
        <v>123</v>
      </c>
      <c r="C22" s="349">
        <v>48419.507047747262</v>
      </c>
      <c r="D22" s="70"/>
      <c r="E22" s="70">
        <f>C22</f>
        <v>48419.507047747262</v>
      </c>
      <c r="F22" s="70"/>
      <c r="G22" s="70"/>
      <c r="H22" s="299"/>
      <c r="I22" s="224"/>
      <c r="J22" s="122"/>
      <c r="K22" s="152"/>
    </row>
    <row r="23" spans="1:11">
      <c r="A23" s="3">
        <f t="shared" si="0"/>
        <v>7</v>
      </c>
      <c r="B23" s="3" t="s">
        <v>124</v>
      </c>
      <c r="C23" s="349">
        <v>0</v>
      </c>
      <c r="D23" s="70"/>
      <c r="E23" s="70"/>
      <c r="F23" s="70"/>
      <c r="G23" s="70">
        <f>C23</f>
        <v>0</v>
      </c>
      <c r="H23" s="299"/>
      <c r="I23" s="224"/>
      <c r="J23" s="122"/>
      <c r="K23" s="152"/>
    </row>
    <row r="24" spans="1:11">
      <c r="A24" s="3">
        <f t="shared" si="0"/>
        <v>8</v>
      </c>
      <c r="B24" s="3" t="s">
        <v>125</v>
      </c>
      <c r="C24" s="349">
        <v>308391.2137448935</v>
      </c>
      <c r="D24" s="70"/>
      <c r="E24" s="70"/>
      <c r="F24" s="70">
        <f>C24</f>
        <v>308391.2137448935</v>
      </c>
      <c r="G24" s="70"/>
      <c r="H24" s="299"/>
      <c r="I24" s="224"/>
      <c r="J24" s="122"/>
      <c r="K24" s="152"/>
    </row>
    <row r="25" spans="1:11">
      <c r="A25" s="3">
        <f t="shared" si="0"/>
        <v>9</v>
      </c>
      <c r="B25" s="3" t="s">
        <v>126</v>
      </c>
      <c r="C25" s="349">
        <v>41805.452883729602</v>
      </c>
      <c r="E25" s="70">
        <f>C25</f>
        <v>41805.452883729602</v>
      </c>
      <c r="F25" s="70"/>
      <c r="H25" s="299"/>
      <c r="I25" s="224"/>
      <c r="J25"/>
      <c r="K25" s="152"/>
    </row>
    <row r="26" spans="1:11">
      <c r="A26" s="3">
        <f t="shared" si="0"/>
        <v>10</v>
      </c>
      <c r="B26" s="3" t="s">
        <v>127</v>
      </c>
      <c r="C26" s="349">
        <v>1451096.6846339284</v>
      </c>
      <c r="D26" s="70">
        <f>ROUND(+D65/C65*C26,6)</f>
        <v>237388.44595200001</v>
      </c>
      <c r="E26" s="70">
        <f>ROUND(+E65/C65*C26,6)</f>
        <v>786808.139784</v>
      </c>
      <c r="F26" s="70">
        <f>ROUND(+F65/C65*C26,6)</f>
        <v>73970.077483000001</v>
      </c>
      <c r="G26" s="70">
        <f>ROUND(+G65/C65*C26,6)</f>
        <v>352930.02065299999</v>
      </c>
      <c r="H26" s="299"/>
      <c r="I26" s="224"/>
      <c r="J26" s="122"/>
      <c r="K26" s="152"/>
    </row>
    <row r="27" spans="1:11">
      <c r="A27" s="3">
        <f t="shared" si="0"/>
        <v>11</v>
      </c>
      <c r="B27" s="3" t="s">
        <v>128</v>
      </c>
      <c r="C27" s="349">
        <v>2112554.0581866517</v>
      </c>
      <c r="D27" s="70">
        <f>C27-E27</f>
        <v>2112554.0581866517</v>
      </c>
      <c r="E27" s="351">
        <v>0</v>
      </c>
      <c r="F27" s="70"/>
      <c r="H27" s="299"/>
      <c r="I27" s="224"/>
      <c r="J27"/>
      <c r="K27" s="152"/>
    </row>
    <row r="28" spans="1:11">
      <c r="C28" s="70"/>
      <c r="D28" s="70"/>
      <c r="E28" s="127"/>
      <c r="F28" s="70"/>
      <c r="H28" s="300"/>
      <c r="I28" s="224"/>
      <c r="J28"/>
      <c r="K28" s="152"/>
    </row>
    <row r="29" spans="1:11">
      <c r="C29" s="70"/>
      <c r="D29" s="70"/>
      <c r="E29" s="127"/>
      <c r="F29" s="70"/>
      <c r="H29" s="300"/>
      <c r="I29" s="224"/>
      <c r="J29"/>
      <c r="K29" s="152"/>
    </row>
    <row r="30" spans="1:11">
      <c r="A30" s="3">
        <v>12</v>
      </c>
      <c r="B30" s="13" t="s">
        <v>129</v>
      </c>
      <c r="C30" s="70"/>
      <c r="D30" s="70"/>
      <c r="E30" s="127"/>
      <c r="F30" s="70"/>
      <c r="H30" s="300"/>
      <c r="I30" s="224"/>
      <c r="J30"/>
      <c r="K30" s="152"/>
    </row>
    <row r="31" spans="1:11">
      <c r="C31" s="70"/>
      <c r="E31" s="70"/>
      <c r="F31" s="70"/>
      <c r="H31" s="300"/>
      <c r="I31" s="224"/>
      <c r="J31"/>
      <c r="K31" s="152"/>
    </row>
    <row r="32" spans="1:11">
      <c r="A32" s="3">
        <v>13</v>
      </c>
      <c r="B32" s="3" t="s">
        <v>118</v>
      </c>
      <c r="C32" s="70"/>
      <c r="D32" s="126"/>
      <c r="E32" s="126"/>
      <c r="F32" s="70"/>
      <c r="H32" s="300"/>
      <c r="I32" s="224"/>
      <c r="J32"/>
      <c r="K32" s="152"/>
    </row>
    <row r="33" spans="1:11">
      <c r="A33" s="3">
        <f t="shared" si="0"/>
        <v>14</v>
      </c>
      <c r="B33" s="3" t="s">
        <v>130</v>
      </c>
      <c r="C33" s="349">
        <v>132655.72168462712</v>
      </c>
      <c r="D33" s="70">
        <f>ROUND(ROUND((SUM(D50:D62))/(SUM(C50:C62)),6)*C33,0)</f>
        <v>21763</v>
      </c>
      <c r="E33" s="70">
        <f>ROUND(ROUND((SUM(E50:E62))/(SUM(C50:C62)),6)*C33,0)</f>
        <v>70996</v>
      </c>
      <c r="F33" s="70">
        <f>ROUND(ROUND((SUM(F50:F62))/(SUM(C50:C62)),6)*C33,0)</f>
        <v>6913</v>
      </c>
      <c r="G33" s="70">
        <f>ROUND(ROUND((SUM(G50:G62))/(SUM(C50:C62)),6)*C33,0)</f>
        <v>32984</v>
      </c>
      <c r="H33" s="299"/>
      <c r="I33" s="300"/>
      <c r="J33" s="122"/>
      <c r="K33" s="152"/>
    </row>
    <row r="34" spans="1:11">
      <c r="A34" s="3">
        <f t="shared" si="0"/>
        <v>15</v>
      </c>
      <c r="B34" s="3" t="s">
        <v>131</v>
      </c>
      <c r="C34" s="349">
        <v>0</v>
      </c>
      <c r="D34" s="70">
        <f>C34</f>
        <v>0</v>
      </c>
      <c r="E34" s="70"/>
      <c r="F34" s="70"/>
      <c r="G34" s="70"/>
      <c r="H34" s="299"/>
      <c r="I34" s="224"/>
      <c r="J34" s="122"/>
      <c r="K34" s="152"/>
    </row>
    <row r="35" spans="1:11">
      <c r="A35" s="3">
        <f t="shared" si="0"/>
        <v>16</v>
      </c>
      <c r="B35" s="3" t="s">
        <v>132</v>
      </c>
      <c r="C35" s="349">
        <v>1564570.1907965615</v>
      </c>
      <c r="D35" s="70">
        <f>C35</f>
        <v>1564570.1907965615</v>
      </c>
      <c r="E35" s="70"/>
      <c r="F35" s="70"/>
      <c r="G35" s="70"/>
      <c r="H35" s="299"/>
      <c r="I35" s="224"/>
      <c r="J35" s="122"/>
      <c r="K35" s="152"/>
    </row>
    <row r="36" spans="1:11">
      <c r="A36" s="3">
        <f t="shared" si="0"/>
        <v>17</v>
      </c>
      <c r="B36" s="3" t="s">
        <v>133</v>
      </c>
      <c r="C36" s="349">
        <v>24019272.227759987</v>
      </c>
      <c r="D36" s="70"/>
      <c r="E36" s="70">
        <f>C36</f>
        <v>24019272.227759987</v>
      </c>
      <c r="F36" s="70"/>
      <c r="G36" s="70"/>
      <c r="H36" s="299"/>
      <c r="I36" s="224"/>
      <c r="J36" s="122"/>
      <c r="K36" s="152"/>
    </row>
    <row r="37" spans="1:11">
      <c r="A37" s="3">
        <f t="shared" si="0"/>
        <v>18</v>
      </c>
      <c r="B37" s="3" t="s">
        <v>134</v>
      </c>
      <c r="C37" s="349">
        <v>559348.8105153623</v>
      </c>
      <c r="D37" s="70"/>
      <c r="E37" s="70">
        <f>C37</f>
        <v>559348.8105153623</v>
      </c>
      <c r="F37" s="70"/>
      <c r="G37" s="70"/>
      <c r="H37" s="299"/>
      <c r="I37" s="224"/>
      <c r="J37" s="122"/>
      <c r="K37" s="152"/>
    </row>
    <row r="38" spans="1:11">
      <c r="A38" s="3">
        <f t="shared" si="0"/>
        <v>19</v>
      </c>
      <c r="B38" s="3" t="s">
        <v>135</v>
      </c>
      <c r="C38" s="349">
        <v>1071.9580618639429</v>
      </c>
      <c r="D38" s="70"/>
      <c r="E38" s="70"/>
      <c r="F38" s="70"/>
      <c r="G38" s="70">
        <f>C38</f>
        <v>1071.9580618639429</v>
      </c>
      <c r="H38" s="299"/>
      <c r="I38" s="224"/>
      <c r="J38" s="122"/>
      <c r="K38" s="152"/>
    </row>
    <row r="39" spans="1:11">
      <c r="A39" s="3">
        <f t="shared" si="0"/>
        <v>20</v>
      </c>
      <c r="B39" s="3" t="s">
        <v>136</v>
      </c>
      <c r="C39" s="349">
        <v>56132.865142553972</v>
      </c>
      <c r="D39" s="70"/>
      <c r="E39" s="70"/>
      <c r="F39" s="70"/>
      <c r="G39" s="70">
        <f>C39</f>
        <v>56132.865142553972</v>
      </c>
      <c r="H39" s="299"/>
      <c r="I39" s="224"/>
      <c r="J39" s="122"/>
      <c r="K39" s="152"/>
    </row>
    <row r="40" spans="1:11">
      <c r="A40" s="3">
        <f t="shared" si="0"/>
        <v>21</v>
      </c>
      <c r="B40" s="3" t="s">
        <v>137</v>
      </c>
      <c r="C40" s="349">
        <v>249413.46670516487</v>
      </c>
      <c r="D40" s="70"/>
      <c r="E40" s="70"/>
      <c r="F40" s="70">
        <f>C40</f>
        <v>249413.46670516487</v>
      </c>
      <c r="G40" s="178"/>
      <c r="H40" s="299"/>
      <c r="I40" s="224"/>
      <c r="J40" s="122"/>
      <c r="K40" s="152"/>
    </row>
    <row r="41" spans="1:11">
      <c r="A41" s="3">
        <f t="shared" si="0"/>
        <v>22</v>
      </c>
      <c r="B41" s="3" t="s">
        <v>138</v>
      </c>
      <c r="C41" s="349">
        <v>153423.99760427681</v>
      </c>
      <c r="D41" s="70">
        <f>ROUND(ROUND(+D65/C65,6)*C41,0)</f>
        <v>25099</v>
      </c>
      <c r="E41" s="70">
        <f>ROUND(ROUND(+E65/C65,6)*C41,0)</f>
        <v>83189</v>
      </c>
      <c r="F41" s="70">
        <f>ROUND(ROUND(+F65/C65,6)*C41,0)</f>
        <v>7821</v>
      </c>
      <c r="G41" s="70">
        <f>ROUND(ROUND(+G65/C65,6)*C41,0)</f>
        <v>37315</v>
      </c>
      <c r="H41" s="299"/>
      <c r="I41" s="224"/>
      <c r="J41" s="122"/>
      <c r="K41" s="152"/>
    </row>
    <row r="42" spans="1:11">
      <c r="C42" s="128" t="s">
        <v>139</v>
      </c>
      <c r="D42" s="128" t="s">
        <v>140</v>
      </c>
      <c r="E42" s="128" t="s">
        <v>139</v>
      </c>
      <c r="F42" s="128" t="s">
        <v>139</v>
      </c>
      <c r="G42" s="128" t="s">
        <v>140</v>
      </c>
      <c r="H42" s="96"/>
      <c r="I42" s="96"/>
      <c r="K42" s="153"/>
    </row>
    <row r="43" spans="1:11">
      <c r="A43" s="3">
        <v>23</v>
      </c>
      <c r="B43" s="3" t="s">
        <v>141</v>
      </c>
      <c r="C43" s="228">
        <f>SUM(C18:C42)</f>
        <v>32048755.859572571</v>
      </c>
      <c r="D43" s="126">
        <f>SUM(D18:D41)</f>
        <v>4299020.8278728537</v>
      </c>
      <c r="E43" s="126">
        <f>SUM(E18:E41)</f>
        <v>26408778.066334259</v>
      </c>
      <c r="F43" s="126">
        <f>SUM(F18:F41)</f>
        <v>683591.75793305831</v>
      </c>
      <c r="G43" s="126">
        <f>SUM(G18:G41)</f>
        <v>657364.84385741781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200</v>
      </c>
      <c r="C45" s="32">
        <f>SUM(D45:G45)</f>
        <v>0.99999998865556639</v>
      </c>
      <c r="D45" s="173">
        <f>+D43/$C43</f>
        <v>0.13414002236810041</v>
      </c>
      <c r="E45" s="173">
        <f>+E43/$C43</f>
        <v>0.82401882251058678</v>
      </c>
      <c r="F45" s="173">
        <f>+F43/$C43</f>
        <v>2.1329743997811942E-2</v>
      </c>
      <c r="G45" s="173">
        <f>+G43/$C43</f>
        <v>2.0511399779067272E-2</v>
      </c>
      <c r="H45" s="96"/>
      <c r="I45" s="96"/>
      <c r="K45" s="154"/>
    </row>
    <row r="46" spans="1:11">
      <c r="A46" s="3">
        <v>25</v>
      </c>
      <c r="C46" s="126"/>
      <c r="D46" s="132" t="s">
        <v>164</v>
      </c>
      <c r="E46" s="132" t="s">
        <v>165</v>
      </c>
      <c r="F46" s="132" t="s">
        <v>166</v>
      </c>
      <c r="H46" s="96"/>
      <c r="I46" s="96"/>
      <c r="K46" s="136"/>
    </row>
    <row r="47" spans="1:11">
      <c r="A47" s="3">
        <v>26</v>
      </c>
      <c r="B47" s="3" t="s">
        <v>146</v>
      </c>
      <c r="F47" s="70"/>
      <c r="H47" s="96"/>
      <c r="I47" s="96"/>
      <c r="K47" s="96"/>
    </row>
    <row r="48" spans="1:11">
      <c r="C48" s="343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567</v>
      </c>
      <c r="C49" s="350">
        <v>17823581.95493535</v>
      </c>
      <c r="D49" s="350">
        <v>2547779</v>
      </c>
      <c r="E49" s="126">
        <f>+C49-D49</f>
        <v>15275802.95493535</v>
      </c>
      <c r="F49" s="70"/>
      <c r="H49" s="96"/>
      <c r="I49" s="301"/>
      <c r="K49" s="136"/>
    </row>
    <row r="50" spans="1:11">
      <c r="A50" s="3">
        <f t="shared" si="0"/>
        <v>28</v>
      </c>
      <c r="B50" s="3" t="s">
        <v>330</v>
      </c>
      <c r="C50" s="350">
        <v>28278727.256783444</v>
      </c>
      <c r="D50" s="70">
        <f>+C50</f>
        <v>28278727.256783444</v>
      </c>
      <c r="E50" s="70"/>
      <c r="F50" s="70"/>
      <c r="H50" s="96"/>
      <c r="I50" s="301"/>
      <c r="K50" s="152"/>
    </row>
    <row r="51" spans="1:11">
      <c r="A51" s="3">
        <f t="shared" si="0"/>
        <v>29</v>
      </c>
      <c r="B51" s="3" t="s">
        <v>331</v>
      </c>
      <c r="C51" s="350">
        <v>102697727.12279335</v>
      </c>
      <c r="D51" s="70">
        <f>+C51</f>
        <v>102697727.12279335</v>
      </c>
      <c r="E51" s="70"/>
      <c r="F51" s="70"/>
      <c r="H51" s="96"/>
      <c r="I51" s="301"/>
      <c r="K51" s="152"/>
    </row>
    <row r="52" spans="1:11">
      <c r="A52" s="3">
        <f t="shared" si="0"/>
        <v>30</v>
      </c>
      <c r="B52" s="3" t="s">
        <v>332</v>
      </c>
      <c r="C52" s="350">
        <v>0</v>
      </c>
      <c r="D52" s="70">
        <f>+C52</f>
        <v>0</v>
      </c>
      <c r="E52" s="70"/>
      <c r="F52" s="70"/>
      <c r="H52" s="96"/>
      <c r="I52" s="301"/>
      <c r="K52" s="152"/>
    </row>
    <row r="53" spans="1:11">
      <c r="A53" s="3">
        <f t="shared" si="0"/>
        <v>31</v>
      </c>
      <c r="B53" s="3" t="s">
        <v>333</v>
      </c>
      <c r="C53" s="350">
        <v>176928226.07411453</v>
      </c>
      <c r="D53" s="70"/>
      <c r="E53" s="70">
        <f>+C53</f>
        <v>176928226.07411453</v>
      </c>
      <c r="F53" s="70"/>
      <c r="H53" s="96"/>
      <c r="I53" s="301"/>
      <c r="K53" s="152"/>
    </row>
    <row r="54" spans="1:11">
      <c r="A54" s="3">
        <f t="shared" si="0"/>
        <v>32</v>
      </c>
      <c r="B54" s="3" t="s">
        <v>334</v>
      </c>
      <c r="C54" s="350">
        <v>193679919.73506638</v>
      </c>
      <c r="D54" s="70"/>
      <c r="E54" s="70">
        <f>+C54</f>
        <v>193679919.73506638</v>
      </c>
      <c r="F54" s="70"/>
      <c r="H54" s="96"/>
      <c r="I54" s="301"/>
      <c r="K54" s="152"/>
    </row>
    <row r="55" spans="1:11">
      <c r="A55" s="3">
        <f t="shared" si="0"/>
        <v>33</v>
      </c>
      <c r="B55" s="3" t="s">
        <v>335</v>
      </c>
      <c r="C55" s="350">
        <v>19037387.646485399</v>
      </c>
      <c r="D55" s="70"/>
      <c r="E55" s="70">
        <f>+C55</f>
        <v>19037387.646485399</v>
      </c>
      <c r="F55" s="70"/>
      <c r="H55" s="96"/>
      <c r="I55" s="301"/>
      <c r="K55" s="152"/>
    </row>
    <row r="56" spans="1:11">
      <c r="A56" s="3">
        <f t="shared" si="0"/>
        <v>34</v>
      </c>
      <c r="B56" s="3" t="s">
        <v>336</v>
      </c>
      <c r="C56" s="350">
        <v>37638872.638963073</v>
      </c>
      <c r="D56" s="70"/>
      <c r="E56" s="70">
        <f>+C56</f>
        <v>37638872.638963073</v>
      </c>
      <c r="F56" s="70"/>
      <c r="H56" s="96"/>
      <c r="I56" s="301"/>
      <c r="K56" s="152"/>
    </row>
    <row r="57" spans="1:11">
      <c r="A57" s="3">
        <f t="shared" si="0"/>
        <v>35</v>
      </c>
      <c r="B57" s="3" t="s">
        <v>337</v>
      </c>
      <c r="C57" s="350">
        <v>132886612.80684061</v>
      </c>
      <c r="D57" s="70"/>
      <c r="E57" s="70"/>
      <c r="F57" s="70"/>
      <c r="G57" s="126">
        <f>+C57</f>
        <v>132886612.80684061</v>
      </c>
      <c r="H57" s="96"/>
      <c r="I57" s="301"/>
      <c r="K57" s="152"/>
    </row>
    <row r="58" spans="1:11">
      <c r="A58" s="3">
        <f t="shared" si="0"/>
        <v>36</v>
      </c>
      <c r="B58" s="3" t="s">
        <v>338</v>
      </c>
      <c r="C58" s="350">
        <v>47344886.797578484</v>
      </c>
      <c r="D58" s="70"/>
      <c r="E58" s="70"/>
      <c r="F58" s="70"/>
      <c r="G58" s="70">
        <f>+C58</f>
        <v>47344886.797578484</v>
      </c>
      <c r="H58" s="96"/>
      <c r="I58" s="301"/>
      <c r="K58" s="152"/>
    </row>
    <row r="59" spans="1:11">
      <c r="A59" s="3">
        <f t="shared" si="0"/>
        <v>37</v>
      </c>
      <c r="B59" s="3" t="s">
        <v>339</v>
      </c>
      <c r="C59" s="350">
        <v>41605704.218162544</v>
      </c>
      <c r="D59" s="70"/>
      <c r="E59" s="70"/>
      <c r="F59" s="126">
        <f>+C59</f>
        <v>41605704.218162544</v>
      </c>
      <c r="G59" s="70"/>
      <c r="H59" s="96"/>
      <c r="I59" s="301"/>
      <c r="K59" s="152"/>
    </row>
    <row r="60" spans="1:11">
      <c r="A60" s="3">
        <f t="shared" si="0"/>
        <v>38</v>
      </c>
      <c r="B60" s="3" t="s">
        <v>340</v>
      </c>
      <c r="C60" s="350">
        <v>1242993.519497727</v>
      </c>
      <c r="D60" s="70"/>
      <c r="E60" s="70"/>
      <c r="F60" s="70"/>
      <c r="G60" s="70">
        <f>+C60</f>
        <v>1242993.519497727</v>
      </c>
      <c r="H60" s="96"/>
      <c r="I60" s="301"/>
      <c r="K60" s="152"/>
    </row>
    <row r="61" spans="1:11">
      <c r="A61" s="3">
        <f t="shared" si="0"/>
        <v>39</v>
      </c>
      <c r="B61" s="3" t="s">
        <v>341</v>
      </c>
      <c r="C61" s="350">
        <v>0</v>
      </c>
      <c r="D61" s="70"/>
      <c r="E61" s="70"/>
      <c r="F61" s="70"/>
      <c r="G61" s="70">
        <f>+C61</f>
        <v>0</v>
      </c>
      <c r="H61" s="96"/>
      <c r="I61" s="301"/>
      <c r="K61" s="152"/>
    </row>
    <row r="62" spans="1:11">
      <c r="A62" s="3">
        <f t="shared" si="0"/>
        <v>40</v>
      </c>
      <c r="B62" s="3" t="s">
        <v>342</v>
      </c>
      <c r="C62" s="350">
        <v>17036885.492096044</v>
      </c>
      <c r="D62" s="70"/>
      <c r="E62" s="70"/>
      <c r="F62" s="70"/>
      <c r="G62" s="70">
        <f>+C62</f>
        <v>17036885.492096044</v>
      </c>
      <c r="H62" s="96"/>
      <c r="I62" s="301"/>
      <c r="K62" s="152"/>
    </row>
    <row r="63" spans="1:11">
      <c r="A63" s="3">
        <f t="shared" si="0"/>
        <v>41</v>
      </c>
      <c r="B63" s="3" t="s">
        <v>343</v>
      </c>
      <c r="C63" s="350">
        <v>357859.42899077595</v>
      </c>
      <c r="D63" s="70">
        <f>ROUND(ROUND((SUM(D50:D62))/(SUM(C50:C62)),6)*C63,0)</f>
        <v>58708</v>
      </c>
      <c r="E63" s="70">
        <f>ROUND(ROUND((SUM(E50:E62))/(SUM(C50:C62)),6)*C63,0)</f>
        <v>191523</v>
      </c>
      <c r="F63" s="70">
        <f>ROUND(ROUND((SUM(F50:F62))/(SUM(C50:C62)),6)*C63,0)</f>
        <v>18649</v>
      </c>
      <c r="G63" s="70">
        <f>ROUND(ROUND((SUM(G50:G62))/(SUM(C50:C62)),6)*C63,0)</f>
        <v>88979</v>
      </c>
      <c r="H63" s="96"/>
      <c r="I63" s="301"/>
      <c r="K63" s="152"/>
    </row>
    <row r="64" spans="1:11">
      <c r="C64" s="347" t="s">
        <v>142</v>
      </c>
      <c r="D64" s="5" t="s">
        <v>139</v>
      </c>
      <c r="E64" s="5" t="s">
        <v>139</v>
      </c>
      <c r="F64" s="5" t="s">
        <v>139</v>
      </c>
      <c r="G64" s="5" t="s">
        <v>139</v>
      </c>
      <c r="H64" s="96"/>
      <c r="I64" s="96"/>
    </row>
    <row r="65" spans="1:8">
      <c r="A65" s="3">
        <v>41</v>
      </c>
      <c r="B65" s="3" t="s">
        <v>145</v>
      </c>
      <c r="C65" s="348">
        <f>SUM(C49:C64)</f>
        <v>816559384.69230783</v>
      </c>
      <c r="D65" s="126">
        <f>SUM(D49:D63)</f>
        <v>133582941.37957679</v>
      </c>
      <c r="E65" s="126">
        <f>SUM(E49:E63)</f>
        <v>442751732.04956472</v>
      </c>
      <c r="F65" s="126">
        <f>SUM(F49:F63)</f>
        <v>41624353.218162544</v>
      </c>
      <c r="G65" s="126">
        <f>SUM(G49:G63)</f>
        <v>198600357.61601287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157</v>
      </c>
      <c r="C69" s="32">
        <f>SUM(D69:G69)</f>
        <v>0.99999999947463603</v>
      </c>
      <c r="D69" s="32">
        <f>+D65/$C65</f>
        <v>0.16359243906052576</v>
      </c>
      <c r="E69" s="32">
        <f>+E65/$C65</f>
        <v>0.54221620662213121</v>
      </c>
      <c r="F69" s="32">
        <f>+F65/$C65</f>
        <v>5.0975292181409733E-2</v>
      </c>
      <c r="G69" s="32">
        <f>+G65/$C65</f>
        <v>0.24321606161056927</v>
      </c>
    </row>
    <row r="70" spans="1:8">
      <c r="A70" s="3">
        <f>1+A69</f>
        <v>43</v>
      </c>
      <c r="D70" s="132" t="s">
        <v>167</v>
      </c>
      <c r="E70" s="132" t="s">
        <v>168</v>
      </c>
      <c r="F70" s="132" t="s">
        <v>169</v>
      </c>
    </row>
    <row r="71" spans="1:8">
      <c r="A71" s="3">
        <f t="shared" ref="A71:A76" si="1">1+A70</f>
        <v>44</v>
      </c>
      <c r="B71" s="96" t="s">
        <v>564</v>
      </c>
    </row>
    <row r="72" spans="1:8">
      <c r="A72" s="3">
        <f t="shared" si="1"/>
        <v>45</v>
      </c>
      <c r="B72" s="26" t="s">
        <v>143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816559384.69230783</v>
      </c>
      <c r="D73" s="100">
        <f t="shared" si="2"/>
        <v>133582941.37957679</v>
      </c>
      <c r="E73" s="100">
        <f t="shared" si="2"/>
        <v>442751732.04956472</v>
      </c>
      <c r="F73" s="100">
        <f t="shared" si="2"/>
        <v>41624353.218162544</v>
      </c>
      <c r="G73" s="100">
        <f t="shared" si="2"/>
        <v>198600357.61601287</v>
      </c>
    </row>
    <row r="74" spans="1:8">
      <c r="A74" s="3">
        <f t="shared" si="1"/>
        <v>47</v>
      </c>
      <c r="B74" s="96" t="str">
        <f t="shared" ref="B74:G74" si="3">+B49</f>
        <v>Land and Land Rights (p.207.60) ****</v>
      </c>
      <c r="C74" s="100">
        <f t="shared" si="3"/>
        <v>17823581.95493535</v>
      </c>
      <c r="D74" s="100">
        <f t="shared" si="3"/>
        <v>2547779</v>
      </c>
      <c r="E74" s="100">
        <f t="shared" si="3"/>
        <v>15275802.95493535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344</v>
      </c>
      <c r="C75" s="100">
        <f>+C73-C74</f>
        <v>798735802.73737252</v>
      </c>
      <c r="D75" s="100">
        <f>+D73-D74</f>
        <v>131035162.37957679</v>
      </c>
      <c r="E75" s="100">
        <f>+E73-E74</f>
        <v>427475929.09462935</v>
      </c>
      <c r="F75" s="100">
        <f>+F73-F74</f>
        <v>41624353.218162544</v>
      </c>
      <c r="G75" s="100">
        <f>+G73-G74</f>
        <v>198600357.61601287</v>
      </c>
    </row>
    <row r="76" spans="1:8">
      <c r="A76" s="3">
        <f t="shared" si="1"/>
        <v>49</v>
      </c>
      <c r="B76" s="3" t="s">
        <v>345</v>
      </c>
      <c r="D76" s="173">
        <f>+D75/$C75</f>
        <v>0.16405319747844291</v>
      </c>
      <c r="E76" s="173">
        <f>+E75/$C75</f>
        <v>0.53519064455307153</v>
      </c>
      <c r="F76" s="173">
        <f>+F75/$C75</f>
        <v>5.2112792584870261E-2</v>
      </c>
      <c r="G76" s="173">
        <f>+G75/$C75</f>
        <v>0.24864336484652794</v>
      </c>
    </row>
    <row r="77" spans="1:8">
      <c r="D77" s="46"/>
      <c r="E77" s="46"/>
      <c r="F77" s="46"/>
    </row>
    <row r="78" spans="1:8">
      <c r="A78" s="3">
        <v>50</v>
      </c>
      <c r="B78" s="26" t="s">
        <v>144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816559384.69230783</v>
      </c>
      <c r="D79" s="100">
        <f t="shared" si="4"/>
        <v>133582941.37957679</v>
      </c>
      <c r="E79" s="100">
        <f t="shared" si="4"/>
        <v>442751732.04956472</v>
      </c>
      <c r="F79" s="100">
        <f t="shared" si="4"/>
        <v>41624353.218162544</v>
      </c>
      <c r="G79" s="100">
        <f t="shared" si="4"/>
        <v>198600357.61601287</v>
      </c>
    </row>
    <row r="80" spans="1:8">
      <c r="A80" s="3">
        <f>1+A79</f>
        <v>52</v>
      </c>
      <c r="B80" s="3" t="s">
        <v>345</v>
      </c>
      <c r="D80" s="173">
        <f>+D79/$C79</f>
        <v>0.16359243906052576</v>
      </c>
      <c r="E80" s="173">
        <f>+E79/$C79</f>
        <v>0.54221620662213121</v>
      </c>
      <c r="F80" s="173">
        <f>+F79/$C79</f>
        <v>5.0975292181409733E-2</v>
      </c>
      <c r="G80" s="173">
        <f>+G79/$C79</f>
        <v>0.24321606161056927</v>
      </c>
    </row>
    <row r="81" spans="1:6">
      <c r="D81" s="46"/>
      <c r="E81" s="46"/>
      <c r="F81" s="46"/>
    </row>
    <row r="82" spans="1:6">
      <c r="A82" s="3">
        <v>53</v>
      </c>
      <c r="B82" s="26" t="s">
        <v>346</v>
      </c>
    </row>
    <row r="83" spans="1:6">
      <c r="B83" s="26"/>
    </row>
    <row r="84" spans="1:6">
      <c r="A84" s="3">
        <v>54</v>
      </c>
      <c r="B84" s="26" t="s">
        <v>566</v>
      </c>
    </row>
    <row r="85" spans="1:6">
      <c r="B85" s="297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topLeftCell="C4" zoomScale="90" zoomScaleNormal="90" workbookViewId="0">
      <selection activeCell="D43" sqref="D43"/>
    </sheetView>
  </sheetViews>
  <sheetFormatPr defaultColWidth="9.140625" defaultRowHeight="12.75"/>
  <cols>
    <col min="1" max="1" width="5.5703125" style="211" customWidth="1"/>
    <col min="2" max="2" width="5.140625" style="211" bestFit="1" customWidth="1"/>
    <col min="3" max="3" width="47.42578125" style="211" customWidth="1"/>
    <col min="4" max="4" width="17.5703125" style="211" customWidth="1"/>
    <col min="5" max="5" width="20.85546875" style="211" bestFit="1" customWidth="1"/>
    <col min="6" max="7" width="18.28515625" style="211" customWidth="1"/>
    <col min="8" max="8" width="14.28515625" style="211" bestFit="1" customWidth="1"/>
    <col min="9" max="9" width="18.28515625" style="211" bestFit="1" customWidth="1"/>
    <col min="10" max="10" width="14.140625" style="211" customWidth="1"/>
    <col min="11" max="11" width="4.28515625" style="211" customWidth="1"/>
    <col min="12" max="12" width="18.28515625" style="211" bestFit="1" customWidth="1"/>
    <col min="13" max="16384" width="9.140625" style="211"/>
  </cols>
  <sheetData>
    <row r="3" spans="1:11" ht="15">
      <c r="A3" s="3"/>
      <c r="B3" s="3"/>
      <c r="C3" s="271"/>
      <c r="D3" s="3"/>
      <c r="E3" s="7"/>
      <c r="F3" s="7"/>
      <c r="G3" s="7"/>
      <c r="H3" s="7"/>
      <c r="I3" s="7"/>
      <c r="J3" s="5" t="s">
        <v>94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328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543</v>
      </c>
    </row>
    <row r="6" spans="1:11" ht="19.5">
      <c r="A6" s="3"/>
      <c r="B6" s="3"/>
      <c r="C6" s="78"/>
      <c r="D6" s="97" t="s">
        <v>93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188</v>
      </c>
      <c r="E7" s="7"/>
      <c r="F7" s="7"/>
      <c r="G7" s="7"/>
      <c r="H7" s="7"/>
      <c r="I7" s="7"/>
      <c r="J7" s="7"/>
    </row>
    <row r="8" spans="1:11" ht="15">
      <c r="A8" s="3"/>
      <c r="B8" s="205"/>
      <c r="C8" s="197"/>
      <c r="D8" s="23" t="s">
        <v>249</v>
      </c>
      <c r="E8" s="7"/>
      <c r="F8" s="7"/>
      <c r="G8" s="7"/>
      <c r="H8" s="7"/>
      <c r="I8" s="7"/>
      <c r="J8" s="7"/>
    </row>
    <row r="9" spans="1:11" ht="15">
      <c r="A9" s="3"/>
      <c r="B9" s="205"/>
      <c r="C9" s="205"/>
      <c r="D9" s="23" t="str">
        <f>+'1 Rev Req'!D5</f>
        <v>Forecast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>
        <f>+'1 Rev Req'!D6</f>
        <v>2018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/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552</v>
      </c>
      <c r="K12" s="217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241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208</v>
      </c>
      <c r="D15" s="30" t="s">
        <v>113</v>
      </c>
      <c r="E15" s="30" t="s">
        <v>239</v>
      </c>
      <c r="F15" s="30" t="s">
        <v>239</v>
      </c>
      <c r="G15" s="3"/>
      <c r="H15" s="30" t="s">
        <v>244</v>
      </c>
      <c r="I15" s="30" t="s">
        <v>246</v>
      </c>
      <c r="J15" s="30" t="s">
        <v>248</v>
      </c>
    </row>
    <row r="16" spans="1:11" ht="15">
      <c r="A16" s="3"/>
      <c r="B16" s="3"/>
      <c r="C16" s="3" t="s">
        <v>209</v>
      </c>
      <c r="D16" s="30" t="s">
        <v>238</v>
      </c>
      <c r="E16" s="30" t="s">
        <v>240</v>
      </c>
      <c r="F16" s="30" t="s">
        <v>61</v>
      </c>
      <c r="G16" s="19"/>
      <c r="H16" s="30" t="s">
        <v>61</v>
      </c>
      <c r="I16" s="30" t="s">
        <v>177</v>
      </c>
      <c r="J16" s="30" t="s">
        <v>177</v>
      </c>
    </row>
    <row r="17" spans="1:10" ht="15">
      <c r="A17" s="3"/>
      <c r="B17" s="3"/>
      <c r="C17" s="3" t="s">
        <v>211</v>
      </c>
      <c r="D17" s="30" t="s">
        <v>237</v>
      </c>
      <c r="E17" s="30" t="s">
        <v>242</v>
      </c>
      <c r="F17" s="30" t="s">
        <v>243</v>
      </c>
      <c r="G17" s="30" t="s">
        <v>244</v>
      </c>
      <c r="H17" s="30" t="s">
        <v>243</v>
      </c>
      <c r="I17" s="30" t="s">
        <v>247</v>
      </c>
      <c r="J17" s="30" t="s">
        <v>247</v>
      </c>
    </row>
    <row r="18" spans="1:10" ht="15">
      <c r="A18" s="3"/>
      <c r="B18" s="3"/>
      <c r="C18" s="3" t="s">
        <v>212</v>
      </c>
      <c r="D18" s="7" t="s">
        <v>213</v>
      </c>
      <c r="E18" s="7" t="s">
        <v>214</v>
      </c>
      <c r="F18" s="7" t="s">
        <v>213</v>
      </c>
      <c r="G18" s="7" t="s">
        <v>213</v>
      </c>
      <c r="H18" s="25" t="s">
        <v>232</v>
      </c>
      <c r="I18" s="25" t="s">
        <v>232</v>
      </c>
      <c r="J18" s="25" t="s">
        <v>232</v>
      </c>
    </row>
    <row r="19" spans="1:10" ht="16.5">
      <c r="A19" s="3"/>
      <c r="B19" s="140" t="s">
        <v>234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216</v>
      </c>
      <c r="D20" s="246">
        <v>4768</v>
      </c>
      <c r="E20" s="246">
        <v>1457</v>
      </c>
      <c r="F20" s="226">
        <f>+E20/D20</f>
        <v>0.30557885906040266</v>
      </c>
      <c r="G20" s="227">
        <f>+G39</f>
        <v>242433</v>
      </c>
      <c r="H20" s="39">
        <f>+G20/D$45</f>
        <v>1.8148499912958578E-3</v>
      </c>
      <c r="I20" s="111">
        <f>ROUND(+H20*G20,0)</f>
        <v>440</v>
      </c>
      <c r="J20" s="111"/>
    </row>
    <row r="21" spans="1:10" ht="15.75">
      <c r="A21" s="3">
        <f>1+A20</f>
        <v>2</v>
      </c>
      <c r="B21" s="3"/>
      <c r="C21" s="3" t="s">
        <v>217</v>
      </c>
      <c r="D21" s="246">
        <v>4457</v>
      </c>
      <c r="E21" s="246">
        <v>755</v>
      </c>
      <c r="F21" s="226">
        <f>+E21/D21</f>
        <v>0.16939645501458381</v>
      </c>
      <c r="G21" s="228">
        <f>+G36</f>
        <v>368591</v>
      </c>
      <c r="H21" s="39">
        <f>+G21/D$45</f>
        <v>2.7592669856897848E-3</v>
      </c>
      <c r="I21" s="74">
        <f>ROUND(+H21*G21,0)</f>
        <v>1017</v>
      </c>
      <c r="J21" s="74"/>
    </row>
    <row r="22" spans="1:10" ht="15.75">
      <c r="A22" s="3">
        <f>1+A21</f>
        <v>3</v>
      </c>
      <c r="B22" s="3"/>
      <c r="C22" s="3" t="s">
        <v>218</v>
      </c>
      <c r="D22" s="246">
        <v>9450</v>
      </c>
      <c r="E22" s="246">
        <v>1059</v>
      </c>
      <c r="F22" s="226">
        <f>+E22/D22</f>
        <v>0.11206349206349206</v>
      </c>
      <c r="G22" s="228">
        <f>+G40</f>
        <v>425971</v>
      </c>
      <c r="H22" s="39">
        <f>+G22/D$45</f>
        <v>3.1888128499102347E-3</v>
      </c>
      <c r="I22" s="74">
        <f>ROUND(+H22*G22,0)</f>
        <v>1358</v>
      </c>
      <c r="J22" s="74"/>
    </row>
    <row r="23" spans="1:10" ht="15">
      <c r="A23" s="3"/>
      <c r="B23" s="3"/>
      <c r="C23" s="3"/>
      <c r="D23" s="178" t="s">
        <v>213</v>
      </c>
      <c r="E23" s="176" t="s">
        <v>213</v>
      </c>
      <c r="F23" s="177"/>
      <c r="G23" s="176" t="s">
        <v>213</v>
      </c>
      <c r="H23" s="74"/>
      <c r="I23" s="146" t="s">
        <v>215</v>
      </c>
      <c r="J23" s="144"/>
    </row>
    <row r="24" spans="1:10" ht="15.75">
      <c r="A24" s="3">
        <v>4</v>
      </c>
      <c r="B24" s="3"/>
      <c r="C24" s="3" t="s">
        <v>219</v>
      </c>
      <c r="D24" s="178">
        <f>SUM(D20:D22)</f>
        <v>18675</v>
      </c>
      <c r="E24" s="178">
        <f>SUM(E20:E22)</f>
        <v>3271</v>
      </c>
      <c r="F24" s="177"/>
      <c r="G24" s="178">
        <f>SUM(G20:G22)</f>
        <v>1036995</v>
      </c>
      <c r="H24" s="74"/>
      <c r="I24" s="126">
        <f>SUM(I20:I22)</f>
        <v>2815</v>
      </c>
      <c r="J24" s="142">
        <f>ROUND(I24/12,0)</f>
        <v>235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235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220</v>
      </c>
      <c r="D28" s="246">
        <v>5772</v>
      </c>
      <c r="E28" s="246">
        <v>2903</v>
      </c>
      <c r="F28" s="226">
        <f>+E28/D28</f>
        <v>0.50294525294525294</v>
      </c>
      <c r="G28" s="243">
        <v>269257</v>
      </c>
      <c r="H28" s="39">
        <f>+G28/D$45</f>
        <v>2.015654073935268E-3</v>
      </c>
      <c r="I28" s="111">
        <f>ROUND(+H28*G28,0)</f>
        <v>543</v>
      </c>
      <c r="J28" s="111"/>
    </row>
    <row r="29" spans="1:10" ht="15.75">
      <c r="A29" s="3">
        <f>1+A28</f>
        <v>7</v>
      </c>
      <c r="B29" s="3"/>
      <c r="C29" s="3" t="s">
        <v>221</v>
      </c>
      <c r="D29" s="246">
        <v>5478</v>
      </c>
      <c r="E29" s="246">
        <v>1307</v>
      </c>
      <c r="F29" s="226">
        <f>+E29/D29</f>
        <v>0.23859072654253377</v>
      </c>
      <c r="G29" s="246">
        <v>234484</v>
      </c>
      <c r="H29" s="39">
        <f>+G29/D$45</f>
        <v>1.7553438903079117E-3</v>
      </c>
      <c r="I29" s="74">
        <f>ROUND(+H29*G29,0)</f>
        <v>412</v>
      </c>
      <c r="J29" s="74"/>
    </row>
    <row r="30" spans="1:10" ht="15">
      <c r="A30" s="3"/>
      <c r="B30" s="3"/>
      <c r="C30" s="3"/>
      <c r="D30" s="178" t="s">
        <v>213</v>
      </c>
      <c r="E30" s="176" t="s">
        <v>213</v>
      </c>
      <c r="F30" s="177"/>
      <c r="G30" s="176" t="s">
        <v>213</v>
      </c>
      <c r="H30" s="74"/>
      <c r="I30" s="144" t="s">
        <v>215</v>
      </c>
      <c r="J30" s="144"/>
    </row>
    <row r="31" spans="1:10" ht="15.75">
      <c r="A31" s="3">
        <v>8</v>
      </c>
      <c r="B31" s="3"/>
      <c r="C31" s="3" t="s">
        <v>222</v>
      </c>
      <c r="D31" s="178">
        <f>SUM(D28:D29)</f>
        <v>11250</v>
      </c>
      <c r="E31" s="178">
        <f>SUM(E28:E29)</f>
        <v>4210</v>
      </c>
      <c r="F31" s="177"/>
      <c r="G31" s="178">
        <f>SUM(G28:G29)</f>
        <v>503741</v>
      </c>
      <c r="H31" s="74"/>
      <c r="I31" s="111">
        <f>SUM(I28:I29)</f>
        <v>955</v>
      </c>
      <c r="J31" s="142">
        <f>ROUND(I31/12,0)</f>
        <v>80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236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223</v>
      </c>
      <c r="D35" s="359">
        <v>1076</v>
      </c>
      <c r="E35" s="284">
        <f>+D35</f>
        <v>1076</v>
      </c>
      <c r="F35" s="226">
        <f t="shared" ref="F35:F40" si="1">+E35/D35</f>
        <v>1</v>
      </c>
      <c r="G35" s="241">
        <v>227364</v>
      </c>
      <c r="H35" s="39">
        <f t="shared" ref="H35:H40" si="2">+G35/D$45</f>
        <v>1.7020436715339555E-3</v>
      </c>
      <c r="I35" s="111">
        <f t="shared" ref="I35:I40" si="3">ROUND(+H35*G35,0)</f>
        <v>387</v>
      </c>
      <c r="J35" s="111"/>
    </row>
    <row r="36" spans="1:10" ht="15.75">
      <c r="A36" s="3">
        <f t="shared" si="0"/>
        <v>11</v>
      </c>
      <c r="B36" s="3"/>
      <c r="C36" s="3" t="s">
        <v>217</v>
      </c>
      <c r="D36" s="359">
        <v>4457</v>
      </c>
      <c r="E36" s="244">
        <v>2818</v>
      </c>
      <c r="F36" s="226">
        <f t="shared" si="1"/>
        <v>0.63226385461072465</v>
      </c>
      <c r="G36" s="242">
        <v>368591</v>
      </c>
      <c r="H36" s="39">
        <f t="shared" si="2"/>
        <v>2.7592669856897848E-3</v>
      </c>
      <c r="I36" s="74">
        <f t="shared" si="3"/>
        <v>1017</v>
      </c>
      <c r="J36" s="74"/>
    </row>
    <row r="37" spans="1:10" ht="15.75">
      <c r="A37" s="3">
        <f t="shared" si="0"/>
        <v>12</v>
      </c>
      <c r="B37" s="3"/>
      <c r="C37" s="3" t="s">
        <v>224</v>
      </c>
      <c r="D37" s="359">
        <v>3764</v>
      </c>
      <c r="E37" s="244">
        <v>165</v>
      </c>
      <c r="F37" s="226">
        <f t="shared" si="1"/>
        <v>4.3836344314558982E-2</v>
      </c>
      <c r="G37" s="244">
        <v>149218</v>
      </c>
      <c r="H37" s="39">
        <f t="shared" si="2"/>
        <v>1.1170438265466554E-3</v>
      </c>
      <c r="I37" s="74">
        <f t="shared" si="3"/>
        <v>167</v>
      </c>
      <c r="J37" s="74"/>
    </row>
    <row r="38" spans="1:10" ht="15.75">
      <c r="A38" s="3">
        <f t="shared" si="0"/>
        <v>13</v>
      </c>
      <c r="B38" s="3"/>
      <c r="C38" s="3" t="s">
        <v>225</v>
      </c>
      <c r="D38" s="359">
        <v>3535</v>
      </c>
      <c r="E38" s="244">
        <v>811</v>
      </c>
      <c r="F38" s="226">
        <f t="shared" si="1"/>
        <v>0.22942008486562943</v>
      </c>
      <c r="G38" s="244">
        <v>200039</v>
      </c>
      <c r="H38" s="39">
        <f t="shared" si="2"/>
        <v>1.4974891100173332E-3</v>
      </c>
      <c r="I38" s="74">
        <f t="shared" si="3"/>
        <v>300</v>
      </c>
      <c r="J38" s="74"/>
    </row>
    <row r="39" spans="1:10" ht="15.75">
      <c r="A39" s="3">
        <f t="shared" si="0"/>
        <v>14</v>
      </c>
      <c r="B39" s="3"/>
      <c r="C39" s="3" t="s">
        <v>216</v>
      </c>
      <c r="D39" s="359">
        <v>4768</v>
      </c>
      <c r="E39" s="244">
        <v>1316</v>
      </c>
      <c r="F39" s="226">
        <f t="shared" si="1"/>
        <v>0.27600671140939598</v>
      </c>
      <c r="G39" s="242">
        <v>242433</v>
      </c>
      <c r="H39" s="39">
        <f t="shared" si="2"/>
        <v>1.8148499912958578E-3</v>
      </c>
      <c r="I39" s="74">
        <f t="shared" si="3"/>
        <v>440</v>
      </c>
      <c r="J39" s="74"/>
    </row>
    <row r="40" spans="1:10" ht="15.75">
      <c r="A40" s="3">
        <f t="shared" si="0"/>
        <v>15</v>
      </c>
      <c r="B40" s="3"/>
      <c r="C40" s="3" t="s">
        <v>218</v>
      </c>
      <c r="D40" s="359">
        <v>9450</v>
      </c>
      <c r="E40" s="244">
        <v>913</v>
      </c>
      <c r="F40" s="226">
        <f t="shared" si="1"/>
        <v>9.661375661375661E-2</v>
      </c>
      <c r="G40" s="242">
        <v>425971</v>
      </c>
      <c r="H40" s="39">
        <f t="shared" si="2"/>
        <v>3.1888128499102347E-3</v>
      </c>
      <c r="I40" s="74">
        <f t="shared" si="3"/>
        <v>1358</v>
      </c>
      <c r="J40" s="74"/>
    </row>
    <row r="41" spans="1:10" ht="15">
      <c r="A41" s="3"/>
      <c r="B41" s="3"/>
      <c r="C41" s="3"/>
      <c r="D41" s="70" t="s">
        <v>213</v>
      </c>
      <c r="E41" s="3" t="s">
        <v>213</v>
      </c>
      <c r="F41" s="70"/>
      <c r="G41" s="3" t="s">
        <v>213</v>
      </c>
      <c r="H41" s="74"/>
      <c r="I41" s="144" t="s">
        <v>215</v>
      </c>
      <c r="J41" s="144"/>
    </row>
    <row r="42" spans="1:10" ht="15.75">
      <c r="A42" s="3">
        <v>16</v>
      </c>
      <c r="B42" s="3"/>
      <c r="C42" s="3" t="s">
        <v>226</v>
      </c>
      <c r="D42" s="178">
        <f>SUM(D35:D40)</f>
        <v>27050</v>
      </c>
      <c r="E42" s="178">
        <f>SUM(E35:E40)</f>
        <v>7099</v>
      </c>
      <c r="F42" s="70"/>
      <c r="G42" s="178">
        <f>SUM(G35:G40)</f>
        <v>1613616</v>
      </c>
      <c r="H42" s="74"/>
      <c r="I42" s="126">
        <f>SUM(I35:I40)</f>
        <v>3669</v>
      </c>
      <c r="J42" s="142">
        <f>ROUND(I42/12,0)</f>
        <v>306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245</v>
      </c>
      <c r="C45" s="3"/>
      <c r="D45" s="111">
        <f>+'1 Rev Req'!E14</f>
        <v>133582941.37957677</v>
      </c>
      <c r="E45" s="36" t="s">
        <v>320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Ryan, Bill</cp:lastModifiedBy>
  <cp:lastPrinted>2017-10-16T15:38:12Z</cp:lastPrinted>
  <dcterms:created xsi:type="dcterms:W3CDTF">1996-11-14T19:03:55Z</dcterms:created>
  <dcterms:modified xsi:type="dcterms:W3CDTF">2017-10-16T16:47:35Z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