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155" yWindow="345" windowWidth="14805" windowHeight="14190" tabRatio="701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 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  <externalReference r:id="rId20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Depreciation'!$A$1:$G$45</definedName>
    <definedName name="_xlnm.Print_Area" localSheetId="12">'11 13 mo avg plant'!$A$4:$G$64</definedName>
    <definedName name="_xlnm.Print_Area" localSheetId="13">'12   13 mo avg accu dep'!$A$4:$G$47</definedName>
    <definedName name="_xlnm.Print_Area" localSheetId="14">'13 ADIT '!$A$4:$G$36</definedName>
    <definedName name="_xlnm.Print_Area" localSheetId="15">'14 165 Prepayments'!$A$1:$G$28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Meters'!$A$5:$J$55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A27" i="19" l="1"/>
  <c r="A28" i="19"/>
  <c r="D27" i="19"/>
  <c r="C27" i="19"/>
  <c r="N15" i="3" l="1"/>
  <c r="K85" i="3"/>
  <c r="C33" i="4"/>
  <c r="E35" i="12" l="1"/>
  <c r="E51" i="14" l="1"/>
  <c r="E43" i="14"/>
  <c r="A40" i="14"/>
  <c r="A41" i="14"/>
  <c r="D6" i="2" l="1"/>
  <c r="A39" i="14" l="1"/>
  <c r="G44" i="13" l="1"/>
  <c r="G43" i="13"/>
  <c r="G42" i="13"/>
  <c r="G30" i="13"/>
  <c r="G29" i="13"/>
  <c r="G27" i="13"/>
  <c r="D28" i="19" l="1"/>
  <c r="C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A15" i="19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E28" i="19" l="1"/>
  <c r="C31" i="4" s="1"/>
  <c r="K86" i="3"/>
  <c r="K79" i="3"/>
  <c r="K71" i="3"/>
  <c r="K64" i="3"/>
  <c r="D45" i="13"/>
  <c r="D44" i="13"/>
  <c r="D41" i="13" l="1"/>
  <c r="E36" i="18"/>
  <c r="C28" i="4" s="1"/>
  <c r="E28" i="18"/>
  <c r="C27" i="4" s="1"/>
  <c r="E20" i="18"/>
  <c r="C26" i="4" s="1"/>
  <c r="C65" i="11"/>
  <c r="C43" i="11"/>
  <c r="B6" i="15"/>
  <c r="B5" i="15"/>
  <c r="G22" i="12"/>
  <c r="G21" i="12"/>
  <c r="G20" i="12"/>
  <c r="G36" i="3" l="1"/>
  <c r="G27" i="3"/>
  <c r="D52" i="11" l="1"/>
  <c r="E15" i="3"/>
  <c r="P13" i="3"/>
  <c r="E13" i="3"/>
  <c r="D7" i="20"/>
  <c r="D6" i="20"/>
  <c r="F40" i="12"/>
  <c r="F39" i="12"/>
  <c r="F38" i="12"/>
  <c r="F37" i="12"/>
  <c r="F36" i="12"/>
  <c r="F35" i="12"/>
  <c r="F29" i="12"/>
  <c r="F28" i="12"/>
  <c r="F22" i="12"/>
  <c r="F21" i="12"/>
  <c r="F20" i="12"/>
  <c r="C62" i="5"/>
  <c r="C24" i="5" s="1"/>
  <c r="C53" i="5"/>
  <c r="C37" i="5" s="1"/>
  <c r="G74" i="11"/>
  <c r="F74" i="11"/>
  <c r="G42" i="12"/>
  <c r="E42" i="12"/>
  <c r="D42" i="12"/>
  <c r="G31" i="12"/>
  <c r="E31" i="12"/>
  <c r="D31" i="12"/>
  <c r="G24" i="12"/>
  <c r="E24" i="12"/>
  <c r="D24" i="12"/>
  <c r="E47" i="13"/>
  <c r="D47" i="13"/>
  <c r="C63" i="16"/>
  <c r="D33" i="6" s="1"/>
  <c r="C46" i="16"/>
  <c r="D43" i="6" s="1"/>
  <c r="C29" i="16"/>
  <c r="D29" i="6" s="1"/>
  <c r="C46" i="17"/>
  <c r="C21" i="4" s="1"/>
  <c r="C7" i="16"/>
  <c r="C6" i="16"/>
  <c r="C7" i="17"/>
  <c r="C6" i="17"/>
  <c r="C7" i="18"/>
  <c r="C6" i="18"/>
  <c r="C7" i="19"/>
  <c r="C6" i="19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 s="1"/>
  <c r="G19" i="13"/>
  <c r="F19" i="13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79" i="11"/>
  <c r="A80" i="11"/>
  <c r="B79" i="11"/>
  <c r="A70" i="11"/>
  <c r="A71" i="11"/>
  <c r="A72" i="1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 s="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 s="1"/>
  <c r="A22" i="4" s="1"/>
  <c r="A25" i="4"/>
  <c r="A26" i="4"/>
  <c r="A27" i="4" s="1"/>
  <c r="A28" i="4" s="1"/>
  <c r="A29" i="4" s="1"/>
  <c r="A36" i="4"/>
  <c r="A37" i="4" s="1"/>
  <c r="A38" i="4" s="1"/>
  <c r="A46" i="4"/>
  <c r="A47" i="4"/>
  <c r="A48" i="4" s="1"/>
  <c r="A49" i="4" s="1"/>
  <c r="E7" i="3"/>
  <c r="E6" i="3"/>
  <c r="F39" i="4"/>
  <c r="B8" i="4"/>
  <c r="B7" i="4"/>
  <c r="A18" i="5"/>
  <c r="A19" i="5" s="1"/>
  <c r="A24" i="5"/>
  <c r="A29" i="5"/>
  <c r="A30" i="5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 s="1"/>
  <c r="A23" i="6"/>
  <c r="A24" i="6"/>
  <c r="A30" i="6"/>
  <c r="A31" i="6" s="1"/>
  <c r="A36" i="6"/>
  <c r="A44" i="6"/>
  <c r="A45" i="6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9" i="17"/>
  <c r="C20" i="4" s="1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R15" i="3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 l="1"/>
  <c r="E75" i="11" s="1"/>
  <c r="E76" i="11" s="1"/>
  <c r="E36" i="3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E35" i="2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4" i="14" s="1"/>
  <c r="E46" i="14" s="1"/>
  <c r="J20" i="4"/>
  <c r="L20" i="4" s="1"/>
  <c r="F36" i="6"/>
  <c r="F38" i="6" s="1"/>
  <c r="J28" i="4" s="1"/>
  <c r="J17" i="5"/>
  <c r="L17" i="5" s="1"/>
  <c r="D45" i="12"/>
  <c r="H21" i="12" s="1"/>
  <c r="D26" i="4" l="1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7" i="14" s="1"/>
  <c r="E49" i="14" s="1"/>
  <c r="E53" i="14" s="1"/>
  <c r="E54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sharedStrings.xml><?xml version="1.0" encoding="utf-8"?>
<sst xmlns="http://schemas.openxmlformats.org/spreadsheetml/2006/main" count="1144" uniqueCount="688">
  <si>
    <t>=</t>
  </si>
  <si>
    <t>(a)</t>
  </si>
  <si>
    <t>(b)</t>
  </si>
  <si>
    <t>Reference</t>
  </si>
  <si>
    <t>Total</t>
  </si>
  <si>
    <t>I.</t>
  </si>
  <si>
    <t>INVESTMENT BASE</t>
  </si>
  <si>
    <t>Section: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</si>
  <si>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</si>
  <si>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</si>
  <si>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</si>
  <si>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</si>
  <si>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</si>
  <si>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</si>
  <si>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</si>
  <si>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</si>
  <si>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</si>
  <si>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</si>
  <si>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</si>
  <si>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</si>
  <si>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</si>
  <si>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</si>
  <si>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</si>
  <si>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</si>
  <si>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</si>
  <si>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</si>
  <si>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</si>
  <si>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</si>
  <si>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</si>
  <si>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</si>
  <si>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</si>
  <si>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</si>
  <si>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</si>
  <si>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</si>
  <si>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</si>
  <si>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</si>
  <si>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</si>
  <si>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</si>
  <si>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</si>
  <si>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</si>
  <si>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</si>
  <si>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</si>
  <si>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</si>
  <si>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</si>
  <si>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</si>
  <si>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</si>
  <si>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</si>
  <si>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</si>
  <si>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</si>
  <si>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</si>
  <si>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</si>
  <si>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</si>
  <si>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</si>
  <si>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</si>
  <si>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</si>
  <si>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</si>
  <si>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</si>
  <si>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</si>
  <si>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</si>
  <si>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</si>
  <si>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</si>
  <si>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</si>
  <si>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</si>
  <si>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</si>
  <si>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</si>
  <si>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</si>
  <si>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</si>
  <si>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</si>
  <si>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</si>
  <si>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</si>
  <si>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</si>
  <si>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</si>
  <si>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</si>
  <si>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</si>
  <si>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</si>
  <si>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</si>
  <si>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</si>
  <si>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</si>
  <si>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</si>
  <si>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</si>
  <si>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</si>
  <si>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</si>
  <si>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</si>
  <si>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</si>
  <si>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</si>
  <si>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</si>
  <si>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</si>
  <si>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</si>
  <si>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</si>
  <si>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</si>
  <si>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</si>
  <si>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(A)(1)(c)</t>
  </si>
  <si>
    <t>(F)</t>
  </si>
  <si>
    <t>Page 323.197b</t>
  </si>
  <si>
    <t>Page 323.189b</t>
  </si>
  <si>
    <t>Page 323.191b</t>
  </si>
  <si>
    <t>Page 354.28b</t>
  </si>
  <si>
    <t>Page 354.27b</t>
  </si>
  <si>
    <t>Page 336.10b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</si>
  <si>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</si>
  <si>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</si>
  <si>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</si>
  <si>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</si>
  <si>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</si>
  <si>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</si>
  <si>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</si>
  <si>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</si>
  <si>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</si>
  <si>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</si>
  <si>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</si>
  <si>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</si>
  <si>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</si>
  <si>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</si>
  <si>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</si>
  <si>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</si>
  <si>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</si>
  <si>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(A)(1)(g)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</si>
  <si>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</si>
  <si>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</si>
  <si>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</si>
  <si>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</si>
  <si>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</si>
  <si>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</si>
  <si>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</si>
  <si>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</si>
  <si>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</si>
  <si>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</si>
  <si>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</si>
  <si>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</si>
  <si>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</si>
  <si>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</si>
  <si>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</si>
  <si>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</si>
  <si>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</si>
  <si>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</si>
  <si>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</si>
  <si>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</si>
  <si>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</si>
  <si>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</si>
  <si>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</si>
  <si>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</si>
  <si>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</si>
  <si>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</si>
  <si>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</si>
  <si>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</si>
  <si>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</si>
  <si>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</si>
  <si>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</si>
  <si>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</si>
  <si>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</si>
  <si>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</si>
  <si>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</si>
  <si>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</si>
  <si>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Page 354.23b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</si>
  <si>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</si>
  <si>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</si>
  <si>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</si>
  <si>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</si>
  <si>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</si>
  <si>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</si>
  <si>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</si>
  <si>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</si>
  <si>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</si>
  <si>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</si>
  <si>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</si>
  <si>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</si>
  <si>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</si>
  <si>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</si>
  <si>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</si>
  <si>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</si>
  <si>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</si>
  <si>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</si>
  <si>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</si>
  <si>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</si>
  <si>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</si>
  <si>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</si>
  <si>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</si>
  <si>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</si>
  <si>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</si>
  <si>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</si>
  <si>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</si>
  <si>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</si>
  <si>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</si>
  <si>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</si>
  <si>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</si>
  <si>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</si>
  <si>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</si>
  <si>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</si>
  <si>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</si>
  <si>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</si>
  <si>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</si>
  <si>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</si>
  <si>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</si>
  <si>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</si>
  <si>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</si>
  <si>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</si>
  <si>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</si>
  <si>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</si>
  <si>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</si>
  <si>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</si>
  <si>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</si>
  <si>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</si>
  <si>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</si>
  <si>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</si>
  <si>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</si>
  <si>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</si>
  <si>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</si>
  <si>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</si>
  <si>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</si>
  <si>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</si>
  <si>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</si>
  <si>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</si>
  <si>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</si>
  <si>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</si>
  <si>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</si>
  <si>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</si>
  <si>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</si>
  <si>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</si>
  <si>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</si>
  <si>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</si>
  <si>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</si>
  <si>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</si>
  <si>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</si>
  <si>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</si>
  <si>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</si>
  <si>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</si>
  <si>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</si>
  <si>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</si>
  <si>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</si>
  <si>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</si>
  <si>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</si>
  <si>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</si>
  <si>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</si>
  <si>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</si>
  <si>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</si>
  <si>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</si>
  <si>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</si>
  <si>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</si>
  <si>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</si>
  <si>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</si>
  <si>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</si>
  <si>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</si>
  <si>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</si>
  <si>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</si>
  <si>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</si>
  <si>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</si>
  <si>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</si>
  <si>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</si>
  <si>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</si>
  <si>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</si>
  <si>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</si>
  <si>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</si>
  <si>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</si>
  <si>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</si>
  <si>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</si>
  <si>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</si>
  <si>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</si>
  <si>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</si>
  <si>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</si>
  <si>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</si>
  <si>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</si>
  <si>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</si>
  <si>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</si>
  <si>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</si>
  <si>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</si>
  <si>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</si>
  <si>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</si>
  <si>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</si>
  <si>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</si>
  <si>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</si>
  <si>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</si>
  <si>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</si>
  <si>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</si>
  <si>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</si>
  <si>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</si>
  <si>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</si>
  <si>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</si>
  <si>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</si>
  <si>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</si>
  <si>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</si>
  <si>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</si>
  <si>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</si>
  <si>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</si>
  <si>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</si>
  <si>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</si>
  <si>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</si>
  <si>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Johnson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</si>
  <si>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</si>
  <si>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</si>
  <si>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</si>
  <si>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</si>
  <si>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</si>
  <si>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</si>
  <si>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</si>
  <si>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</si>
  <si>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</si>
  <si>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</si>
  <si>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</si>
  <si>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</si>
  <si>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</si>
  <si>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</si>
  <si>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</si>
  <si>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</si>
  <si>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</si>
  <si>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</si>
  <si>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</si>
  <si>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</si>
  <si>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</si>
  <si>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</si>
  <si>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</si>
  <si>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</si>
  <si>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</si>
  <si>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</si>
  <si>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>(A)(1)(d)</t>
  </si>
  <si>
    <t>D-2,3,4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</si>
  <si>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</si>
  <si>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</si>
  <si>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</si>
  <si>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</si>
  <si>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</si>
  <si>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</si>
  <si>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</si>
  <si>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</si>
  <si>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</si>
  <si>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</si>
  <si>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</si>
  <si>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</si>
  <si>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</si>
  <si>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</si>
  <si>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Attachment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</si>
  <si>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</si>
  <si>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</si>
  <si>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</si>
  <si>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</si>
  <si>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</si>
  <si>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</si>
  <si>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</si>
  <si>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</si>
  <si>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</si>
  <si>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</si>
  <si>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</si>
  <si>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</si>
  <si>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>Attachment D-2 Reference</t>
  </si>
  <si>
    <t>Attachment D-3 References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</si>
  <si>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</si>
  <si>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</si>
  <si>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</si>
  <si>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</si>
  <si>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</si>
  <si>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</si>
  <si>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</si>
  <si>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</si>
  <si>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</si>
  <si>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</si>
  <si>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</si>
  <si>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</si>
  <si>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</si>
  <si>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</si>
  <si>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</si>
  <si>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</si>
  <si>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</si>
  <si>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</si>
  <si>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</si>
  <si>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</si>
  <si>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</si>
  <si>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</si>
  <si>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</si>
  <si>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</si>
  <si>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</si>
  <si>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</si>
  <si>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</si>
  <si>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</si>
  <si>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</si>
  <si>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</si>
  <si>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</si>
  <si>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</si>
  <si>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</si>
  <si>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</si>
  <si>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</si>
  <si>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</si>
  <si>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</si>
  <si>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</si>
  <si>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</si>
  <si>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</si>
  <si>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</si>
  <si>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</si>
  <si>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</si>
  <si>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</si>
  <si>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</si>
  <si>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</si>
  <si>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</si>
  <si>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</si>
  <si>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</si>
  <si>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</si>
  <si>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</si>
  <si>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</si>
  <si>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</si>
  <si>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</si>
  <si>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</si>
  <si>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</si>
  <si>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</si>
  <si>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</si>
  <si>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</si>
  <si>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</si>
  <si>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</si>
  <si>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</si>
  <si>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</si>
  <si>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</si>
  <si>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</si>
  <si>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</si>
  <si>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</si>
  <si>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</si>
  <si>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</si>
  <si>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</si>
  <si>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</si>
  <si>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</si>
  <si>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</si>
  <si>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</si>
  <si>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</si>
  <si>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</si>
  <si>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</si>
  <si>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</si>
  <si>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</si>
  <si>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</si>
  <si>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</si>
  <si>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</si>
  <si>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</si>
  <si>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</si>
  <si>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</si>
  <si>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</si>
  <si>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</si>
  <si>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</si>
  <si>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</si>
  <si>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</si>
  <si>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</si>
  <si>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</si>
  <si>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</si>
  <si>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</si>
  <si>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</si>
  <si>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</si>
  <si>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</si>
  <si>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</si>
  <si>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</si>
  <si>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</si>
  <si>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</si>
  <si>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</si>
  <si>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</si>
  <si>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</si>
  <si>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</si>
  <si>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</si>
  <si>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</si>
  <si>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</si>
  <si>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</si>
  <si>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</si>
  <si>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</si>
  <si>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</si>
  <si>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</si>
  <si>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</si>
  <si>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</si>
  <si>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</si>
  <si>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</si>
  <si>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</si>
  <si>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</si>
  <si>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</si>
  <si>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</si>
  <si>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</si>
  <si>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</si>
  <si>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</si>
  <si>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</si>
  <si>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</si>
  <si>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</si>
  <si>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</si>
  <si>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</si>
  <si>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</si>
  <si>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</si>
  <si>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</si>
  <si>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</si>
  <si>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</si>
  <si>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</si>
  <si>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</si>
  <si>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</si>
  <si>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</si>
  <si>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</si>
  <si>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</si>
  <si>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</si>
  <si>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</si>
  <si>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</si>
  <si>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</si>
  <si>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</si>
  <si>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</si>
  <si>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</si>
  <si>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</si>
  <si>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</si>
  <si>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</si>
  <si>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</si>
  <si>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</si>
  <si>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</si>
  <si>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</si>
  <si>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</si>
  <si>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</si>
  <si>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</si>
  <si>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</si>
  <si>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</si>
  <si>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</si>
  <si>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</si>
  <si>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</si>
  <si>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</si>
  <si>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</si>
  <si>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</si>
  <si>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</si>
  <si>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</si>
  <si>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</si>
  <si>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</si>
  <si>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</si>
  <si>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</si>
  <si>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</si>
  <si>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</si>
  <si>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</si>
  <si>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</si>
  <si>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</si>
  <si>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</si>
  <si>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</si>
  <si>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</si>
  <si>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</si>
  <si>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</si>
  <si>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</si>
  <si>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</si>
  <si>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</si>
  <si>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 xml:space="preserve">December 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</si>
  <si>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</si>
  <si>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</si>
  <si>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</si>
  <si>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</si>
  <si>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</si>
  <si>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</si>
  <si>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</si>
  <si>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</si>
  <si>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</si>
  <si>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</si>
  <si>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</si>
  <si>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</si>
  <si>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13 Month Average Transmission </t>
  </si>
  <si>
    <t>General</t>
  </si>
  <si>
    <t>Page 207.99g</t>
  </si>
  <si>
    <t>13 Month Average General</t>
  </si>
  <si>
    <t xml:space="preserve">Total Plant in Service </t>
  </si>
  <si>
    <t>Page 207.104g</t>
  </si>
  <si>
    <t>13 Month Average Total Plant</t>
  </si>
  <si>
    <t>Page 207.75g</t>
  </si>
  <si>
    <t>13 Month Average Accumulated Depreciation</t>
  </si>
  <si>
    <t>Page 219.28c prior year</t>
  </si>
  <si>
    <t>Page 219.28c</t>
  </si>
  <si>
    <t>ADIT</t>
  </si>
  <si>
    <t xml:space="preserve">Beginning </t>
  </si>
  <si>
    <t xml:space="preserve">Ending </t>
  </si>
  <si>
    <t xml:space="preserve">Average </t>
  </si>
  <si>
    <t>Account 282</t>
  </si>
  <si>
    <t>Total Account 282</t>
  </si>
  <si>
    <t>Account 283</t>
  </si>
  <si>
    <t>Total Account 283</t>
  </si>
  <si>
    <t>Account 190</t>
  </si>
  <si>
    <t>Prepayment (165)</t>
  </si>
  <si>
    <t>Account 165 Prepayment</t>
  </si>
  <si>
    <t>Total Account 165</t>
  </si>
  <si>
    <t>Page 219.26c prior year</t>
  </si>
  <si>
    <t>Page 219.26c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</si>
  <si>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</si>
  <si>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</si>
  <si>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</si>
  <si>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</si>
  <si>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</si>
  <si>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</si>
  <si>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</si>
  <si>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General Plant Accum. Depreciation</t>
  </si>
  <si>
    <t>General Office Transportation Equipment - large vehicles</t>
  </si>
  <si>
    <t>General Office Transportation Equipment - small vehicles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</si>
  <si>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</si>
  <si>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</si>
  <si>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</si>
  <si>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</si>
  <si>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</si>
  <si>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</si>
  <si>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</si>
  <si>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</si>
  <si>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</si>
  <si>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</si>
  <si>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</si>
  <si>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</si>
  <si>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</si>
  <si>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</si>
  <si>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</si>
  <si>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</si>
  <si>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</si>
  <si>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</si>
  <si>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</si>
  <si>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</si>
  <si>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</si>
  <si>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</si>
  <si>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</si>
  <si>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</si>
  <si>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</si>
  <si>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</si>
  <si>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</si>
  <si>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</si>
  <si>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</si>
  <si>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</si>
  <si>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</si>
  <si>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</si>
  <si>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</si>
  <si>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</si>
  <si>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</si>
  <si>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</si>
  <si>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</si>
  <si>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</si>
  <si>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</si>
  <si>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Total Account 190</t>
  </si>
  <si>
    <t>**** Land and Land Rights attributable to substations from Plant Accounting, Page 450</t>
  </si>
  <si>
    <t>1/8 O&amp;M-Fuel&amp;Purchased Power</t>
  </si>
  <si>
    <t>WGR Done</t>
  </si>
  <si>
    <t>Actual</t>
  </si>
  <si>
    <t>Page 206.75b</t>
  </si>
  <si>
    <t>Page 206.99b</t>
  </si>
  <si>
    <t>Page 206.104b</t>
  </si>
  <si>
    <t>Page 111.57d,c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</si>
  <si>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</si>
  <si>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</si>
  <si>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</si>
  <si>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</si>
  <si>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</si>
  <si>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</si>
  <si>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</si>
  <si>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</si>
  <si>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</si>
  <si>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</si>
  <si>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</si>
  <si>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>Page 234.18b,c</t>
  </si>
  <si>
    <t xml:space="preserve">Sheldon (from intersection of Berkshire Tap </t>
  </si>
  <si>
    <t>16511~PREPAYMENTS-INS GENERAL</t>
  </si>
  <si>
    <t>16512~PREPAYMENTS-EMPLOYEE MEDICAL</t>
  </si>
  <si>
    <t>16514~PREPAYMENTS-INS LIABILITY</t>
  </si>
  <si>
    <t>16516~PREPAYMENTS-EXCESS LIABILITY</t>
  </si>
  <si>
    <t>16517~PREPAYMENTS-D.O.L.I.</t>
  </si>
  <si>
    <t>16522~PREPAYMENTS-REC BROKERAGE FEES</t>
  </si>
  <si>
    <t>16523~PREPAYMENT-401K MATCH</t>
  </si>
  <si>
    <t>16524~PREPAYMENT-LTD</t>
  </si>
  <si>
    <t>16525~PREPAYMENT-GROUP LIFE</t>
  </si>
  <si>
    <t>16531~PREPAYMENT-OTHER</t>
  </si>
  <si>
    <t>16532~PREPAYMENTS-MMWEC</t>
  </si>
  <si>
    <t>16538~PREPAYMENTS-MCNEIL</t>
  </si>
  <si>
    <t>16542~PREPAYMENTS-PROPERTY TAXES</t>
  </si>
  <si>
    <t>Worksheet 14, line 25</t>
  </si>
  <si>
    <t>Page 450.1</t>
  </si>
  <si>
    <t>Worksheet 13, line 2</t>
  </si>
  <si>
    <t>Worksheet 13, line 4</t>
  </si>
  <si>
    <t>Worksheet 13, line 6</t>
  </si>
  <si>
    <t>Page 227.9b/c</t>
  </si>
  <si>
    <t>* In effect 1/1/2014 - The depreciation rates may not be changed absent a Section 205 or 206 filing with FERC.</t>
  </si>
  <si>
    <t>Page 274.5.b,275.5.k</t>
  </si>
  <si>
    <t>Page 276.19.b,277.19.k</t>
  </si>
  <si>
    <t>Page 337.32</t>
  </si>
  <si>
    <t>Page 337.33</t>
  </si>
  <si>
    <t>Page 337.34</t>
  </si>
  <si>
    <t>Page 337.35</t>
  </si>
  <si>
    <t>Page 337.36</t>
  </si>
  <si>
    <t>Page 337.38</t>
  </si>
  <si>
    <t>Page 337.39</t>
  </si>
  <si>
    <t>Page 337.40</t>
  </si>
  <si>
    <t>Page 337.41</t>
  </si>
  <si>
    <t>Page 337.42</t>
  </si>
  <si>
    <t>Page 337.43</t>
  </si>
  <si>
    <t>Page 337.44</t>
  </si>
  <si>
    <t>Page 337.45</t>
  </si>
  <si>
    <t>Page 337.46</t>
  </si>
  <si>
    <t>Page 337.47</t>
  </si>
  <si>
    <t>Page 337.48</t>
  </si>
  <si>
    <t>Page 337.49</t>
  </si>
  <si>
    <t>Page 337.50</t>
  </si>
  <si>
    <t>Page 338.12</t>
  </si>
  <si>
    <t>Page 338.13</t>
  </si>
  <si>
    <t>Page 338.14</t>
  </si>
  <si>
    <t>Page 338.15</t>
  </si>
  <si>
    <t>Page 338.16</t>
  </si>
  <si>
    <t>Page 338.17</t>
  </si>
  <si>
    <t>Page 338.18</t>
  </si>
  <si>
    <t>Snipe Ireland VEC</t>
  </si>
  <si>
    <t>Jones Brook WEC</t>
  </si>
  <si>
    <t>Land and Land Rights (p.207.60.g) ****</t>
  </si>
  <si>
    <t>Page 123.31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</si>
</sst>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16">
    <font>
      <sz val="10"/>
      <name val="Arial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theme="1"/>
      <name val="Courier New"/>
      <family val="3"/>
    </font>
    <font>
      <u/>
      <sz val="9"/>
      <name val="Courier New"/>
      <family val="3"/>
    </font>
    <font>
      <b/>
      <sz val="20"/>
      <name val="Courier New"/>
      <family val="3"/>
    </font>
  </fonts>
  <fills count="10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5EE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6789">
    <xf numFmtId="0" fontId="0" fillId="0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2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8" fillId="21" borderId="0" applyNumberFormat="0" applyBorder="0" applyAlignment="0" applyProtection="0"/>
    <xf numFmtId="0" fontId="39" fillId="35" borderId="1" applyNumberFormat="0" applyAlignment="0" applyProtection="0"/>
    <xf numFmtId="0" fontId="24" fillId="22" borderId="2" applyNumberFormat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3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33" fillId="0" borderId="0"/>
    <xf numFmtId="37" fontId="33" fillId="0" borderId="0"/>
    <xf numFmtId="37" fontId="33" fillId="0" borderId="0"/>
    <xf numFmtId="0" fontId="14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0" fontId="30" fillId="35" borderId="8" applyNumberFormat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4" fillId="11" borderId="9" applyNumberFormat="0" applyProtection="0">
      <alignment vertical="center"/>
    </xf>
    <xf numFmtId="4" fontId="45" fillId="11" borderId="9" applyNumberFormat="0" applyProtection="0">
      <alignment vertical="center"/>
    </xf>
    <xf numFmtId="4" fontId="44" fillId="11" borderId="9" applyNumberFormat="0" applyProtection="0">
      <alignment horizontal="left" vertical="center" indent="1"/>
    </xf>
    <xf numFmtId="0" fontId="44" fillId="11" borderId="9" applyNumberFormat="0" applyProtection="0">
      <alignment horizontal="left" vertical="top" indent="1"/>
    </xf>
    <xf numFmtId="4" fontId="44" fillId="3" borderId="0" applyNumberFormat="0" applyProtection="0">
      <alignment horizontal="left" vertical="center" indent="1"/>
    </xf>
    <xf numFmtId="4" fontId="36" fillId="9" borderId="9" applyNumberFormat="0" applyProtection="0">
      <alignment horizontal="right" vertical="center"/>
    </xf>
    <xf numFmtId="4" fontId="36" fillId="4" borderId="9" applyNumberFormat="0" applyProtection="0">
      <alignment horizontal="right" vertical="center"/>
    </xf>
    <xf numFmtId="4" fontId="36" fillId="30" borderId="9" applyNumberFormat="0" applyProtection="0">
      <alignment horizontal="right" vertical="center"/>
    </xf>
    <xf numFmtId="4" fontId="36" fillId="15" borderId="9" applyNumberFormat="0" applyProtection="0">
      <alignment horizontal="right" vertical="center"/>
    </xf>
    <xf numFmtId="4" fontId="36" fillId="41" borderId="9" applyNumberFormat="0" applyProtection="0">
      <alignment horizontal="right" vertical="center"/>
    </xf>
    <xf numFmtId="4" fontId="36" fillId="14" borderId="9" applyNumberFormat="0" applyProtection="0">
      <alignment horizontal="right" vertical="center"/>
    </xf>
    <xf numFmtId="4" fontId="36" fillId="12" borderId="9" applyNumberFormat="0" applyProtection="0">
      <alignment horizontal="right" vertical="center"/>
    </xf>
    <xf numFmtId="4" fontId="36" fillId="42" borderId="9" applyNumberFormat="0" applyProtection="0">
      <alignment horizontal="right" vertical="center"/>
    </xf>
    <xf numFmtId="4" fontId="36" fillId="43" borderId="9" applyNumberFormat="0" applyProtection="0">
      <alignment horizontal="right" vertical="center"/>
    </xf>
    <xf numFmtId="4" fontId="44" fillId="44" borderId="1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46" fillId="10" borderId="0" applyNumberFormat="0" applyProtection="0">
      <alignment horizontal="left" vertical="center" indent="1"/>
    </xf>
    <xf numFmtId="4" fontId="36" fillId="3" borderId="9" applyNumberFormat="0" applyProtection="0">
      <alignment horizontal="right" vertical="center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7" borderId="11" applyNumberFormat="0">
      <protection locked="0"/>
    </xf>
    <xf numFmtId="0" fontId="2" fillId="7" borderId="11" applyNumberFormat="0">
      <protection locked="0"/>
    </xf>
    <xf numFmtId="4" fontId="36" fillId="5" borderId="9" applyNumberFormat="0" applyProtection="0">
      <alignment vertical="center"/>
    </xf>
    <xf numFmtId="4" fontId="47" fillId="5" borderId="9" applyNumberFormat="0" applyProtection="0">
      <alignment vertical="center"/>
    </xf>
    <xf numFmtId="4" fontId="36" fillId="5" borderId="9" applyNumberFormat="0" applyProtection="0">
      <alignment horizontal="left" vertical="center" indent="1"/>
    </xf>
    <xf numFmtId="0" fontId="36" fillId="5" borderId="9" applyNumberFormat="0" applyProtection="0">
      <alignment horizontal="left" vertical="top" indent="1"/>
    </xf>
    <xf numFmtId="4" fontId="36" fillId="45" borderId="9" applyNumberFormat="0" applyProtection="0">
      <alignment horizontal="right" vertical="center"/>
    </xf>
    <xf numFmtId="4" fontId="47" fillId="45" borderId="9" applyNumberFormat="0" applyProtection="0">
      <alignment horizontal="right" vertical="center"/>
    </xf>
    <xf numFmtId="4" fontId="36" fillId="3" borderId="9" applyNumberFormat="0" applyProtection="0">
      <alignment horizontal="left" vertical="center" indent="1"/>
    </xf>
    <xf numFmtId="0" fontId="36" fillId="3" borderId="9" applyNumberFormat="0" applyProtection="0">
      <alignment horizontal="left" vertical="top" indent="1"/>
    </xf>
    <xf numFmtId="4" fontId="48" fillId="46" borderId="0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3" fillId="0" borderId="0"/>
    <xf numFmtId="0" fontId="23" fillId="2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9" fontId="2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4" fontId="46" fillId="10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3" fillId="23" borderId="0" applyNumberFormat="0" applyBorder="0" applyAlignment="0" applyProtection="0"/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" fillId="7" borderId="11" applyNumberFormat="0">
      <protection locked="0"/>
    </xf>
    <xf numFmtId="0" fontId="2" fillId="7" borderId="11" applyNumberFormat="0">
      <protection locked="0"/>
    </xf>
    <xf numFmtId="0" fontId="2" fillId="7" borderId="11" applyNumberFormat="0">
      <protection locked="0"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4" fontId="48" fillId="46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3" fillId="0" borderId="0"/>
    <xf numFmtId="0" fontId="2" fillId="0" borderId="0"/>
    <xf numFmtId="0" fontId="67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4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23" fillId="83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23" fillId="4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23" fillId="4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23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23" fillId="28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23" fillId="41" borderId="0" applyNumberFormat="0" applyBorder="0" applyAlignment="0" applyProtection="0"/>
    <xf numFmtId="0" fontId="22" fillId="86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3" fillId="87" borderId="0" applyNumberFormat="0" applyBorder="0" applyAlignment="0" applyProtection="0"/>
    <xf numFmtId="0" fontId="23" fillId="18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92" fillId="66" borderId="0" applyNumberFormat="0" applyBorder="0" applyAlignment="0" applyProtection="0"/>
    <xf numFmtId="0" fontId="23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23" fillId="85" borderId="0" applyNumberFormat="0" applyBorder="0" applyAlignment="0" applyProtection="0"/>
    <xf numFmtId="0" fontId="22" fillId="88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92" fillId="67" borderId="0" applyNumberFormat="0" applyBorder="0" applyAlignment="0" applyProtection="0"/>
    <xf numFmtId="0" fontId="23" fillId="30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23" fillId="30" borderId="0" applyNumberFormat="0" applyBorder="0" applyAlignment="0" applyProtection="0"/>
    <xf numFmtId="0" fontId="22" fillId="89" borderId="0" applyNumberFormat="0" applyBorder="0" applyAlignment="0" applyProtection="0"/>
    <xf numFmtId="0" fontId="22" fillId="24" borderId="0" applyNumberFormat="0" applyBorder="0" applyAlignment="0" applyProtection="0"/>
    <xf numFmtId="0" fontId="22" fillId="90" borderId="0" applyNumberFormat="0" applyBorder="0" applyAlignment="0" applyProtection="0"/>
    <xf numFmtId="0" fontId="22" fillId="25" borderId="0" applyNumberFormat="0" applyBorder="0" applyAlignment="0" applyProtection="0"/>
    <xf numFmtId="0" fontId="23" fillId="91" borderId="0" applyNumberFormat="0" applyBorder="0" applyAlignment="0" applyProtection="0"/>
    <xf numFmtId="0" fontId="23" fillId="26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92" fillId="68" borderId="0" applyNumberFormat="0" applyBorder="0" applyAlignment="0" applyProtection="0"/>
    <xf numFmtId="0" fontId="23" fillId="12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23" fillId="12" borderId="0" applyNumberFormat="0" applyBorder="0" applyAlignment="0" applyProtection="0"/>
    <xf numFmtId="0" fontId="22" fillId="88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92" fillId="69" borderId="0" applyNumberFormat="0" applyBorder="0" applyAlignment="0" applyProtection="0"/>
    <xf numFmtId="0" fontId="23" fillId="84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23" fillId="84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3" fillId="87" borderId="0" applyNumberFormat="0" applyBorder="0" applyAlignment="0" applyProtection="0"/>
    <xf numFmtId="0" fontId="23" fillId="1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2" fillId="70" borderId="0" applyNumberFormat="0" applyBorder="0" applyAlignment="0" applyProtection="0"/>
    <xf numFmtId="0" fontId="23" fillId="28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23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21" borderId="0" applyNumberFormat="0" applyBorder="0" applyAlignment="0" applyProtection="0"/>
    <xf numFmtId="0" fontId="23" fillId="92" borderId="0" applyNumberFormat="0" applyBorder="0" applyAlignment="0" applyProtection="0"/>
    <xf numFmtId="0" fontId="23" fillId="32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2" fillId="71" borderId="0" applyNumberFormat="0" applyBorder="0" applyAlignment="0" applyProtection="0"/>
    <xf numFmtId="0" fontId="23" fillId="14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23" fillId="14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93" fillId="72" borderId="0" applyNumberFormat="0" applyBorder="0" applyAlignment="0" applyProtection="0"/>
    <xf numFmtId="0" fontId="50" fillId="9" borderId="0" applyNumberFormat="0" applyBorder="0" applyAlignment="0" applyProtection="0"/>
    <xf numFmtId="0" fontId="55" fillId="72" borderId="0" applyNumberFormat="0" applyBorder="0" applyAlignment="0" applyProtection="0"/>
    <xf numFmtId="0" fontId="50" fillId="9" borderId="0" applyNumberFormat="0" applyBorder="0" applyAlignment="0" applyProtection="0"/>
    <xf numFmtId="39" fontId="44" fillId="0" borderId="17">
      <alignment horizontal="right"/>
    </xf>
    <xf numFmtId="0" fontId="56" fillId="73" borderId="18" applyNumberFormat="0" applyAlignment="0" applyProtection="0"/>
    <xf numFmtId="0" fontId="56" fillId="73" borderId="18" applyNumberFormat="0" applyAlignment="0" applyProtection="0"/>
    <xf numFmtId="0" fontId="94" fillId="73" borderId="18" applyNumberFormat="0" applyAlignment="0" applyProtection="0"/>
    <xf numFmtId="0" fontId="71" fillId="13" borderId="1" applyNumberFormat="0" applyAlignment="0" applyProtection="0"/>
    <xf numFmtId="0" fontId="56" fillId="73" borderId="18" applyNumberFormat="0" applyAlignment="0" applyProtection="0"/>
    <xf numFmtId="0" fontId="71" fillId="13" borderId="1" applyNumberFormat="0" applyAlignment="0" applyProtection="0"/>
    <xf numFmtId="0" fontId="57" fillId="74" borderId="19" applyNumberFormat="0" applyAlignment="0" applyProtection="0"/>
    <xf numFmtId="0" fontId="57" fillId="74" borderId="19" applyNumberFormat="0" applyAlignment="0" applyProtection="0"/>
    <xf numFmtId="0" fontId="95" fillId="74" borderId="19" applyNumberFormat="0" applyAlignment="0" applyProtection="0"/>
    <xf numFmtId="0" fontId="24" fillId="36" borderId="2" applyNumberFormat="0" applyAlignment="0" applyProtection="0"/>
    <xf numFmtId="0" fontId="57" fillId="74" borderId="19" applyNumberFormat="0" applyAlignment="0" applyProtection="0"/>
    <xf numFmtId="0" fontId="24" fillId="36" borderId="2" applyNumberFormat="0" applyAlignment="0" applyProtection="0"/>
    <xf numFmtId="0" fontId="18" fillId="0" borderId="11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6" fillId="0" borderId="0" applyFont="0" applyFill="0" applyBorder="0" applyAlignment="0" applyProtection="0"/>
    <xf numFmtId="176" fontId="7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5" fontId="2" fillId="0" borderId="0" applyFont="0" applyFill="0" applyBorder="0" applyAlignment="0" applyProtection="0"/>
    <xf numFmtId="49" fontId="79" fillId="93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 applyFont="0" applyFill="0" applyBorder="0" applyAlignment="0" applyProtection="0"/>
    <xf numFmtId="177" fontId="68" fillId="94" borderId="0">
      <alignment horizontal="right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178" fontId="8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95" borderId="0">
      <alignment horizontal="right" vertical="center"/>
    </xf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98" fillId="75" borderId="0" applyNumberFormat="0" applyBorder="0" applyAlignment="0" applyProtection="0"/>
    <xf numFmtId="0" fontId="25" fillId="82" borderId="0" applyNumberFormat="0" applyBorder="0" applyAlignment="0" applyProtection="0"/>
    <xf numFmtId="0" fontId="59" fillId="75" borderId="0" applyNumberFormat="0" applyBorder="0" applyAlignment="0" applyProtection="0"/>
    <xf numFmtId="0" fontId="25" fillId="82" borderId="0" applyNumberFormat="0" applyBorder="0" applyAlignment="0" applyProtection="0"/>
    <xf numFmtId="38" fontId="68" fillId="96" borderId="0" applyNumberFormat="0" applyBorder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81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47" borderId="0" applyNumberFormat="0" applyFon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68" fillId="97" borderId="11" applyNumberFormat="0" applyBorder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52" fillId="6" borderId="1" applyNumberFormat="0" applyAlignment="0" applyProtection="0"/>
    <xf numFmtId="49" fontId="44" fillId="0" borderId="24">
      <alignment wrapText="1"/>
    </xf>
    <xf numFmtId="49" fontId="36" fillId="0" borderId="24">
      <alignment wrapText="1"/>
    </xf>
    <xf numFmtId="49" fontId="44" fillId="0" borderId="24">
      <alignment wrapText="1"/>
    </xf>
    <xf numFmtId="49" fontId="44" fillId="0" borderId="25">
      <alignment wrapText="1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100" fillId="0" borderId="23" applyNumberFormat="0" applyFill="0" applyAlignment="0" applyProtection="0"/>
    <xf numFmtId="0" fontId="75" fillId="0" borderId="28" applyNumberFormat="0" applyFill="0" applyAlignment="0" applyProtection="0"/>
    <xf numFmtId="0" fontId="64" fillId="0" borderId="23" applyNumberFormat="0" applyFill="0" applyAlignment="0" applyProtection="0"/>
    <xf numFmtId="0" fontId="75" fillId="0" borderId="28" applyNumberFormat="0" applyFill="0" applyAlignment="0" applyProtection="0"/>
    <xf numFmtId="0" fontId="85" fillId="0" borderId="0" applyNumberFormat="0" applyFont="0" applyFill="0" applyBorder="0" applyAlignment="0"/>
    <xf numFmtId="0" fontId="79" fillId="99" borderId="0">
      <alignment horizontal="right" vertical="center"/>
    </xf>
    <xf numFmtId="43" fontId="2" fillId="0" borderId="0" applyFont="0" applyFill="0" applyBorder="0" applyAlignment="0" applyProtection="0"/>
    <xf numFmtId="49" fontId="86" fillId="93" borderId="0">
      <alignment horizontal="centerContinuous" vertical="center"/>
    </xf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101" fillId="77" borderId="0" applyNumberFormat="0" applyBorder="0" applyAlignment="0" applyProtection="0"/>
    <xf numFmtId="0" fontId="43" fillId="11" borderId="0" applyNumberFormat="0" applyBorder="0" applyAlignment="0" applyProtection="0"/>
    <xf numFmtId="0" fontId="65" fillId="77" borderId="0" applyNumberFormat="0" applyBorder="0" applyAlignment="0" applyProtection="0"/>
    <xf numFmtId="0" fontId="43" fillId="11" borderId="0" applyNumberFormat="0" applyBorder="0" applyAlignment="0" applyProtection="0"/>
    <xf numFmtId="37" fontId="87" fillId="0" borderId="0"/>
    <xf numFmtId="167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0" fontId="76" fillId="0" borderId="0"/>
    <xf numFmtId="0" fontId="102" fillId="0" borderId="0"/>
    <xf numFmtId="0" fontId="76" fillId="0" borderId="0"/>
    <xf numFmtId="0" fontId="102" fillId="0" borderId="0"/>
    <xf numFmtId="0" fontId="90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37" fontId="33" fillId="0" borderId="0"/>
    <xf numFmtId="0" fontId="10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37" fontId="33" fillId="0" borderId="0"/>
    <xf numFmtId="0" fontId="2" fillId="0" borderId="0"/>
    <xf numFmtId="0" fontId="33" fillId="0" borderId="0"/>
    <xf numFmtId="37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37" fontId="33" fillId="0" borderId="0"/>
    <xf numFmtId="0" fontId="2" fillId="0" borderId="0"/>
    <xf numFmtId="0" fontId="33" fillId="0" borderId="0"/>
    <xf numFmtId="0" fontId="14" fillId="0" borderId="0"/>
    <xf numFmtId="0" fontId="2" fillId="0" borderId="0"/>
    <xf numFmtId="0" fontId="2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91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37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33" fillId="0" borderId="0"/>
    <xf numFmtId="0" fontId="33" fillId="0" borderId="0"/>
    <xf numFmtId="0" fontId="33" fillId="0" borderId="0"/>
    <xf numFmtId="4" fontId="3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49" fontId="36" fillId="0" borderId="24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9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33" borderId="0" applyNumberFormat="0" applyBorder="0" applyAlignment="0" applyProtection="0"/>
    <xf numFmtId="0" fontId="2" fillId="0" borderId="0"/>
    <xf numFmtId="0" fontId="36" fillId="7" borderId="0" applyNumberFormat="0" applyBorder="0" applyAlignment="0" applyProtection="0"/>
    <xf numFmtId="0" fontId="23" fillId="2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23" fillId="3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3" fillId="29" borderId="0" applyNumberFormat="0" applyBorder="0" applyAlignment="0" applyProtection="0"/>
    <xf numFmtId="0" fontId="23" fillId="23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41" fillId="32" borderId="1" applyNumberFormat="0" applyAlignment="0" applyProtection="0"/>
    <xf numFmtId="0" fontId="23" fillId="22" borderId="0" applyNumberFormat="0" applyBorder="0" applyAlignment="0" applyProtection="0"/>
    <xf numFmtId="0" fontId="33" fillId="0" borderId="0"/>
    <xf numFmtId="0" fontId="3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5" borderId="0" applyNumberFormat="0" applyBorder="0" applyAlignment="0" applyProtection="0"/>
    <xf numFmtId="0" fontId="33" fillId="0" borderId="0"/>
    <xf numFmtId="0" fontId="23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/>
    <xf numFmtId="0" fontId="2" fillId="0" borderId="0"/>
    <xf numFmtId="0" fontId="41" fillId="32" borderId="1" applyNumberFormat="0" applyAlignment="0" applyProtection="0"/>
    <xf numFmtId="0" fontId="23" fillId="29" borderId="0" applyNumberFormat="0" applyBorder="0" applyAlignment="0" applyProtection="0"/>
    <xf numFmtId="0" fontId="36" fillId="10" borderId="0" applyNumberFormat="0" applyBorder="0" applyAlignment="0" applyProtection="0"/>
    <xf numFmtId="0" fontId="23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23" fillId="2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36" fillId="4" borderId="0" applyNumberFormat="0" applyBorder="0" applyAlignment="0" applyProtection="0"/>
    <xf numFmtId="0" fontId="2" fillId="0" borderId="0"/>
    <xf numFmtId="0" fontId="36" fillId="13" borderId="0" applyNumberFormat="0" applyBorder="0" applyAlignment="0" applyProtection="0"/>
    <xf numFmtId="0" fontId="41" fillId="32" borderId="1" applyNumberFormat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6" fillId="9" borderId="0" applyNumberFormat="0" applyBorder="0" applyAlignment="0" applyProtection="0"/>
    <xf numFmtId="0" fontId="23" fillId="19" borderId="0" applyNumberFormat="0" applyBorder="0" applyAlignment="0" applyProtection="0"/>
    <xf numFmtId="0" fontId="3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55">
    <xf numFmtId="0" fontId="0" fillId="0" borderId="0" xfId="0"/>
    <xf numFmtId="0" fontId="3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13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38" fontId="6" fillId="0" borderId="0" xfId="0" applyNumberFormat="1" applyFont="1" applyBorder="1"/>
    <xf numFmtId="38" fontId="6" fillId="0" borderId="0" xfId="0" applyNumberFormat="1" applyFont="1" applyFill="1" applyBorder="1"/>
    <xf numFmtId="38" fontId="5" fillId="0" borderId="0" xfId="0" applyNumberFormat="1" applyFont="1"/>
    <xf numFmtId="38" fontId="5" fillId="0" borderId="0" xfId="0" applyNumberFormat="1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0" fontId="5" fillId="0" borderId="0" xfId="0" applyNumberFormat="1" applyFont="1"/>
    <xf numFmtId="0" fontId="5" fillId="0" borderId="0" xfId="0" applyFont="1" applyAlignment="1">
      <alignment horizontal="center"/>
    </xf>
    <xf numFmtId="38" fontId="5" fillId="0" borderId="0" xfId="0" applyNumberFormat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applyFont="1" applyFill="1"/>
    <xf numFmtId="38" fontId="5" fillId="0" borderId="13" xfId="0" applyNumberFormat="1" applyFont="1" applyFill="1" applyBorder="1"/>
    <xf numFmtId="0" fontId="5" fillId="0" borderId="0" xfId="0" quotePrefix="1" applyFont="1" applyFill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0" xfId="0" applyNumberFormat="1" applyFont="1"/>
    <xf numFmtId="38" fontId="5" fillId="0" borderId="13" xfId="0" applyNumberFormat="1" applyFont="1" applyBorder="1"/>
    <xf numFmtId="0" fontId="7" fillId="0" borderId="0" xfId="0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quotePrefix="1" applyFont="1"/>
    <xf numFmtId="3" fontId="5" fillId="0" borderId="0" xfId="46" applyNumberFormat="1" applyFont="1"/>
    <xf numFmtId="10" fontId="5" fillId="0" borderId="0" xfId="0" applyNumberFormat="1" applyFont="1" applyBorder="1"/>
    <xf numFmtId="38" fontId="9" fillId="0" borderId="13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37" fontId="5" fillId="0" borderId="14" xfId="0" applyNumberFormat="1" applyFont="1" applyBorder="1"/>
    <xf numFmtId="173" fontId="8" fillId="0" borderId="0" xfId="0" applyNumberFormat="1" applyFont="1" applyBorder="1"/>
    <xf numFmtId="0" fontId="5" fillId="0" borderId="15" xfId="0" applyFont="1" applyBorder="1" applyAlignment="1">
      <alignment horizontal="center"/>
    </xf>
    <xf numFmtId="10" fontId="5" fillId="0" borderId="0" xfId="0" applyNumberFormat="1" applyFont="1" applyProtection="1"/>
    <xf numFmtId="10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0" xfId="0" applyNumberFormat="1" applyFont="1" applyBorder="1" applyProtection="1"/>
    <xf numFmtId="10" fontId="5" fillId="0" borderId="16" xfId="0" applyNumberFormat="1" applyFont="1" applyBorder="1" applyProtection="1"/>
    <xf numFmtId="10" fontId="5" fillId="0" borderId="17" xfId="0" applyNumberFormat="1" applyFont="1" applyBorder="1"/>
    <xf numFmtId="169" fontId="5" fillId="0" borderId="0" xfId="0" applyNumberFormat="1" applyFont="1" applyBorder="1"/>
    <xf numFmtId="38" fontId="5" fillId="0" borderId="0" xfId="0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38" fontId="5" fillId="0" borderId="13" xfId="0" quotePrefix="1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left"/>
    </xf>
    <xf numFmtId="38" fontId="5" fillId="0" borderId="13" xfId="0" quotePrefix="1" applyNumberFormat="1" applyFont="1" applyBorder="1" applyAlignment="1">
      <alignment horizontal="left"/>
    </xf>
    <xf numFmtId="3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Continuous"/>
    </xf>
    <xf numFmtId="169" fontId="5" fillId="0" borderId="13" xfId="0" quotePrefix="1" applyNumberFormat="1" applyFont="1" applyBorder="1" applyAlignment="1">
      <alignment horizontal="left"/>
    </xf>
    <xf numFmtId="170" fontId="5" fillId="0" borderId="17" xfId="0" applyNumberFormat="1" applyFont="1" applyBorder="1"/>
    <xf numFmtId="170" fontId="5" fillId="0" borderId="0" xfId="0" applyNumberFormat="1" applyFont="1" applyBorder="1"/>
    <xf numFmtId="0" fontId="5" fillId="0" borderId="13" xfId="0" quotePrefix="1" applyFont="1" applyBorder="1"/>
    <xf numFmtId="0" fontId="5" fillId="0" borderId="0" xfId="0" quotePrefix="1" applyFont="1" applyBorder="1"/>
    <xf numFmtId="38" fontId="9" fillId="0" borderId="13" xfId="0" quotePrefix="1" applyNumberFormat="1" applyFont="1" applyBorder="1" applyAlignment="1">
      <alignment horizontal="right"/>
    </xf>
    <xf numFmtId="17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37" fontId="5" fillId="0" borderId="0" xfId="0" applyNumberFormat="1" applyFont="1" applyProtection="1"/>
    <xf numFmtId="37" fontId="8" fillId="0" borderId="0" xfId="0" applyNumberFormat="1" applyFont="1" applyBorder="1" applyProtection="1"/>
    <xf numFmtId="170" fontId="5" fillId="0" borderId="0" xfId="0" applyNumberFormat="1" applyFont="1"/>
    <xf numFmtId="170" fontId="8" fillId="0" borderId="0" xfId="0" applyNumberFormat="1" applyFont="1" applyBorder="1"/>
    <xf numFmtId="37" fontId="5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5" fillId="0" borderId="0" xfId="0" applyNumberFormat="1" applyFont="1" applyProtection="1"/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8" fontId="9" fillId="0" borderId="0" xfId="0" applyNumberFormat="1" applyFont="1" applyBorder="1"/>
    <xf numFmtId="38" fontId="9" fillId="0" borderId="0" xfId="0" applyNumberFormat="1" applyFont="1" applyFill="1" applyBorder="1"/>
    <xf numFmtId="0" fontId="6" fillId="0" borderId="0" xfId="0" applyFont="1" applyFill="1" applyBorder="1"/>
    <xf numFmtId="38" fontId="9" fillId="0" borderId="0" xfId="0" applyNumberFormat="1" applyFont="1"/>
    <xf numFmtId="0" fontId="9" fillId="0" borderId="0" xfId="0" applyFont="1" applyFill="1" applyBorder="1"/>
    <xf numFmtId="0" fontId="9" fillId="0" borderId="0" xfId="0" applyFont="1" applyBorder="1"/>
    <xf numFmtId="37" fontId="9" fillId="0" borderId="0" xfId="0" applyNumberFormat="1" applyFont="1" applyBorder="1"/>
    <xf numFmtId="0" fontId="9" fillId="0" borderId="0" xfId="0" applyFont="1"/>
    <xf numFmtId="10" fontId="9" fillId="0" borderId="0" xfId="0" applyNumberFormat="1" applyFont="1" applyProtection="1"/>
    <xf numFmtId="10" fontId="9" fillId="0" borderId="0" xfId="0" applyNumberFormat="1" applyFont="1" applyBorder="1" applyProtection="1"/>
    <xf numFmtId="0" fontId="7" fillId="0" borderId="0" xfId="0" applyFont="1" applyBorder="1" applyAlignment="1">
      <alignment horizontal="left"/>
    </xf>
    <xf numFmtId="166" fontId="5" fillId="0" borderId="0" xfId="0" applyNumberFormat="1" applyFont="1" applyAlignment="1" applyProtection="1">
      <alignment horizontal="center"/>
    </xf>
    <xf numFmtId="37" fontId="6" fillId="0" borderId="0" xfId="0" applyNumberFormat="1" applyFont="1" applyBorder="1"/>
    <xf numFmtId="38" fontId="5" fillId="0" borderId="0" xfId="0" applyNumberFormat="1" applyFont="1" applyBorder="1" applyAlignment="1">
      <alignment horizontal="right"/>
    </xf>
    <xf numFmtId="0" fontId="5" fillId="78" borderId="0" xfId="0" applyFont="1" applyFill="1"/>
    <xf numFmtId="0" fontId="11" fillId="0" borderId="0" xfId="0" applyFont="1" applyAlignment="1">
      <alignment horizontal="center"/>
    </xf>
    <xf numFmtId="0" fontId="5" fillId="78" borderId="0" xfId="0" applyFont="1" applyFill="1" applyAlignment="1">
      <alignment horizontal="center"/>
    </xf>
    <xf numFmtId="38" fontId="5" fillId="78" borderId="0" xfId="0" applyNumberFormat="1" applyFont="1" applyFill="1"/>
    <xf numFmtId="5" fontId="5" fillId="0" borderId="0" xfId="0" applyNumberFormat="1" applyFont="1"/>
    <xf numFmtId="0" fontId="5" fillId="78" borderId="0" xfId="0" applyFont="1" applyFill="1" applyBorder="1"/>
    <xf numFmtId="5" fontId="5" fillId="78" borderId="0" xfId="0" applyNumberFormat="1" applyFont="1" applyFill="1"/>
    <xf numFmtId="164" fontId="5" fillId="78" borderId="0" xfId="0" applyNumberFormat="1" applyFont="1" applyFill="1" applyBorder="1"/>
    <xf numFmtId="0" fontId="7" fillId="78" borderId="0" xfId="0" applyFont="1" applyFill="1"/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 applyBorder="1"/>
    <xf numFmtId="38" fontId="6" fillId="78" borderId="0" xfId="0" applyNumberFormat="1" applyFont="1" applyFill="1"/>
    <xf numFmtId="5" fontId="9" fillId="0" borderId="0" xfId="0" applyNumberFormat="1" applyFont="1" applyBorder="1"/>
    <xf numFmtId="5" fontId="9" fillId="0" borderId="17" xfId="0" applyNumberFormat="1" applyFont="1" applyBorder="1"/>
    <xf numFmtId="0" fontId="5" fillId="78" borderId="13" xfId="0" applyFont="1" applyFill="1" applyBorder="1"/>
    <xf numFmtId="5" fontId="5" fillId="0" borderId="0" xfId="0" applyNumberFormat="1" applyFont="1" applyBorder="1"/>
    <xf numFmtId="5" fontId="5" fillId="0" borderId="17" xfId="0" applyNumberFormat="1" applyFont="1" applyBorder="1"/>
    <xf numFmtId="5" fontId="5" fillId="0" borderId="14" xfId="0" applyNumberFormat="1" applyFont="1" applyBorder="1"/>
    <xf numFmtId="5" fontId="5" fillId="78" borderId="0" xfId="0" applyNumberFormat="1" applyFont="1" applyFill="1" applyBorder="1"/>
    <xf numFmtId="164" fontId="12" fillId="78" borderId="17" xfId="0" applyNumberFormat="1" applyFont="1" applyFill="1" applyBorder="1"/>
    <xf numFmtId="0" fontId="12" fillId="0" borderId="0" xfId="0" applyFont="1"/>
    <xf numFmtId="0" fontId="12" fillId="78" borderId="0" xfId="0" applyFont="1" applyFill="1"/>
    <xf numFmtId="10" fontId="5" fillId="0" borderId="13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Continuous"/>
    </xf>
    <xf numFmtId="6" fontId="9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7" fillId="0" borderId="0" xfId="0" applyFont="1" applyAlignment="1">
      <alignment horizontal="center"/>
    </xf>
    <xf numFmtId="5" fontId="7" fillId="0" borderId="0" xfId="0" applyNumberFormat="1" applyFont="1" applyAlignment="1" applyProtection="1">
      <alignment horizontal="center"/>
    </xf>
    <xf numFmtId="5" fontId="7" fillId="0" borderId="0" xfId="0" applyNumberFormat="1" applyFont="1" applyProtection="1"/>
    <xf numFmtId="5" fontId="5" fillId="0" borderId="0" xfId="0" applyNumberFormat="1" applyFont="1" applyProtection="1"/>
    <xf numFmtId="37" fontId="6" fillId="0" borderId="0" xfId="0" applyNumberFormat="1" applyFont="1" applyProtection="1">
      <protection locked="0"/>
    </xf>
    <xf numFmtId="37" fontId="5" fillId="0" borderId="0" xfId="0" applyNumberFormat="1" applyFont="1" applyAlignment="1" applyProtection="1">
      <alignment horizontal="right"/>
    </xf>
    <xf numFmtId="164" fontId="12" fillId="78" borderId="14" xfId="0" applyNumberFormat="1" applyFont="1" applyFill="1" applyBorder="1"/>
    <xf numFmtId="164" fontId="12" fillId="0" borderId="0" xfId="0" applyNumberFormat="1" applyFont="1" applyBorder="1"/>
    <xf numFmtId="164" fontId="12" fillId="78" borderId="0" xfId="0" applyNumberFormat="1" applyFont="1" applyFill="1" applyBorder="1"/>
    <xf numFmtId="5" fontId="5" fillId="0" borderId="0" xfId="0" applyNumberFormat="1" applyFont="1" applyAlignment="1" applyProtection="1">
      <alignment horizontal="right"/>
    </xf>
    <xf numFmtId="0" fontId="5" fillId="78" borderId="0" xfId="0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5" fontId="5" fillId="78" borderId="0" xfId="0" applyNumberFormat="1" applyFont="1" applyFill="1" applyProtection="1"/>
    <xf numFmtId="10" fontId="5" fillId="0" borderId="0" xfId="0" applyNumberFormat="1" applyFont="1" applyFill="1" applyBorder="1"/>
    <xf numFmtId="37" fontId="5" fillId="78" borderId="0" xfId="0" applyNumberFormat="1" applyFont="1" applyFill="1" applyAlignment="1">
      <alignment horizontal="right"/>
    </xf>
    <xf numFmtId="5" fontId="6" fillId="78" borderId="0" xfId="0" applyNumberFormat="1" applyFont="1" applyFill="1"/>
    <xf numFmtId="0" fontId="13" fillId="0" borderId="0" xfId="0" applyFont="1"/>
    <xf numFmtId="37" fontId="5" fillId="0" borderId="0" xfId="0" applyNumberFormat="1" applyFont="1"/>
    <xf numFmtId="5" fontId="12" fillId="0" borderId="0" xfId="0" applyNumberFormat="1" applyFont="1" applyProtection="1"/>
    <xf numFmtId="10" fontId="14" fillId="0" borderId="0" xfId="0" applyNumberFormat="1" applyFont="1" applyProtection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/>
    <xf numFmtId="37" fontId="5" fillId="0" borderId="0" xfId="0" applyNumberFormat="1" applyFont="1" applyBorder="1" applyAlignme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0" xfId="0" applyNumberFormat="1" applyFont="1" applyFill="1" applyBorder="1"/>
    <xf numFmtId="39" fontId="5" fillId="0" borderId="0" xfId="0" applyNumberFormat="1" applyFont="1" applyFill="1"/>
    <xf numFmtId="5" fontId="15" fillId="0" borderId="0" xfId="0" applyNumberFormat="1" applyFont="1" applyBorder="1"/>
    <xf numFmtId="37" fontId="5" fillId="78" borderId="0" xfId="0" applyNumberFormat="1" applyFont="1" applyFill="1" applyProtection="1"/>
    <xf numFmtId="37" fontId="5" fillId="78" borderId="0" xfId="0" applyNumberFormat="1" applyFont="1" applyFill="1" applyAlignment="1" applyProtection="1">
      <alignment horizontal="right"/>
    </xf>
    <xf numFmtId="10" fontId="5" fillId="78" borderId="0" xfId="0" applyNumberFormat="1" applyFont="1" applyFill="1"/>
    <xf numFmtId="0" fontId="5" fillId="78" borderId="0" xfId="0" applyFont="1" applyFill="1" applyProtection="1"/>
    <xf numFmtId="0" fontId="5" fillId="0" borderId="0" xfId="0" applyFont="1" applyFill="1" applyProtection="1"/>
    <xf numFmtId="0" fontId="5" fillId="0" borderId="0" xfId="0" applyFont="1" applyProtection="1"/>
    <xf numFmtId="0" fontId="5" fillId="78" borderId="0" xfId="0" applyFont="1" applyFill="1" applyProtection="1">
      <protection locked="0"/>
    </xf>
    <xf numFmtId="37" fontId="5" fillId="0" borderId="0" xfId="0" quotePrefix="1" applyNumberFormat="1" applyFont="1" applyAlignment="1">
      <alignment horizontal="right"/>
    </xf>
    <xf numFmtId="5" fontId="16" fillId="0" borderId="0" xfId="0" applyNumberFormat="1" applyFont="1"/>
    <xf numFmtId="0" fontId="5" fillId="0" borderId="0" xfId="0" applyFont="1" applyBorder="1" applyAlignment="1">
      <alignment horizontal="center" vertical="top" wrapText="1"/>
    </xf>
    <xf numFmtId="0" fontId="66" fillId="0" borderId="0" xfId="67" applyFont="1"/>
    <xf numFmtId="0" fontId="66" fillId="0" borderId="0" xfId="67" applyFont="1" applyAlignment="1">
      <alignment horizontal="right"/>
    </xf>
    <xf numFmtId="10" fontId="66" fillId="0" borderId="0" xfId="81" applyNumberFormat="1" applyFont="1" applyFill="1"/>
    <xf numFmtId="0" fontId="5" fillId="0" borderId="0" xfId="0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center" vertical="top" wrapText="1"/>
    </xf>
    <xf numFmtId="10" fontId="66" fillId="0" borderId="0" xfId="81" applyNumberFormat="1" applyFont="1" applyFill="1" applyAlignment="1">
      <alignment horizontal="right"/>
    </xf>
    <xf numFmtId="5" fontId="5" fillId="78" borderId="0" xfId="0" applyNumberFormat="1" applyFont="1" applyFill="1" applyAlignment="1" applyProtection="1">
      <alignment horizontal="center"/>
    </xf>
    <xf numFmtId="0" fontId="5" fillId="78" borderId="13" xfId="0" quotePrefix="1" applyFont="1" applyFill="1" applyBorder="1" applyAlignment="1">
      <alignment horizontal="right"/>
    </xf>
    <xf numFmtId="0" fontId="6" fillId="79" borderId="13" xfId="70" applyFont="1" applyFill="1" applyBorder="1" applyAlignment="1">
      <alignment horizontal="centerContinuous"/>
    </xf>
    <xf numFmtId="49" fontId="14" fillId="0" borderId="0" xfId="70" applyNumberFormat="1" applyFont="1"/>
    <xf numFmtId="49" fontId="14" fillId="0" borderId="0" xfId="70" quotePrefix="1" applyNumberFormat="1" applyFont="1"/>
    <xf numFmtId="164" fontId="5" fillId="0" borderId="0" xfId="0" applyNumberFormat="1" applyFont="1" applyProtection="1"/>
    <xf numFmtId="164" fontId="5" fillId="0" borderId="13" xfId="0" applyNumberFormat="1" applyFont="1" applyFill="1" applyBorder="1"/>
    <xf numFmtId="0" fontId="5" fillId="0" borderId="0" xfId="70" applyFont="1" applyBorder="1"/>
    <xf numFmtId="0" fontId="5" fillId="0" borderId="0" xfId="70" applyFont="1"/>
    <xf numFmtId="10" fontId="5" fillId="0" borderId="0" xfId="70" applyNumberFormat="1" applyFont="1" applyBorder="1"/>
    <xf numFmtId="37" fontId="5" fillId="0" borderId="0" xfId="70" applyNumberFormat="1" applyFont="1" applyProtection="1"/>
    <xf numFmtId="5" fontId="5" fillId="0" borderId="0" xfId="70" applyNumberFormat="1" applyFont="1" applyProtection="1"/>
    <xf numFmtId="5" fontId="15" fillId="78" borderId="0" xfId="70" applyNumberFormat="1" applyFont="1" applyFill="1" applyBorder="1"/>
    <xf numFmtId="0" fontId="0" fillId="0" borderId="0" xfId="0" applyAlignment="1">
      <alignment horizontal="center"/>
    </xf>
    <xf numFmtId="38" fontId="6" fillId="78" borderId="13" xfId="0" quotePrefix="1" applyNumberFormat="1" applyFont="1" applyFill="1" applyBorder="1" applyAlignment="1">
      <alignment horizontal="right"/>
    </xf>
    <xf numFmtId="0" fontId="5" fillId="78" borderId="13" xfId="0" applyFont="1" applyFill="1" applyBorder="1" applyAlignment="1">
      <alignment horizontal="right"/>
    </xf>
    <xf numFmtId="37" fontId="17" fillId="0" borderId="0" xfId="0" applyNumberFormat="1" applyFont="1"/>
    <xf numFmtId="37" fontId="18" fillId="0" borderId="13" xfId="0" applyNumberFormat="1" applyFont="1" applyBorder="1" applyAlignment="1"/>
    <xf numFmtId="37" fontId="2" fillId="0" borderId="13" xfId="0" applyNumberFormat="1" applyFont="1" applyBorder="1"/>
    <xf numFmtId="37" fontId="2" fillId="0" borderId="0" xfId="0" applyNumberFormat="1" applyFont="1"/>
    <xf numFmtId="37" fontId="18" fillId="0" borderId="13" xfId="0" applyNumberFormat="1" applyFont="1" applyBorder="1" applyAlignment="1">
      <alignment horizontal="center"/>
    </xf>
    <xf numFmtId="37" fontId="18" fillId="0" borderId="13" xfId="0" applyNumberFormat="1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/>
    <xf numFmtId="37" fontId="19" fillId="0" borderId="0" xfId="0" applyNumberFormat="1" applyFont="1"/>
    <xf numFmtId="37" fontId="2" fillId="78" borderId="0" xfId="0" applyNumberFormat="1" applyFont="1" applyFill="1"/>
    <xf numFmtId="37" fontId="5" fillId="78" borderId="0" xfId="0" applyNumberFormat="1" applyFont="1" applyFill="1" applyBorder="1"/>
    <xf numFmtId="0" fontId="21" fillId="0" borderId="0" xfId="0" quotePrefix="1" applyFont="1" applyAlignment="1">
      <alignment horizontal="center"/>
    </xf>
    <xf numFmtId="165" fontId="21" fillId="0" borderId="0" xfId="0" applyNumberFormat="1" applyFont="1" applyAlignment="1" applyProtection="1">
      <alignment horizontal="center"/>
    </xf>
    <xf numFmtId="0" fontId="21" fillId="78" borderId="0" xfId="0" applyFont="1" applyFill="1" applyAlignment="1">
      <alignment horizontal="center"/>
    </xf>
    <xf numFmtId="37" fontId="2" fillId="0" borderId="0" xfId="0" applyNumberFormat="1" applyFont="1" applyFill="1"/>
    <xf numFmtId="37" fontId="19" fillId="0" borderId="0" xfId="0" applyNumberFormat="1" applyFont="1" applyAlignment="1">
      <alignment horizontal="right"/>
    </xf>
    <xf numFmtId="37" fontId="20" fillId="0" borderId="0" xfId="0" applyNumberFormat="1" applyFont="1" applyFill="1"/>
    <xf numFmtId="37" fontId="19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left"/>
    </xf>
    <xf numFmtId="10" fontId="2" fillId="79" borderId="0" xfId="0" applyNumberFormat="1" applyFont="1" applyFill="1"/>
    <xf numFmtId="0" fontId="21" fillId="0" borderId="0" xfId="0" applyFont="1" applyAlignment="1">
      <alignment horizontal="center"/>
    </xf>
    <xf numFmtId="37" fontId="2" fillId="78" borderId="0" xfId="0" applyNumberFormat="1" applyFont="1" applyFill="1"/>
    <xf numFmtId="37" fontId="2" fillId="78" borderId="0" xfId="0" applyNumberFormat="1" applyFont="1" applyFill="1" applyBorder="1"/>
    <xf numFmtId="0" fontId="5" fillId="79" borderId="0" xfId="0" applyFont="1" applyFill="1" applyAlignment="1">
      <alignment horizontal="center"/>
    </xf>
    <xf numFmtId="37" fontId="5" fillId="78" borderId="0" xfId="70" applyNumberFormat="1" applyFont="1" applyFill="1" applyBorder="1" applyProtection="1"/>
    <xf numFmtId="10" fontId="5" fillId="78" borderId="0" xfId="70" applyNumberFormat="1" applyFont="1" applyFill="1"/>
    <xf numFmtId="37" fontId="5" fillId="78" borderId="13" xfId="70" applyNumberFormat="1" applyFont="1" applyFill="1" applyBorder="1" applyProtection="1"/>
    <xf numFmtId="0" fontId="2" fillId="0" borderId="0" xfId="0" applyFont="1"/>
    <xf numFmtId="0" fontId="5" fillId="78" borderId="0" xfId="0" applyFont="1" applyFill="1" applyAlignment="1">
      <alignment horizontal="center"/>
    </xf>
    <xf numFmtId="0" fontId="5" fillId="79" borderId="0" xfId="0" applyFont="1" applyFill="1" applyAlignment="1">
      <alignment horizontal="center"/>
    </xf>
    <xf numFmtId="49" fontId="21" fillId="0" borderId="0" xfId="73" applyNumberFormat="1" applyFont="1" applyFill="1"/>
    <xf numFmtId="17" fontId="21" fillId="0" borderId="0" xfId="73" applyNumberFormat="1" applyFont="1" applyFill="1"/>
    <xf numFmtId="0" fontId="11" fillId="0" borderId="0" xfId="0" applyFont="1"/>
    <xf numFmtId="0" fontId="2" fillId="0" borderId="0" xfId="0" applyFont="1" applyAlignment="1">
      <alignment horizontal="center"/>
    </xf>
    <xf numFmtId="39" fontId="5" fillId="0" borderId="0" xfId="0" applyNumberFormat="1" applyFont="1" applyProtection="1"/>
    <xf numFmtId="5" fontId="5" fillId="78" borderId="0" xfId="0" applyNumberFormat="1" applyFont="1" applyFill="1" applyProtection="1">
      <protection locked="0"/>
    </xf>
    <xf numFmtId="174" fontId="5" fillId="78" borderId="0" xfId="0" applyNumberFormat="1" applyFont="1" applyFill="1" applyProtection="1">
      <protection locked="0"/>
    </xf>
    <xf numFmtId="37" fontId="5" fillId="78" borderId="0" xfId="0" applyNumberFormat="1" applyFont="1" applyFill="1"/>
    <xf numFmtId="0" fontId="0" fillId="78" borderId="0" xfId="0" applyFill="1"/>
    <xf numFmtId="5" fontId="5" fillId="78" borderId="0" xfId="0" applyNumberFormat="1" applyFont="1" applyFill="1" applyAlignment="1">
      <alignment horizontal="center"/>
    </xf>
    <xf numFmtId="10" fontId="5" fillId="0" borderId="0" xfId="70" applyNumberFormat="1" applyFont="1" applyProtection="1"/>
    <xf numFmtId="5" fontId="5" fillId="0" borderId="0" xfId="70" applyNumberFormat="1" applyFont="1" applyFill="1" applyProtection="1"/>
    <xf numFmtId="37" fontId="5" fillId="0" borderId="0" xfId="70" applyNumberFormat="1" applyFont="1" applyFill="1" applyProtection="1"/>
    <xf numFmtId="5" fontId="5" fillId="79" borderId="0" xfId="70" applyNumberFormat="1" applyFont="1" applyFill="1" applyProtection="1"/>
    <xf numFmtId="5" fontId="5" fillId="79" borderId="0" xfId="70" applyNumberFormat="1" applyFont="1" applyFill="1" applyProtection="1"/>
    <xf numFmtId="38" fontId="5" fillId="0" borderId="0" xfId="70" applyNumberFormat="1" applyFont="1"/>
    <xf numFmtId="5" fontId="6" fillId="79" borderId="0" xfId="70" applyNumberFormat="1" applyFont="1" applyFill="1"/>
    <xf numFmtId="38" fontId="6" fillId="79" borderId="0" xfId="70" applyNumberFormat="1" applyFont="1" applyFill="1"/>
    <xf numFmtId="38" fontId="6" fillId="79" borderId="0" xfId="70" applyNumberFormat="1" applyFont="1" applyFill="1" applyBorder="1"/>
    <xf numFmtId="38" fontId="6" fillId="79" borderId="0" xfId="70" applyNumberFormat="1" applyFont="1" applyFill="1" applyBorder="1"/>
    <xf numFmtId="5" fontId="6" fillId="79" borderId="0" xfId="70" applyNumberFormat="1" applyFont="1" applyFill="1" applyBorder="1"/>
    <xf numFmtId="38" fontId="6" fillId="79" borderId="0" xfId="70" applyNumberFormat="1" applyFont="1" applyFill="1"/>
    <xf numFmtId="38" fontId="5" fillId="0" borderId="0" xfId="0" applyNumberFormat="1" applyFont="1" applyAlignment="1">
      <alignment horizontal="right"/>
    </xf>
    <xf numFmtId="5" fontId="5" fillId="78" borderId="0" xfId="0" applyNumberFormat="1" applyFont="1" applyFill="1" applyAlignment="1">
      <alignment horizontal="right"/>
    </xf>
    <xf numFmtId="164" fontId="5" fillId="78" borderId="0" xfId="0" applyNumberFormat="1" applyFont="1" applyFill="1"/>
    <xf numFmtId="38" fontId="5" fillId="78" borderId="0" xfId="0" applyNumberFormat="1" applyFont="1" applyFill="1" applyBorder="1"/>
    <xf numFmtId="37" fontId="5" fillId="0" borderId="0" xfId="70" applyNumberFormat="1" applyFont="1" applyFill="1" applyBorder="1" applyProtection="1"/>
    <xf numFmtId="5" fontId="5" fillId="79" borderId="0" xfId="6731" applyNumberFormat="1" applyFont="1" applyFill="1" applyProtection="1"/>
    <xf numFmtId="37" fontId="14" fillId="80" borderId="0" xfId="76" applyNumberFormat="1" applyFont="1" applyFill="1" applyProtection="1"/>
    <xf numFmtId="5" fontId="14" fillId="80" borderId="0" xfId="76" applyNumberFormat="1" applyFont="1" applyFill="1" applyProtection="1">
      <protection locked="0"/>
    </xf>
    <xf numFmtId="37" fontId="14" fillId="80" borderId="0" xfId="76" applyNumberFormat="1" applyFont="1" applyFill="1" applyProtection="1">
      <protection locked="0"/>
    </xf>
    <xf numFmtId="5" fontId="14" fillId="80" borderId="0" xfId="76" applyNumberFormat="1" applyFill="1" applyProtection="1"/>
    <xf numFmtId="37" fontId="14" fillId="80" borderId="0" xfId="76" applyNumberFormat="1" applyFill="1" applyProtection="1"/>
    <xf numFmtId="37" fontId="14" fillId="80" borderId="0" xfId="76" applyNumberFormat="1" applyFont="1" applyFill="1" applyProtection="1">
      <protection locked="0"/>
    </xf>
    <xf numFmtId="39" fontId="5" fillId="0" borderId="0" xfId="6718" applyNumberFormat="1" applyFont="1" applyBorder="1"/>
    <xf numFmtId="37" fontId="14" fillId="80" borderId="0" xfId="76" applyNumberFormat="1" applyFill="1" applyProtection="1"/>
    <xf numFmtId="37" fontId="14" fillId="80" borderId="0" xfId="76" applyNumberFormat="1" applyFill="1" applyProtection="1"/>
    <xf numFmtId="37" fontId="5" fillId="79" borderId="0" xfId="46" applyNumberFormat="1" applyFont="1" applyFill="1" applyAlignment="1"/>
    <xf numFmtId="0" fontId="5" fillId="0" borderId="0" xfId="6712" applyFont="1" applyAlignment="1">
      <alignment horizontal="center"/>
    </xf>
    <xf numFmtId="10" fontId="5" fillId="0" borderId="0" xfId="6712" applyNumberFormat="1" applyFont="1" applyBorder="1" applyAlignment="1">
      <alignment horizontal="center" vertical="top" wrapText="1"/>
    </xf>
    <xf numFmtId="10" fontId="5" fillId="0" borderId="0" xfId="6712" applyNumberFormat="1" applyFont="1" applyAlignment="1">
      <alignment horizontal="center"/>
    </xf>
    <xf numFmtId="10" fontId="66" fillId="0" borderId="0" xfId="81" applyNumberFormat="1" applyFont="1" applyFill="1" applyAlignment="1">
      <alignment horizontal="center"/>
    </xf>
    <xf numFmtId="172" fontId="5" fillId="79" borderId="0" xfId="46" applyNumberFormat="1" applyFont="1" applyFill="1" applyAlignment="1">
      <alignment horizontal="center"/>
    </xf>
    <xf numFmtId="0" fontId="2" fillId="0" borderId="0" xfId="6631"/>
    <xf numFmtId="0" fontId="5" fillId="0" borderId="0" xfId="6631" applyFont="1"/>
    <xf numFmtId="0" fontId="2" fillId="0" borderId="0" xfId="6748"/>
    <xf numFmtId="38" fontId="5" fillId="0" borderId="0" xfId="6611" applyNumberFormat="1" applyFont="1"/>
    <xf numFmtId="38" fontId="6" fillId="79" borderId="13" xfId="70" applyNumberFormat="1" applyFont="1" applyFill="1" applyBorder="1"/>
    <xf numFmtId="37" fontId="14" fillId="100" borderId="0" xfId="76" applyNumberFormat="1" applyFill="1" applyProtection="1"/>
    <xf numFmtId="39" fontId="5" fillId="100" borderId="0" xfId="6718" applyNumberFormat="1" applyFont="1" applyFill="1" applyBorder="1"/>
    <xf numFmtId="37" fontId="5" fillId="100" borderId="0" xfId="6693" applyNumberFormat="1" applyFont="1" applyFill="1" applyBorder="1"/>
    <xf numFmtId="37" fontId="5" fillId="100" borderId="0" xfId="70" applyNumberFormat="1" applyFont="1" applyFill="1" applyBorder="1"/>
    <xf numFmtId="37" fontId="5" fillId="100" borderId="0" xfId="6708" applyNumberFormat="1" applyFont="1" applyFill="1" applyBorder="1"/>
    <xf numFmtId="37" fontId="14" fillId="100" borderId="0" xfId="76" applyNumberFormat="1" applyFont="1" applyFill="1" applyProtection="1">
      <protection locked="0"/>
    </xf>
    <xf numFmtId="39" fontId="5" fillId="100" borderId="0" xfId="6697" applyNumberFormat="1" applyFont="1" applyFill="1"/>
    <xf numFmtId="38" fontId="5" fillId="78" borderId="0" xfId="0" applyNumberFormat="1" applyFont="1" applyFill="1" applyAlignment="1">
      <alignment horizontal="center"/>
    </xf>
    <xf numFmtId="37" fontId="14" fillId="100" borderId="0" xfId="6768" applyNumberFormat="1" applyFont="1" applyFill="1" applyProtection="1"/>
    <xf numFmtId="5" fontId="14" fillId="100" borderId="0" xfId="6768" applyNumberFormat="1" applyFont="1" applyFill="1" applyProtection="1"/>
    <xf numFmtId="0" fontId="104" fillId="0" borderId="0" xfId="0" applyFont="1"/>
    <xf numFmtId="38" fontId="6" fillId="79" borderId="0" xfId="70" applyNumberFormat="1" applyFont="1" applyFill="1" applyBorder="1"/>
    <xf numFmtId="38" fontId="6" fillId="79" borderId="13" xfId="70" applyNumberFormat="1" applyFont="1" applyFill="1" applyBorder="1"/>
    <xf numFmtId="37" fontId="5" fillId="79" borderId="0" xfId="70" applyNumberFormat="1" applyFont="1" applyFill="1" applyProtection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0" fillId="0" borderId="0" xfId="0" applyAlignment="1">
      <alignment horizontal="right"/>
    </xf>
    <xf numFmtId="0" fontId="109" fillId="0" borderId="0" xfId="0" applyNumberFormat="1" applyFont="1"/>
    <xf numFmtId="0" fontId="110" fillId="0" borderId="0" xfId="0" applyFont="1"/>
    <xf numFmtId="0" fontId="108" fillId="0" borderId="0" xfId="0" applyFont="1"/>
    <xf numFmtId="0" fontId="111" fillId="0" borderId="0" xfId="0" applyFont="1"/>
    <xf numFmtId="179" fontId="5" fillId="79" borderId="0" xfId="52" applyNumberFormat="1" applyFont="1" applyFill="1"/>
    <xf numFmtId="179" fontId="5" fillId="0" borderId="0" xfId="0" applyNumberFormat="1" applyFont="1"/>
    <xf numFmtId="180" fontId="5" fillId="79" borderId="0" xfId="46" applyNumberFormat="1" applyFont="1" applyFill="1" applyAlignment="1"/>
    <xf numFmtId="180" fontId="5" fillId="79" borderId="0" xfId="46" applyNumberFormat="1" applyFont="1" applyFill="1"/>
    <xf numFmtId="180" fontId="5" fillId="79" borderId="0" xfId="52" applyNumberFormat="1" applyFont="1" applyFill="1"/>
    <xf numFmtId="0" fontId="108" fillId="78" borderId="0" xfId="0" applyFont="1" applyFill="1" applyAlignment="1">
      <alignment horizontal="left"/>
    </xf>
    <xf numFmtId="0" fontId="108" fillId="0" borderId="0" xfId="0" applyFont="1" applyBorder="1" applyAlignment="1">
      <alignment horizontal="left"/>
    </xf>
    <xf numFmtId="0" fontId="108" fillId="0" borderId="0" xfId="0" applyFont="1" applyAlignment="1">
      <alignment horizontal="center"/>
    </xf>
    <xf numFmtId="0" fontId="108" fillId="0" borderId="0" xfId="0" applyFont="1" applyBorder="1"/>
    <xf numFmtId="37" fontId="14" fillId="0" borderId="0" xfId="76" applyNumberFormat="1" applyFont="1" applyFill="1" applyProtection="1"/>
    <xf numFmtId="37" fontId="112" fillId="0" borderId="0" xfId="0" applyNumberFormat="1" applyFont="1"/>
    <xf numFmtId="37" fontId="14" fillId="0" borderId="0" xfId="76" applyNumberFormat="1" applyFont="1" applyFill="1" applyProtection="1">
      <protection locked="0"/>
    </xf>
    <xf numFmtId="37" fontId="113" fillId="100" borderId="0" xfId="76" applyNumberFormat="1" applyFont="1" applyFill="1" applyProtection="1"/>
    <xf numFmtId="179" fontId="5" fillId="79" borderId="0" xfId="52" applyNumberFormat="1" applyFont="1" applyFill="1" applyAlignment="1">
      <alignment horizontal="center"/>
    </xf>
    <xf numFmtId="179" fontId="5" fillId="0" borderId="0" xfId="52" applyNumberFormat="1" applyFont="1" applyFill="1" applyBorder="1"/>
    <xf numFmtId="179" fontId="5" fillId="0" borderId="0" xfId="52" applyNumberFormat="1" applyFont="1" applyBorder="1" applyAlignment="1">
      <alignment horizontal="center"/>
    </xf>
    <xf numFmtId="179" fontId="7" fillId="0" borderId="0" xfId="52" applyNumberFormat="1" applyFont="1" applyBorder="1" applyAlignment="1">
      <alignment horizontal="center"/>
    </xf>
    <xf numFmtId="179" fontId="5" fillId="0" borderId="0" xfId="52" applyNumberFormat="1" applyFont="1" applyFill="1" applyBorder="1" applyAlignment="1">
      <alignment horizontal="center"/>
    </xf>
    <xf numFmtId="179" fontId="5" fillId="78" borderId="0" xfId="52" applyNumberFormat="1" applyFont="1" applyFill="1" applyBorder="1"/>
    <xf numFmtId="38" fontId="66" fillId="79" borderId="0" xfId="70" applyNumberFormat="1" applyFont="1" applyFill="1" applyBorder="1"/>
    <xf numFmtId="38" fontId="105" fillId="79" borderId="0" xfId="70" applyNumberFormat="1" applyFont="1" applyFill="1" applyBorder="1"/>
    <xf numFmtId="37" fontId="105" fillId="79" borderId="0" xfId="70" applyNumberFormat="1" applyFont="1" applyFill="1" applyBorder="1"/>
    <xf numFmtId="38" fontId="108" fillId="0" borderId="0" xfId="70" applyNumberFormat="1" applyFont="1" applyFill="1" applyBorder="1"/>
    <xf numFmtId="38" fontId="66" fillId="78" borderId="0" xfId="70" applyNumberFormat="1" applyFont="1" applyFill="1"/>
    <xf numFmtId="37" fontId="66" fillId="78" borderId="0" xfId="0" applyNumberFormat="1" applyFont="1" applyFill="1" applyAlignment="1">
      <alignment horizontal="right"/>
    </xf>
    <xf numFmtId="37" fontId="66" fillId="0" borderId="0" xfId="0" applyNumberFormat="1" applyFont="1" applyBorder="1" applyAlignment="1">
      <alignment horizontal="right"/>
    </xf>
    <xf numFmtId="0" fontId="66" fillId="79" borderId="0" xfId="0" applyFont="1" applyFill="1" applyAlignment="1">
      <alignment horizontal="center"/>
    </xf>
    <xf numFmtId="38" fontId="66" fillId="102" borderId="0" xfId="70" applyNumberFormat="1" applyFont="1" applyFill="1"/>
    <xf numFmtId="0" fontId="108" fillId="0" borderId="0" xfId="0" applyFont="1" applyFill="1"/>
    <xf numFmtId="37" fontId="66" fillId="101" borderId="0" xfId="70" applyNumberFormat="1" applyFont="1" applyFill="1" applyProtection="1"/>
    <xf numFmtId="9" fontId="5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5" fillId="78" borderId="0" xfId="80" applyNumberFormat="1" applyFont="1" applyFill="1"/>
    <xf numFmtId="5" fontId="66" fillId="79" borderId="0" xfId="70" applyNumberFormat="1" applyFont="1" applyFill="1" applyProtection="1"/>
    <xf numFmtId="37" fontId="113" fillId="100" borderId="0" xfId="76" applyNumberFormat="1" applyFont="1" applyFill="1" applyProtection="1">
      <protection locked="0"/>
    </xf>
    <xf numFmtId="37" fontId="108" fillId="78" borderId="0" xfId="46" applyNumberFormat="1" applyFont="1" applyFill="1" applyAlignment="1"/>
    <xf numFmtId="0" fontId="90" fillId="0" borderId="0" xfId="0" applyFont="1"/>
    <xf numFmtId="0" fontId="114" fillId="0" borderId="0" xfId="0" applyFont="1" applyBorder="1"/>
    <xf numFmtId="37" fontId="104" fillId="0" borderId="0" xfId="6637" applyNumberFormat="1" applyFont="1" applyFill="1"/>
    <xf numFmtId="0" fontId="104" fillId="0" borderId="0" xfId="0" applyFont="1" applyBorder="1"/>
    <xf numFmtId="0" fontId="104" fillId="0" borderId="0" xfId="0" applyFont="1" applyBorder="1" applyAlignment="1">
      <alignment horizontal="center"/>
    </xf>
    <xf numFmtId="5" fontId="104" fillId="0" borderId="0" xfId="0" applyNumberFormat="1" applyFont="1"/>
    <xf numFmtId="37" fontId="104" fillId="0" borderId="0" xfId="0" applyNumberFormat="1" applyFont="1"/>
    <xf numFmtId="0" fontId="21" fillId="0" borderId="0" xfId="0" applyFont="1"/>
    <xf numFmtId="179" fontId="5" fillId="0" borderId="0" xfId="52" applyNumberFormat="1" applyFont="1"/>
    <xf numFmtId="0" fontId="21" fillId="0" borderId="0" xfId="0" applyFont="1" applyAlignment="1">
      <alignment horizontal="right"/>
    </xf>
    <xf numFmtId="43" fontId="2" fillId="79" borderId="0" xfId="46" applyFont="1" applyFill="1" applyAlignment="1">
      <alignment horizontal="center"/>
    </xf>
    <xf numFmtId="43" fontId="2" fillId="79" borderId="0" xfId="46" applyFont="1" applyFill="1"/>
    <xf numFmtId="179" fontId="21" fillId="0" borderId="0" xfId="52" applyNumberFormat="1" applyFont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5" fontId="11" fillId="0" borderId="0" xfId="6636" applyNumberFormat="1" applyFont="1" applyFill="1" applyAlignment="1" applyProtection="1">
      <alignment horizontal="left"/>
    </xf>
    <xf numFmtId="49" fontId="11" fillId="0" borderId="0" xfId="73" applyNumberFormat="1" applyFont="1" applyFill="1"/>
    <xf numFmtId="17" fontId="11" fillId="0" borderId="0" xfId="73" applyNumberFormat="1" applyFont="1" applyFill="1"/>
    <xf numFmtId="0" fontId="90" fillId="0" borderId="0" xfId="0" applyFont="1" applyFill="1" applyAlignment="1">
      <alignment horizontal="center"/>
    </xf>
    <xf numFmtId="10" fontId="66" fillId="0" borderId="0" xfId="70" applyNumberFormat="1" applyFont="1" applyFill="1" applyProtection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179" fontId="5" fillId="0" borderId="0" xfId="52" applyNumberFormat="1" applyFont="1" applyFill="1"/>
    <xf numFmtId="37" fontId="5" fillId="0" borderId="0" xfId="70" applyNumberFormat="1" applyFont="1" applyFill="1"/>
    <xf numFmtId="37" fontId="5" fillId="0" borderId="0" xfId="0" applyNumberFormat="1" applyFont="1" applyFill="1"/>
    <xf numFmtId="0" fontId="2" fillId="0" borderId="0" xfId="70" applyFont="1" applyFill="1"/>
    <xf numFmtId="0" fontId="2" fillId="0" borderId="0" xfId="70"/>
    <xf numFmtId="0" fontId="2" fillId="0" borderId="0" xfId="70" applyFont="1"/>
    <xf numFmtId="0" fontId="7" fillId="0" borderId="0" xfId="70" applyFont="1" applyBorder="1"/>
    <xf numFmtId="37" fontId="14" fillId="103" borderId="0" xfId="76" applyNumberFormat="1" applyFont="1" applyFill="1" applyProtection="1"/>
    <xf numFmtId="165" fontId="115" fillId="0" borderId="0" xfId="0" applyNumberFormat="1" applyFont="1" applyProtection="1"/>
    <xf numFmtId="0" fontId="5" fillId="0" borderId="0" xfId="0" applyFont="1" applyBorder="1" applyAlignment="1">
      <alignment horizontal="center" vertical="top" wrapText="1"/>
    </xf>
  </cellXfs>
  <cellStyles count="6789">
    <cellStyle name="20% - Accent1 10" xfId="232"/>
    <cellStyle name="20% - Accent1 10 2" xfId="231"/>
    <cellStyle name="20% - Accent1 10 2 2" xfId="235"/>
    <cellStyle name="20% - Accent1 10 2 2 2" xfId="234"/>
    <cellStyle name="20% - Accent1 10 2 3" xfId="236"/>
    <cellStyle name="20% - Accent1 10 2 3 2" xfId="233"/>
    <cellStyle name="20% - Accent1 10 2 4" xfId="238"/>
    <cellStyle name="20% - Accent1 10 2 4 2" xfId="239"/>
    <cellStyle name="20% - Accent1 10 2 5" xfId="240"/>
    <cellStyle name="20% - Accent1 10 2_ORACLE TRIAL BALANCE" xfId="241"/>
    <cellStyle name="20% - Accent1 10 3" xfId="242"/>
    <cellStyle name="20% - Accent1 10 3 2" xfId="243"/>
    <cellStyle name="20% - Accent1 10 4" xfId="244"/>
    <cellStyle name="20% - Accent1 10 4 2" xfId="245"/>
    <cellStyle name="20% - Accent1 10 5" xfId="246"/>
    <cellStyle name="20% - Accent1 10 5 2" xfId="247"/>
    <cellStyle name="20% - Accent1 10 6" xfId="248"/>
    <cellStyle name="20% - Accent1 10_ORACLE TRIAL BALANCE" xfId="249"/>
    <cellStyle name="20% - Accent1 11" xfId="250"/>
    <cellStyle name="20% - Accent1 11 2" xfId="251"/>
    <cellStyle name="20% - Accent1 11 2 2" xfId="252"/>
    <cellStyle name="20% - Accent1 11 3" xfId="253"/>
    <cellStyle name="20% - Accent1 11 3 2" xfId="254"/>
    <cellStyle name="20% - Accent1 11 4" xfId="255"/>
    <cellStyle name="20% - Accent1 11 4 2" xfId="256"/>
    <cellStyle name="20% - Accent1 11 5" xfId="257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3" xfId="267"/>
    <cellStyle name="20% - Accent1 2 2 3 2" xfId="268"/>
    <cellStyle name="20% - Accent1 2 2 4" xfId="269"/>
    <cellStyle name="20% - Accent1 2 2 4 2" xfId="270"/>
    <cellStyle name="20% - Accent1 2 2 5" xfId="271"/>
    <cellStyle name="20% - Accent1 2 2 5 2" xfId="272"/>
    <cellStyle name="20% - Accent1 2 2 6" xfId="273"/>
    <cellStyle name="20% - Accent1 2 2_ORACLE TRIAL BALANCE" xfId="274"/>
    <cellStyle name="20% - Accent1 2 3" xfId="275"/>
    <cellStyle name="20% - Accent1 2 3 2" xfId="276"/>
    <cellStyle name="20% - Accent1 2 4" xfId="277"/>
    <cellStyle name="20% - Accent1 2 4 2" xfId="278"/>
    <cellStyle name="20% - Accent1 2 5" xfId="279"/>
    <cellStyle name="20% - Accent1 2 5 2" xfId="280"/>
    <cellStyle name="20% - Accent1 2 6" xfId="281"/>
    <cellStyle name="20% - Accent1 2 6 2" xfId="282"/>
    <cellStyle name="20% - Accent1 2 7" xfId="283"/>
    <cellStyle name="20% - Accent1 2 8" xfId="263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3" xfId="289"/>
    <cellStyle name="20% - Accent1 3 2 3 2" xfId="290"/>
    <cellStyle name="20% - Accent1 3 2 4" xfId="291"/>
    <cellStyle name="20% - Accent1 3 2 4 2" xfId="292"/>
    <cellStyle name="20% - Accent1 3 2 5" xfId="293"/>
    <cellStyle name="20% - Accent1 3 2_ORACLE TRIAL BALANCE" xfId="294"/>
    <cellStyle name="20% - Accent1 3 3" xfId="295"/>
    <cellStyle name="20% - Accent1 3 3 2" xfId="296"/>
    <cellStyle name="20% - Accent1 3 4" xfId="297"/>
    <cellStyle name="20% - Accent1 3 4 2" xfId="298"/>
    <cellStyle name="20% - Accent1 3 5" xfId="299"/>
    <cellStyle name="20% - Accent1 3 6" xfId="300"/>
    <cellStyle name="20% - Accent1 3 7" xfId="301"/>
    <cellStyle name="20% - Accent1 3 8" xfId="302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3" xfId="308"/>
    <cellStyle name="20% - Accent1 4 2 3 2" xfId="309"/>
    <cellStyle name="20% - Accent1 4 2 4" xfId="310"/>
    <cellStyle name="20% - Accent1 4 2 4 2" xfId="311"/>
    <cellStyle name="20% - Accent1 4 2 5" xfId="312"/>
    <cellStyle name="20% - Accent1 4 2_ORACLE TRIAL BALANCE" xfId="313"/>
    <cellStyle name="20% - Accent1 4 3" xfId="314"/>
    <cellStyle name="20% - Accent1 4 3 2" xfId="315"/>
    <cellStyle name="20% - Accent1 4 4" xfId="316"/>
    <cellStyle name="20% - Accent1 4 4 2" xfId="317"/>
    <cellStyle name="20% - Accent1 4 5" xfId="318"/>
    <cellStyle name="20% - Accent1 4 5 2" xfId="319"/>
    <cellStyle name="20% - Accent1 4 6" xfId="320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3" xfId="326"/>
    <cellStyle name="20% - Accent1 5 2 3 2" xfId="327"/>
    <cellStyle name="20% - Accent1 5 2 4" xfId="328"/>
    <cellStyle name="20% - Accent1 5 2 4 2" xfId="329"/>
    <cellStyle name="20% - Accent1 5 2 5" xfId="330"/>
    <cellStyle name="20% - Accent1 5 2_ORACLE TRIAL BALANCE" xfId="331"/>
    <cellStyle name="20% - Accent1 5 3" xfId="332"/>
    <cellStyle name="20% - Accent1 5 3 2" xfId="333"/>
    <cellStyle name="20% - Accent1 5 4" xfId="334"/>
    <cellStyle name="20% - Accent1 5 4 2" xfId="335"/>
    <cellStyle name="20% - Accent1 5 5" xfId="336"/>
    <cellStyle name="20% - Accent1 5 5 2" xfId="337"/>
    <cellStyle name="20% - Accent1 5 6" xfId="338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3" xfId="344"/>
    <cellStyle name="20% - Accent1 6 2 3 2" xfId="345"/>
    <cellStyle name="20% - Accent1 6 2 4" xfId="346"/>
    <cellStyle name="20% - Accent1 6 2 4 2" xfId="347"/>
    <cellStyle name="20% - Accent1 6 2 5" xfId="348"/>
    <cellStyle name="20% - Accent1 6 2_ORACLE TRIAL BALANCE" xfId="349"/>
    <cellStyle name="20% - Accent1 6 3" xfId="350"/>
    <cellStyle name="20% - Accent1 6 3 2" xfId="351"/>
    <cellStyle name="20% - Accent1 6 4" xfId="352"/>
    <cellStyle name="20% - Accent1 6 4 2" xfId="353"/>
    <cellStyle name="20% - Accent1 6 5" xfId="354"/>
    <cellStyle name="20% - Accent1 6 5 2" xfId="355"/>
    <cellStyle name="20% - Accent1 6 6" xfId="356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3" xfId="362"/>
    <cellStyle name="20% - Accent1 7 2 3 2" xfId="363"/>
    <cellStyle name="20% - Accent1 7 2 4" xfId="364"/>
    <cellStyle name="20% - Accent1 7 2 4 2" xfId="365"/>
    <cellStyle name="20% - Accent1 7 2 5" xfId="366"/>
    <cellStyle name="20% - Accent1 7 2_ORACLE TRIAL BALANCE" xfId="367"/>
    <cellStyle name="20% - Accent1 7 3" xfId="368"/>
    <cellStyle name="20% - Accent1 7 3 2" xfId="369"/>
    <cellStyle name="20% - Accent1 7 4" xfId="370"/>
    <cellStyle name="20% - Accent1 7 4 2" xfId="371"/>
    <cellStyle name="20% - Accent1 7 5" xfId="372"/>
    <cellStyle name="20% - Accent1 7 5 2" xfId="373"/>
    <cellStyle name="20% - Accent1 7 6" xfId="374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3" xfId="380"/>
    <cellStyle name="20% - Accent1 8 2 3 2" xfId="381"/>
    <cellStyle name="20% - Accent1 8 2 4" xfId="382"/>
    <cellStyle name="20% - Accent1 8 2 4 2" xfId="383"/>
    <cellStyle name="20% - Accent1 8 2 5" xfId="384"/>
    <cellStyle name="20% - Accent1 8 2_ORACLE TRIAL BALANCE" xfId="385"/>
    <cellStyle name="20% - Accent1 8 3" xfId="386"/>
    <cellStyle name="20% - Accent1 8 3 2" xfId="387"/>
    <cellStyle name="20% - Accent1 8 4" xfId="388"/>
    <cellStyle name="20% - Accent1 8 4 2" xfId="389"/>
    <cellStyle name="20% - Accent1 8 5" xfId="390"/>
    <cellStyle name="20% - Accent1 8 5 2" xfId="391"/>
    <cellStyle name="20% - Accent1 8 6" xfId="392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3" xfId="398"/>
    <cellStyle name="20% - Accent1 9 2 3 2" xfId="399"/>
    <cellStyle name="20% - Accent1 9 2 4" xfId="400"/>
    <cellStyle name="20% - Accent1 9 2 4 2" xfId="401"/>
    <cellStyle name="20% - Accent1 9 2 5" xfId="402"/>
    <cellStyle name="20% - Accent1 9 2_ORACLE TRIAL BALANCE" xfId="403"/>
    <cellStyle name="20% - Accent1 9 3" xfId="404"/>
    <cellStyle name="20% - Accent1 9 3 2" xfId="405"/>
    <cellStyle name="20% - Accent1 9 4" xfId="406"/>
    <cellStyle name="20% - Accent1 9 4 2" xfId="407"/>
    <cellStyle name="20% - Accent1 9 5" xfId="408"/>
    <cellStyle name="20% - Accent1 9 5 2" xfId="409"/>
    <cellStyle name="20% - Accent1 9 6" xfId="410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3" xfId="416"/>
    <cellStyle name="20% - Accent2 10 2 3 2" xfId="417"/>
    <cellStyle name="20% - Accent2 10 2 4" xfId="418"/>
    <cellStyle name="20% - Accent2 10 2 4 2" xfId="419"/>
    <cellStyle name="20% - Accent2 10 2 5" xfId="420"/>
    <cellStyle name="20% - Accent2 10 2_ORACLE TRIAL BALANCE" xfId="421"/>
    <cellStyle name="20% - Accent2 10 3" xfId="422"/>
    <cellStyle name="20% - Accent2 10 3 2" xfId="423"/>
    <cellStyle name="20% - Accent2 10 4" xfId="424"/>
    <cellStyle name="20% - Accent2 10 4 2" xfId="425"/>
    <cellStyle name="20% - Accent2 10 5" xfId="426"/>
    <cellStyle name="20% - Accent2 10 5 2" xfId="427"/>
    <cellStyle name="20% - Accent2 10 6" xfId="428"/>
    <cellStyle name="20% - Accent2 10_ORACLE TRIAL BALANCE" xfId="429"/>
    <cellStyle name="20% - Accent2 11" xfId="430"/>
    <cellStyle name="20% - Accent2 11 2" xfId="431"/>
    <cellStyle name="20% - Accent2 11 2 2" xfId="432"/>
    <cellStyle name="20% - Accent2 11 3" xfId="433"/>
    <cellStyle name="20% - Accent2 11 3 2" xfId="434"/>
    <cellStyle name="20% - Accent2 11 4" xfId="435"/>
    <cellStyle name="20% - Accent2 11 4 2" xfId="436"/>
    <cellStyle name="20% - Accent2 11 5" xfId="437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3" xfId="447"/>
    <cellStyle name="20% - Accent2 2 2 3 2" xfId="448"/>
    <cellStyle name="20% - Accent2 2 2 4" xfId="449"/>
    <cellStyle name="20% - Accent2 2 2 4 2" xfId="450"/>
    <cellStyle name="20% - Accent2 2 2 5" xfId="451"/>
    <cellStyle name="20% - Accent2 2 2 5 2" xfId="452"/>
    <cellStyle name="20% - Accent2 2 2 6" xfId="453"/>
    <cellStyle name="20% - Accent2 2 2_ORACLE TRIAL BALANCE" xfId="454"/>
    <cellStyle name="20% - Accent2 2 3" xfId="455"/>
    <cellStyle name="20% - Accent2 2 3 2" xfId="456"/>
    <cellStyle name="20% - Accent2 2 4" xfId="457"/>
    <cellStyle name="20% - Accent2 2 4 2" xfId="458"/>
    <cellStyle name="20% - Accent2 2 5" xfId="459"/>
    <cellStyle name="20% - Accent2 2 5 2" xfId="460"/>
    <cellStyle name="20% - Accent2 2 6" xfId="461"/>
    <cellStyle name="20% - Accent2 2 6 2" xfId="462"/>
    <cellStyle name="20% - Accent2 2 7" xfId="463"/>
    <cellStyle name="20% - Accent2 2 8" xfId="44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3" xfId="469"/>
    <cellStyle name="20% - Accent2 3 2 3 2" xfId="470"/>
    <cellStyle name="20% - Accent2 3 2 4" xfId="471"/>
    <cellStyle name="20% - Accent2 3 2 4 2" xfId="472"/>
    <cellStyle name="20% - Accent2 3 2 5" xfId="473"/>
    <cellStyle name="20% - Accent2 3 2_ORACLE TRIAL BALANCE" xfId="474"/>
    <cellStyle name="20% - Accent2 3 3" xfId="475"/>
    <cellStyle name="20% - Accent2 3 3 2" xfId="476"/>
    <cellStyle name="20% - Accent2 3 4" xfId="477"/>
    <cellStyle name="20% - Accent2 3 4 2" xfId="478"/>
    <cellStyle name="20% - Accent2 3 5" xfId="479"/>
    <cellStyle name="20% - Accent2 3 6" xfId="480"/>
    <cellStyle name="20% - Accent2 3 7" xfId="481"/>
    <cellStyle name="20% - Accent2 3 8" xfId="482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3" xfId="488"/>
    <cellStyle name="20% - Accent2 4 2 3 2" xfId="489"/>
    <cellStyle name="20% - Accent2 4 2 4" xfId="490"/>
    <cellStyle name="20% - Accent2 4 2 4 2" xfId="491"/>
    <cellStyle name="20% - Accent2 4 2 5" xfId="492"/>
    <cellStyle name="20% - Accent2 4 2_ORACLE TRIAL BALANCE" xfId="493"/>
    <cellStyle name="20% - Accent2 4 3" xfId="494"/>
    <cellStyle name="20% - Accent2 4 3 2" xfId="495"/>
    <cellStyle name="20% - Accent2 4 4" xfId="496"/>
    <cellStyle name="20% - Accent2 4 4 2" xfId="497"/>
    <cellStyle name="20% - Accent2 4 5" xfId="498"/>
    <cellStyle name="20% - Accent2 4 5 2" xfId="499"/>
    <cellStyle name="20% - Accent2 4 6" xfId="500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3" xfId="506"/>
    <cellStyle name="20% - Accent2 5 2 3 2" xfId="507"/>
    <cellStyle name="20% - Accent2 5 2 4" xfId="508"/>
    <cellStyle name="20% - Accent2 5 2 4 2" xfId="509"/>
    <cellStyle name="20% - Accent2 5 2 5" xfId="510"/>
    <cellStyle name="20% - Accent2 5 2_ORACLE TRIAL BALANCE" xfId="511"/>
    <cellStyle name="20% - Accent2 5 3" xfId="512"/>
    <cellStyle name="20% - Accent2 5 3 2" xfId="513"/>
    <cellStyle name="20% - Accent2 5 4" xfId="514"/>
    <cellStyle name="20% - Accent2 5 4 2" xfId="515"/>
    <cellStyle name="20% - Accent2 5 5" xfId="516"/>
    <cellStyle name="20% - Accent2 5 5 2" xfId="517"/>
    <cellStyle name="20% - Accent2 5 6" xfId="518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3" xfId="524"/>
    <cellStyle name="20% - Accent2 6 2 3 2" xfId="525"/>
    <cellStyle name="20% - Accent2 6 2 4" xfId="526"/>
    <cellStyle name="20% - Accent2 6 2 4 2" xfId="527"/>
    <cellStyle name="20% - Accent2 6 2 5" xfId="528"/>
    <cellStyle name="20% - Accent2 6 2_ORACLE TRIAL BALANCE" xfId="529"/>
    <cellStyle name="20% - Accent2 6 3" xfId="530"/>
    <cellStyle name="20% - Accent2 6 3 2" xfId="531"/>
    <cellStyle name="20% - Accent2 6 4" xfId="532"/>
    <cellStyle name="20% - Accent2 6 4 2" xfId="533"/>
    <cellStyle name="20% - Accent2 6 5" xfId="534"/>
    <cellStyle name="20% - Accent2 6 5 2" xfId="535"/>
    <cellStyle name="20% - Accent2 6 6" xfId="536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3" xfId="542"/>
    <cellStyle name="20% - Accent2 7 2 3 2" xfId="543"/>
    <cellStyle name="20% - Accent2 7 2 4" xfId="544"/>
    <cellStyle name="20% - Accent2 7 2 4 2" xfId="545"/>
    <cellStyle name="20% - Accent2 7 2 5" xfId="546"/>
    <cellStyle name="20% - Accent2 7 2_ORACLE TRIAL BALANCE" xfId="547"/>
    <cellStyle name="20% - Accent2 7 3" xfId="548"/>
    <cellStyle name="20% - Accent2 7 3 2" xfId="549"/>
    <cellStyle name="20% - Accent2 7 4" xfId="550"/>
    <cellStyle name="20% - Accent2 7 4 2" xfId="551"/>
    <cellStyle name="20% - Accent2 7 5" xfId="552"/>
    <cellStyle name="20% - Accent2 7 5 2" xfId="553"/>
    <cellStyle name="20% - Accent2 7 6" xfId="554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3" xfId="560"/>
    <cellStyle name="20% - Accent2 8 2 3 2" xfId="561"/>
    <cellStyle name="20% - Accent2 8 2 4" xfId="562"/>
    <cellStyle name="20% - Accent2 8 2 4 2" xfId="563"/>
    <cellStyle name="20% - Accent2 8 2 5" xfId="564"/>
    <cellStyle name="20% - Accent2 8 2_ORACLE TRIAL BALANCE" xfId="565"/>
    <cellStyle name="20% - Accent2 8 3" xfId="566"/>
    <cellStyle name="20% - Accent2 8 3 2" xfId="567"/>
    <cellStyle name="20% - Accent2 8 4" xfId="568"/>
    <cellStyle name="20% - Accent2 8 4 2" xfId="569"/>
    <cellStyle name="20% - Accent2 8 5" xfId="570"/>
    <cellStyle name="20% - Accent2 8 5 2" xfId="571"/>
    <cellStyle name="20% - Accent2 8 6" xfId="572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3" xfId="578"/>
    <cellStyle name="20% - Accent2 9 2 3 2" xfId="579"/>
    <cellStyle name="20% - Accent2 9 2 4" xfId="580"/>
    <cellStyle name="20% - Accent2 9 2 4 2" xfId="581"/>
    <cellStyle name="20% - Accent2 9 2 5" xfId="582"/>
    <cellStyle name="20% - Accent2 9 2_ORACLE TRIAL BALANCE" xfId="583"/>
    <cellStyle name="20% - Accent2 9 3" xfId="584"/>
    <cellStyle name="20% - Accent2 9 3 2" xfId="585"/>
    <cellStyle name="20% - Accent2 9 4" xfId="586"/>
    <cellStyle name="20% - Accent2 9 4 2" xfId="587"/>
    <cellStyle name="20% - Accent2 9 5" xfId="588"/>
    <cellStyle name="20% - Accent2 9 5 2" xfId="589"/>
    <cellStyle name="20% - Accent2 9 6" xfId="590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3" xfId="596"/>
    <cellStyle name="20% - Accent3 10 2 3 2" xfId="597"/>
    <cellStyle name="20% - Accent3 10 2 4" xfId="598"/>
    <cellStyle name="20% - Accent3 10 2 4 2" xfId="599"/>
    <cellStyle name="20% - Accent3 10 2 5" xfId="600"/>
    <cellStyle name="20% - Accent3 10 2_ORACLE TRIAL BALANCE" xfId="601"/>
    <cellStyle name="20% - Accent3 10 3" xfId="602"/>
    <cellStyle name="20% - Accent3 10 3 2" xfId="603"/>
    <cellStyle name="20% - Accent3 10 4" xfId="604"/>
    <cellStyle name="20% - Accent3 10 4 2" xfId="605"/>
    <cellStyle name="20% - Accent3 10 5" xfId="606"/>
    <cellStyle name="20% - Accent3 10 5 2" xfId="607"/>
    <cellStyle name="20% - Accent3 10 6" xfId="608"/>
    <cellStyle name="20% - Accent3 10_ORACLE TRIAL BALANCE" xfId="609"/>
    <cellStyle name="20% - Accent3 11" xfId="610"/>
    <cellStyle name="20% - Accent3 11 2" xfId="611"/>
    <cellStyle name="20% - Accent3 11 2 2" xfId="612"/>
    <cellStyle name="20% - Accent3 11 3" xfId="613"/>
    <cellStyle name="20% - Accent3 11 3 2" xfId="614"/>
    <cellStyle name="20% - Accent3 11 4" xfId="615"/>
    <cellStyle name="20% - Accent3 11 4 2" xfId="616"/>
    <cellStyle name="20% - Accent3 11 5" xfId="617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3" xfId="627"/>
    <cellStyle name="20% - Accent3 2 2 3 2" xfId="628"/>
    <cellStyle name="20% - Accent3 2 2 4" xfId="629"/>
    <cellStyle name="20% - Accent3 2 2 4 2" xfId="630"/>
    <cellStyle name="20% - Accent3 2 2 5" xfId="631"/>
    <cellStyle name="20% - Accent3 2 2 5 2" xfId="632"/>
    <cellStyle name="20% - Accent3 2 2 6" xfId="633"/>
    <cellStyle name="20% - Accent3 2 2_ORACLE TRIAL BALANCE" xfId="634"/>
    <cellStyle name="20% - Accent3 2 3" xfId="635"/>
    <cellStyle name="20% - Accent3 2 3 2" xfId="636"/>
    <cellStyle name="20% - Accent3 2 4" xfId="637"/>
    <cellStyle name="20% - Accent3 2 4 2" xfId="638"/>
    <cellStyle name="20% - Accent3 2 5" xfId="639"/>
    <cellStyle name="20% - Accent3 2 5 2" xfId="640"/>
    <cellStyle name="20% - Accent3 2 6" xfId="641"/>
    <cellStyle name="20% - Accent3 2 6 2" xfId="642"/>
    <cellStyle name="20% - Accent3 2 7" xfId="643"/>
    <cellStyle name="20% - Accent3 2 8" xfId="623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3" xfId="649"/>
    <cellStyle name="20% - Accent3 3 2 3 2" xfId="650"/>
    <cellStyle name="20% - Accent3 3 2 4" xfId="651"/>
    <cellStyle name="20% - Accent3 3 2 4 2" xfId="652"/>
    <cellStyle name="20% - Accent3 3 2 5" xfId="653"/>
    <cellStyle name="20% - Accent3 3 2_ORACLE TRIAL BALANCE" xfId="654"/>
    <cellStyle name="20% - Accent3 3 3" xfId="655"/>
    <cellStyle name="20% - Accent3 3 3 2" xfId="656"/>
    <cellStyle name="20% - Accent3 3 4" xfId="657"/>
    <cellStyle name="20% - Accent3 3 4 2" xfId="658"/>
    <cellStyle name="20% - Accent3 3 5" xfId="659"/>
    <cellStyle name="20% - Accent3 3 6" xfId="660"/>
    <cellStyle name="20% - Accent3 3 7" xfId="661"/>
    <cellStyle name="20% - Accent3 3 8" xfId="662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3" xfId="668"/>
    <cellStyle name="20% - Accent3 4 2 3 2" xfId="669"/>
    <cellStyle name="20% - Accent3 4 2 4" xfId="670"/>
    <cellStyle name="20% - Accent3 4 2 4 2" xfId="671"/>
    <cellStyle name="20% - Accent3 4 2 5" xfId="672"/>
    <cellStyle name="20% - Accent3 4 2_ORACLE TRIAL BALANCE" xfId="673"/>
    <cellStyle name="20% - Accent3 4 3" xfId="674"/>
    <cellStyle name="20% - Accent3 4 3 2" xfId="675"/>
    <cellStyle name="20% - Accent3 4 4" xfId="676"/>
    <cellStyle name="20% - Accent3 4 4 2" xfId="677"/>
    <cellStyle name="20% - Accent3 4 5" xfId="678"/>
    <cellStyle name="20% - Accent3 4 5 2" xfId="679"/>
    <cellStyle name="20% - Accent3 4 6" xfId="680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3" xfId="686"/>
    <cellStyle name="20% - Accent3 5 2 3 2" xfId="687"/>
    <cellStyle name="20% - Accent3 5 2 4" xfId="688"/>
    <cellStyle name="20% - Accent3 5 2 4 2" xfId="689"/>
    <cellStyle name="20% - Accent3 5 2 5" xfId="690"/>
    <cellStyle name="20% - Accent3 5 2_ORACLE TRIAL BALANCE" xfId="691"/>
    <cellStyle name="20% - Accent3 5 3" xfId="692"/>
    <cellStyle name="20% - Accent3 5 3 2" xfId="693"/>
    <cellStyle name="20% - Accent3 5 4" xfId="694"/>
    <cellStyle name="20% - Accent3 5 4 2" xfId="695"/>
    <cellStyle name="20% - Accent3 5 5" xfId="696"/>
    <cellStyle name="20% - Accent3 5 5 2" xfId="697"/>
    <cellStyle name="20% - Accent3 5 6" xfId="698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3" xfId="704"/>
    <cellStyle name="20% - Accent3 6 2 3 2" xfId="705"/>
    <cellStyle name="20% - Accent3 6 2 4" xfId="706"/>
    <cellStyle name="20% - Accent3 6 2 4 2" xfId="707"/>
    <cellStyle name="20% - Accent3 6 2 5" xfId="708"/>
    <cellStyle name="20% - Accent3 6 2_ORACLE TRIAL BALANCE" xfId="709"/>
    <cellStyle name="20% - Accent3 6 3" xfId="710"/>
    <cellStyle name="20% - Accent3 6 3 2" xfId="711"/>
    <cellStyle name="20% - Accent3 6 4" xfId="712"/>
    <cellStyle name="20% - Accent3 6 4 2" xfId="713"/>
    <cellStyle name="20% - Accent3 6 5" xfId="714"/>
    <cellStyle name="20% - Accent3 6 5 2" xfId="715"/>
    <cellStyle name="20% - Accent3 6 6" xfId="716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3" xfId="722"/>
    <cellStyle name="20% - Accent3 7 2 3 2" xfId="723"/>
    <cellStyle name="20% - Accent3 7 2 4" xfId="724"/>
    <cellStyle name="20% - Accent3 7 2 4 2" xfId="725"/>
    <cellStyle name="20% - Accent3 7 2 5" xfId="726"/>
    <cellStyle name="20% - Accent3 7 2_ORACLE TRIAL BALANCE" xfId="727"/>
    <cellStyle name="20% - Accent3 7 3" xfId="728"/>
    <cellStyle name="20% - Accent3 7 3 2" xfId="729"/>
    <cellStyle name="20% - Accent3 7 4" xfId="730"/>
    <cellStyle name="20% - Accent3 7 4 2" xfId="731"/>
    <cellStyle name="20% - Accent3 7 5" xfId="732"/>
    <cellStyle name="20% - Accent3 7 5 2" xfId="733"/>
    <cellStyle name="20% - Accent3 7 6" xfId="734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3" xfId="740"/>
    <cellStyle name="20% - Accent3 8 2 3 2" xfId="741"/>
    <cellStyle name="20% - Accent3 8 2 4" xfId="742"/>
    <cellStyle name="20% - Accent3 8 2 4 2" xfId="743"/>
    <cellStyle name="20% - Accent3 8 2 5" xfId="744"/>
    <cellStyle name="20% - Accent3 8 2_ORACLE TRIAL BALANCE" xfId="745"/>
    <cellStyle name="20% - Accent3 8 3" xfId="746"/>
    <cellStyle name="20% - Accent3 8 3 2" xfId="747"/>
    <cellStyle name="20% - Accent3 8 4" xfId="748"/>
    <cellStyle name="20% - Accent3 8 4 2" xfId="749"/>
    <cellStyle name="20% - Accent3 8 5" xfId="750"/>
    <cellStyle name="20% - Accent3 8 5 2" xfId="751"/>
    <cellStyle name="20% - Accent3 8 6" xfId="752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3" xfId="758"/>
    <cellStyle name="20% - Accent3 9 2 3 2" xfId="759"/>
    <cellStyle name="20% - Accent3 9 2 4" xfId="760"/>
    <cellStyle name="20% - Accent3 9 2 4 2" xfId="761"/>
    <cellStyle name="20% - Accent3 9 2 5" xfId="762"/>
    <cellStyle name="20% - Accent3 9 2_ORACLE TRIAL BALANCE" xfId="763"/>
    <cellStyle name="20% - Accent3 9 3" xfId="764"/>
    <cellStyle name="20% - Accent3 9 3 2" xfId="765"/>
    <cellStyle name="20% - Accent3 9 4" xfId="766"/>
    <cellStyle name="20% - Accent3 9 4 2" xfId="767"/>
    <cellStyle name="20% - Accent3 9 5" xfId="768"/>
    <cellStyle name="20% - Accent3 9 5 2" xfId="769"/>
    <cellStyle name="20% - Accent3 9 6" xfId="770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3" xfId="776"/>
    <cellStyle name="20% - Accent4 10 2 3 2" xfId="777"/>
    <cellStyle name="20% - Accent4 10 2 4" xfId="778"/>
    <cellStyle name="20% - Accent4 10 2 4 2" xfId="779"/>
    <cellStyle name="20% - Accent4 10 2 5" xfId="780"/>
    <cellStyle name="20% - Accent4 10 2_ORACLE TRIAL BALANCE" xfId="781"/>
    <cellStyle name="20% - Accent4 10 3" xfId="782"/>
    <cellStyle name="20% - Accent4 10 3 2" xfId="783"/>
    <cellStyle name="20% - Accent4 10 4" xfId="784"/>
    <cellStyle name="20% - Accent4 10 4 2" xfId="785"/>
    <cellStyle name="20% - Accent4 10 5" xfId="786"/>
    <cellStyle name="20% - Accent4 10 5 2" xfId="787"/>
    <cellStyle name="20% - Accent4 10 6" xfId="788"/>
    <cellStyle name="20% - Accent4 10_ORACLE TRIAL BALANCE" xfId="789"/>
    <cellStyle name="20% - Accent4 11" xfId="790"/>
    <cellStyle name="20% - Accent4 11 2" xfId="791"/>
    <cellStyle name="20% - Accent4 11 2 2" xfId="792"/>
    <cellStyle name="20% - Accent4 11 3" xfId="793"/>
    <cellStyle name="20% - Accent4 11 3 2" xfId="794"/>
    <cellStyle name="20% - Accent4 11 4" xfId="795"/>
    <cellStyle name="20% - Accent4 11 4 2" xfId="796"/>
    <cellStyle name="20% - Accent4 11 5" xfId="797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3" xfId="807"/>
    <cellStyle name="20% - Accent4 2 2 3 2" xfId="808"/>
    <cellStyle name="20% - Accent4 2 2 4" xfId="809"/>
    <cellStyle name="20% - Accent4 2 2 4 2" xfId="810"/>
    <cellStyle name="20% - Accent4 2 2 5" xfId="811"/>
    <cellStyle name="20% - Accent4 2 2 5 2" xfId="812"/>
    <cellStyle name="20% - Accent4 2 2 6" xfId="813"/>
    <cellStyle name="20% - Accent4 2 2_ORACLE TRIAL BALANCE" xfId="814"/>
    <cellStyle name="20% - Accent4 2 3" xfId="815"/>
    <cellStyle name="20% - Accent4 2 3 2" xfId="816"/>
    <cellStyle name="20% - Accent4 2 4" xfId="817"/>
    <cellStyle name="20% - Accent4 2 4 2" xfId="818"/>
    <cellStyle name="20% - Accent4 2 5" xfId="819"/>
    <cellStyle name="20% - Accent4 2 5 2" xfId="820"/>
    <cellStyle name="20% - Accent4 2 6" xfId="821"/>
    <cellStyle name="20% - Accent4 2 6 2" xfId="822"/>
    <cellStyle name="20% - Accent4 2 7" xfId="823"/>
    <cellStyle name="20% - Accent4 2 8" xfId="803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3" xfId="829"/>
    <cellStyle name="20% - Accent4 3 2 3 2" xfId="830"/>
    <cellStyle name="20% - Accent4 3 2 4" xfId="831"/>
    <cellStyle name="20% - Accent4 3 2 4 2" xfId="832"/>
    <cellStyle name="20% - Accent4 3 2 5" xfId="833"/>
    <cellStyle name="20% - Accent4 3 2_ORACLE TRIAL BALANCE" xfId="834"/>
    <cellStyle name="20% - Accent4 3 3" xfId="835"/>
    <cellStyle name="20% - Accent4 3 3 2" xfId="836"/>
    <cellStyle name="20% - Accent4 3 4" xfId="837"/>
    <cellStyle name="20% - Accent4 3 4 2" xfId="838"/>
    <cellStyle name="20% - Accent4 3 5" xfId="839"/>
    <cellStyle name="20% - Accent4 3 6" xfId="840"/>
    <cellStyle name="20% - Accent4 3 7" xfId="841"/>
    <cellStyle name="20% - Accent4 3 8" xfId="842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3" xfId="848"/>
    <cellStyle name="20% - Accent4 4 2 3 2" xfId="849"/>
    <cellStyle name="20% - Accent4 4 2 4" xfId="850"/>
    <cellStyle name="20% - Accent4 4 2 4 2" xfId="851"/>
    <cellStyle name="20% - Accent4 4 2 5" xfId="852"/>
    <cellStyle name="20% - Accent4 4 2_ORACLE TRIAL BALANCE" xfId="853"/>
    <cellStyle name="20% - Accent4 4 3" xfId="854"/>
    <cellStyle name="20% - Accent4 4 3 2" xfId="855"/>
    <cellStyle name="20% - Accent4 4 4" xfId="856"/>
    <cellStyle name="20% - Accent4 4 4 2" xfId="857"/>
    <cellStyle name="20% - Accent4 4 5" xfId="858"/>
    <cellStyle name="20% - Accent4 4 5 2" xfId="859"/>
    <cellStyle name="20% - Accent4 4 6" xfId="860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3" xfId="866"/>
    <cellStyle name="20% - Accent4 5 2 3 2" xfId="867"/>
    <cellStyle name="20% - Accent4 5 2 4" xfId="868"/>
    <cellStyle name="20% - Accent4 5 2 4 2" xfId="869"/>
    <cellStyle name="20% - Accent4 5 2 5" xfId="870"/>
    <cellStyle name="20% - Accent4 5 2_ORACLE TRIAL BALANCE" xfId="871"/>
    <cellStyle name="20% - Accent4 5 3" xfId="872"/>
    <cellStyle name="20% - Accent4 5 3 2" xfId="873"/>
    <cellStyle name="20% - Accent4 5 4" xfId="874"/>
    <cellStyle name="20% - Accent4 5 4 2" xfId="875"/>
    <cellStyle name="20% - Accent4 5 5" xfId="876"/>
    <cellStyle name="20% - Accent4 5 5 2" xfId="877"/>
    <cellStyle name="20% - Accent4 5 6" xfId="878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3" xfId="884"/>
    <cellStyle name="20% - Accent4 6 2 3 2" xfId="885"/>
    <cellStyle name="20% - Accent4 6 2 4" xfId="886"/>
    <cellStyle name="20% - Accent4 6 2 4 2" xfId="887"/>
    <cellStyle name="20% - Accent4 6 2 5" xfId="888"/>
    <cellStyle name="20% - Accent4 6 2_ORACLE TRIAL BALANCE" xfId="889"/>
    <cellStyle name="20% - Accent4 6 3" xfId="890"/>
    <cellStyle name="20% - Accent4 6 3 2" xfId="891"/>
    <cellStyle name="20% - Accent4 6 4" xfId="892"/>
    <cellStyle name="20% - Accent4 6 4 2" xfId="893"/>
    <cellStyle name="20% - Accent4 6 5" xfId="894"/>
    <cellStyle name="20% - Accent4 6 5 2" xfId="895"/>
    <cellStyle name="20% - Accent4 6 6" xfId="896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3" xfId="902"/>
    <cellStyle name="20% - Accent4 7 2 3 2" xfId="903"/>
    <cellStyle name="20% - Accent4 7 2 4" xfId="904"/>
    <cellStyle name="20% - Accent4 7 2 4 2" xfId="905"/>
    <cellStyle name="20% - Accent4 7 2 5" xfId="906"/>
    <cellStyle name="20% - Accent4 7 2_ORACLE TRIAL BALANCE" xfId="907"/>
    <cellStyle name="20% - Accent4 7 3" xfId="908"/>
    <cellStyle name="20% - Accent4 7 3 2" xfId="909"/>
    <cellStyle name="20% - Accent4 7 4" xfId="910"/>
    <cellStyle name="20% - Accent4 7 4 2" xfId="911"/>
    <cellStyle name="20% - Accent4 7 5" xfId="912"/>
    <cellStyle name="20% - Accent4 7 5 2" xfId="913"/>
    <cellStyle name="20% - Accent4 7 6" xfId="914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3" xfId="920"/>
    <cellStyle name="20% - Accent4 8 2 3 2" xfId="921"/>
    <cellStyle name="20% - Accent4 8 2 4" xfId="922"/>
    <cellStyle name="20% - Accent4 8 2 4 2" xfId="923"/>
    <cellStyle name="20% - Accent4 8 2 5" xfId="924"/>
    <cellStyle name="20% - Accent4 8 2_ORACLE TRIAL BALANCE" xfId="925"/>
    <cellStyle name="20% - Accent4 8 3" xfId="926"/>
    <cellStyle name="20% - Accent4 8 3 2" xfId="927"/>
    <cellStyle name="20% - Accent4 8 4" xfId="928"/>
    <cellStyle name="20% - Accent4 8 4 2" xfId="929"/>
    <cellStyle name="20% - Accent4 8 5" xfId="930"/>
    <cellStyle name="20% - Accent4 8 5 2" xfId="931"/>
    <cellStyle name="20% - Accent4 8 6" xfId="932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3" xfId="938"/>
    <cellStyle name="20% - Accent4 9 2 3 2" xfId="939"/>
    <cellStyle name="20% - Accent4 9 2 4" xfId="940"/>
    <cellStyle name="20% - Accent4 9 2 4 2" xfId="941"/>
    <cellStyle name="20% - Accent4 9 2 5" xfId="942"/>
    <cellStyle name="20% - Accent4 9 2_ORACLE TRIAL BALANCE" xfId="943"/>
    <cellStyle name="20% - Accent4 9 3" xfId="944"/>
    <cellStyle name="20% - Accent4 9 3 2" xfId="945"/>
    <cellStyle name="20% - Accent4 9 4" xfId="946"/>
    <cellStyle name="20% - Accent4 9 4 2" xfId="947"/>
    <cellStyle name="20% - Accent4 9 5" xfId="948"/>
    <cellStyle name="20% - Accent4 9 5 2" xfId="949"/>
    <cellStyle name="20% - Accent4 9 6" xfId="950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3" xfId="956"/>
    <cellStyle name="20% - Accent5 10 2 3 2" xfId="957"/>
    <cellStyle name="20% - Accent5 10 2 4" xfId="958"/>
    <cellStyle name="20% - Accent5 10 2 4 2" xfId="959"/>
    <cellStyle name="20% - Accent5 10 2 5" xfId="960"/>
    <cellStyle name="20% - Accent5 10 2_ORACLE TRIAL BALANCE" xfId="961"/>
    <cellStyle name="20% - Accent5 10 3" xfId="962"/>
    <cellStyle name="20% - Accent5 10 3 2" xfId="963"/>
    <cellStyle name="20% - Accent5 10 4" xfId="964"/>
    <cellStyle name="20% - Accent5 10 4 2" xfId="965"/>
    <cellStyle name="20% - Accent5 10 5" xfId="966"/>
    <cellStyle name="20% - Accent5 10 5 2" xfId="967"/>
    <cellStyle name="20% - Accent5 10 6" xfId="968"/>
    <cellStyle name="20% - Accent5 10_ORACLE TRIAL BALANCE" xfId="969"/>
    <cellStyle name="20% - Accent5 11" xfId="970"/>
    <cellStyle name="20% - Accent5 11 2" xfId="971"/>
    <cellStyle name="20% - Accent5 11 2 2" xfId="972"/>
    <cellStyle name="20% - Accent5 11 3" xfId="973"/>
    <cellStyle name="20% - Accent5 11 3 2" xfId="974"/>
    <cellStyle name="20% - Accent5 11 4" xfId="975"/>
    <cellStyle name="20% - Accent5 11 4 2" xfId="976"/>
    <cellStyle name="20% - Accent5 11 5" xfId="97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3" xfId="987"/>
    <cellStyle name="20% - Accent5 2 2 3 2" xfId="988"/>
    <cellStyle name="20% - Accent5 2 2 4" xfId="989"/>
    <cellStyle name="20% - Accent5 2 2 4 2" xfId="990"/>
    <cellStyle name="20% - Accent5 2 2 5" xfId="991"/>
    <cellStyle name="20% - Accent5 2 2 5 2" xfId="992"/>
    <cellStyle name="20% - Accent5 2 2 6" xfId="993"/>
    <cellStyle name="20% - Accent5 2 2_ORACLE TRIAL BALANCE" xfId="994"/>
    <cellStyle name="20% - Accent5 2 3" xfId="995"/>
    <cellStyle name="20% - Accent5 2 3 2" xfId="996"/>
    <cellStyle name="20% - Accent5 2 4" xfId="997"/>
    <cellStyle name="20% - Accent5 2 4 2" xfId="998"/>
    <cellStyle name="20% - Accent5 2 5" xfId="999"/>
    <cellStyle name="20% - Accent5 2 5 2" xfId="1000"/>
    <cellStyle name="20% - Accent5 2 6" xfId="1001"/>
    <cellStyle name="20% - Accent5 2 6 2" xfId="1002"/>
    <cellStyle name="20% - Accent5 2 7" xfId="1003"/>
    <cellStyle name="20% - Accent5 2 8" xfId="983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3" xfId="1009"/>
    <cellStyle name="20% - Accent5 3 2 3 2" xfId="1010"/>
    <cellStyle name="20% - Accent5 3 2 4" xfId="1011"/>
    <cellStyle name="20% - Accent5 3 2 4 2" xfId="1012"/>
    <cellStyle name="20% - Accent5 3 2 5" xfId="1013"/>
    <cellStyle name="20% - Accent5 3 2_ORACLE TRIAL BALANCE" xfId="1014"/>
    <cellStyle name="20% - Accent5 3 3" xfId="1015"/>
    <cellStyle name="20% - Accent5 3 3 2" xfId="1016"/>
    <cellStyle name="20% - Accent5 3 4" xfId="1017"/>
    <cellStyle name="20% - Accent5 3 4 2" xfId="1018"/>
    <cellStyle name="20% - Accent5 3 5" xfId="1019"/>
    <cellStyle name="20% - Accent5 3 6" xfId="1020"/>
    <cellStyle name="20% - Accent5 3 7" xfId="1021"/>
    <cellStyle name="20% - Accent5 3 8" xfId="1022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3" xfId="1028"/>
    <cellStyle name="20% - Accent5 4 2 3 2" xfId="1029"/>
    <cellStyle name="20% - Accent5 4 2 4" xfId="1030"/>
    <cellStyle name="20% - Accent5 4 2 4 2" xfId="1031"/>
    <cellStyle name="20% - Accent5 4 2 5" xfId="1032"/>
    <cellStyle name="20% - Accent5 4 2_ORACLE TRIAL BALANCE" xfId="1033"/>
    <cellStyle name="20% - Accent5 4 3" xfId="1034"/>
    <cellStyle name="20% - Accent5 4 3 2" xfId="1035"/>
    <cellStyle name="20% - Accent5 4 4" xfId="1036"/>
    <cellStyle name="20% - Accent5 4 4 2" xfId="1037"/>
    <cellStyle name="20% - Accent5 4 5" xfId="1038"/>
    <cellStyle name="20% - Accent5 4 5 2" xfId="1039"/>
    <cellStyle name="20% - Accent5 4 6" xfId="1040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3" xfId="1046"/>
    <cellStyle name="20% - Accent5 5 2 3 2" xfId="1047"/>
    <cellStyle name="20% - Accent5 5 2 4" xfId="1048"/>
    <cellStyle name="20% - Accent5 5 2 4 2" xfId="1049"/>
    <cellStyle name="20% - Accent5 5 2 5" xfId="1050"/>
    <cellStyle name="20% - Accent5 5 2_ORACLE TRIAL BALANCE" xfId="1051"/>
    <cellStyle name="20% - Accent5 5 3" xfId="1052"/>
    <cellStyle name="20% - Accent5 5 3 2" xfId="1053"/>
    <cellStyle name="20% - Accent5 5 4" xfId="1054"/>
    <cellStyle name="20% - Accent5 5 4 2" xfId="1055"/>
    <cellStyle name="20% - Accent5 5 5" xfId="1056"/>
    <cellStyle name="20% - Accent5 5 5 2" xfId="1057"/>
    <cellStyle name="20% - Accent5 5 6" xfId="1058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3" xfId="1064"/>
    <cellStyle name="20% - Accent5 6 2 3 2" xfId="1065"/>
    <cellStyle name="20% - Accent5 6 2 4" xfId="1066"/>
    <cellStyle name="20% - Accent5 6 2 4 2" xfId="1067"/>
    <cellStyle name="20% - Accent5 6 2 5" xfId="1068"/>
    <cellStyle name="20% - Accent5 6 2_ORACLE TRIAL BALANCE" xfId="1069"/>
    <cellStyle name="20% - Accent5 6 3" xfId="1070"/>
    <cellStyle name="20% - Accent5 6 3 2" xfId="1071"/>
    <cellStyle name="20% - Accent5 6 4" xfId="1072"/>
    <cellStyle name="20% - Accent5 6 4 2" xfId="1073"/>
    <cellStyle name="20% - Accent5 6 5" xfId="1074"/>
    <cellStyle name="20% - Accent5 6 5 2" xfId="1075"/>
    <cellStyle name="20% - Accent5 6 6" xfId="1076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3" xfId="1082"/>
    <cellStyle name="20% - Accent5 7 2 3 2" xfId="1083"/>
    <cellStyle name="20% - Accent5 7 2 4" xfId="1084"/>
    <cellStyle name="20% - Accent5 7 2 4 2" xfId="1085"/>
    <cellStyle name="20% - Accent5 7 2 5" xfId="1086"/>
    <cellStyle name="20% - Accent5 7 2_ORACLE TRIAL BALANCE" xfId="1087"/>
    <cellStyle name="20% - Accent5 7 3" xfId="1088"/>
    <cellStyle name="20% - Accent5 7 3 2" xfId="1089"/>
    <cellStyle name="20% - Accent5 7 4" xfId="1090"/>
    <cellStyle name="20% - Accent5 7 4 2" xfId="1091"/>
    <cellStyle name="20% - Accent5 7 5" xfId="1092"/>
    <cellStyle name="20% - Accent5 7 5 2" xfId="1093"/>
    <cellStyle name="20% - Accent5 7 6" xfId="1094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3" xfId="1100"/>
    <cellStyle name="20% - Accent5 8 2 3 2" xfId="1101"/>
    <cellStyle name="20% - Accent5 8 2 4" xfId="1102"/>
    <cellStyle name="20% - Accent5 8 2 4 2" xfId="1103"/>
    <cellStyle name="20% - Accent5 8 2 5" xfId="1104"/>
    <cellStyle name="20% - Accent5 8 2_ORACLE TRIAL BALANCE" xfId="1105"/>
    <cellStyle name="20% - Accent5 8 3" xfId="1106"/>
    <cellStyle name="20% - Accent5 8 3 2" xfId="1107"/>
    <cellStyle name="20% - Accent5 8 4" xfId="1108"/>
    <cellStyle name="20% - Accent5 8 4 2" xfId="1109"/>
    <cellStyle name="20% - Accent5 8 5" xfId="1110"/>
    <cellStyle name="20% - Accent5 8 5 2" xfId="1111"/>
    <cellStyle name="20% - Accent5 8 6" xfId="1112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3" xfId="1118"/>
    <cellStyle name="20% - Accent5 9 2 3 2" xfId="1119"/>
    <cellStyle name="20% - Accent5 9 2 4" xfId="1120"/>
    <cellStyle name="20% - Accent5 9 2 4 2" xfId="1121"/>
    <cellStyle name="20% - Accent5 9 2 5" xfId="1122"/>
    <cellStyle name="20% - Accent5 9 2_ORACLE TRIAL BALANCE" xfId="1123"/>
    <cellStyle name="20% - Accent5 9 3" xfId="1124"/>
    <cellStyle name="20% - Accent5 9 3 2" xfId="1125"/>
    <cellStyle name="20% - Accent5 9 4" xfId="1126"/>
    <cellStyle name="20% - Accent5 9 4 2" xfId="1127"/>
    <cellStyle name="20% - Accent5 9 5" xfId="1128"/>
    <cellStyle name="20% - Accent5 9 5 2" xfId="1129"/>
    <cellStyle name="20% - Accent5 9 6" xfId="1130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3" xfId="1136"/>
    <cellStyle name="20% - Accent6 10 2 3 2" xfId="1137"/>
    <cellStyle name="20% - Accent6 10 2 4" xfId="1138"/>
    <cellStyle name="20% - Accent6 10 2 4 2" xfId="1139"/>
    <cellStyle name="20% - Accent6 10 2 5" xfId="1140"/>
    <cellStyle name="20% - Accent6 10 2_ORACLE TRIAL BALANCE" xfId="1141"/>
    <cellStyle name="20% - Accent6 10 3" xfId="1142"/>
    <cellStyle name="20% - Accent6 10 3 2" xfId="1143"/>
    <cellStyle name="20% - Accent6 10 4" xfId="1144"/>
    <cellStyle name="20% - Accent6 10 4 2" xfId="1145"/>
    <cellStyle name="20% - Accent6 10 5" xfId="1146"/>
    <cellStyle name="20% - Accent6 10 5 2" xfId="1147"/>
    <cellStyle name="20% - Accent6 10 6" xfId="1148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3" xfId="1153"/>
    <cellStyle name="20% - Accent6 11 3 2" xfId="1154"/>
    <cellStyle name="20% - Accent6 11 4" xfId="1155"/>
    <cellStyle name="20% - Accent6 11 4 2" xfId="1156"/>
    <cellStyle name="20% - Accent6 11 5" xfId="1157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3" xfId="1167"/>
    <cellStyle name="20% - Accent6 2 2 3 2" xfId="1168"/>
    <cellStyle name="20% - Accent6 2 2 4" xfId="1169"/>
    <cellStyle name="20% - Accent6 2 2 4 2" xfId="1170"/>
    <cellStyle name="20% - Accent6 2 2 5" xfId="1171"/>
    <cellStyle name="20% - Accent6 2 2 5 2" xfId="1172"/>
    <cellStyle name="20% - Accent6 2 2 6" xfId="1173"/>
    <cellStyle name="20% - Accent6 2 2_ORACLE TRIAL BALANCE" xfId="1174"/>
    <cellStyle name="20% - Accent6 2 3" xfId="1175"/>
    <cellStyle name="20% - Accent6 2 3 2" xfId="1176"/>
    <cellStyle name="20% - Accent6 2 4" xfId="1177"/>
    <cellStyle name="20% - Accent6 2 4 2" xfId="1178"/>
    <cellStyle name="20% - Accent6 2 5" xfId="1179"/>
    <cellStyle name="20% - Accent6 2 5 2" xfId="1180"/>
    <cellStyle name="20% - Accent6 2 6" xfId="1181"/>
    <cellStyle name="20% - Accent6 2 6 2" xfId="1182"/>
    <cellStyle name="20% - Accent6 2 7" xfId="1183"/>
    <cellStyle name="20% - Accent6 2 8" xfId="1163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3" xfId="1189"/>
    <cellStyle name="20% - Accent6 3 2 3 2" xfId="1190"/>
    <cellStyle name="20% - Accent6 3 2 4" xfId="1191"/>
    <cellStyle name="20% - Accent6 3 2 4 2" xfId="1192"/>
    <cellStyle name="20% - Accent6 3 2 5" xfId="1193"/>
    <cellStyle name="20% - Accent6 3 2_ORACLE TRIAL BALANCE" xfId="1194"/>
    <cellStyle name="20% - Accent6 3 3" xfId="1195"/>
    <cellStyle name="20% - Accent6 3 3 2" xfId="1196"/>
    <cellStyle name="20% - Accent6 3 4" xfId="1197"/>
    <cellStyle name="20% - Accent6 3 4 2" xfId="1198"/>
    <cellStyle name="20% - Accent6 3 5" xfId="1199"/>
    <cellStyle name="20% - Accent6 3 6" xfId="1200"/>
    <cellStyle name="20% - Accent6 3 7" xfId="1201"/>
    <cellStyle name="20% - Accent6 3 8" xfId="1202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3" xfId="1208"/>
    <cellStyle name="20% - Accent6 4 2 3 2" xfId="1209"/>
    <cellStyle name="20% - Accent6 4 2 4" xfId="1210"/>
    <cellStyle name="20% - Accent6 4 2 4 2" xfId="1211"/>
    <cellStyle name="20% - Accent6 4 2 5" xfId="1212"/>
    <cellStyle name="20% - Accent6 4 2_ORACLE TRIAL BALANCE" xfId="1213"/>
    <cellStyle name="20% - Accent6 4 3" xfId="1214"/>
    <cellStyle name="20% - Accent6 4 3 2" xfId="1215"/>
    <cellStyle name="20% - Accent6 4 4" xfId="1216"/>
    <cellStyle name="20% - Accent6 4 4 2" xfId="1217"/>
    <cellStyle name="20% - Accent6 4 5" xfId="1218"/>
    <cellStyle name="20% - Accent6 4 5 2" xfId="1219"/>
    <cellStyle name="20% - Accent6 4 6" xfId="1220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3" xfId="1226"/>
    <cellStyle name="20% - Accent6 5 2 3 2" xfId="1227"/>
    <cellStyle name="20% - Accent6 5 2 4" xfId="1228"/>
    <cellStyle name="20% - Accent6 5 2 4 2" xfId="1229"/>
    <cellStyle name="20% - Accent6 5 2 5" xfId="1230"/>
    <cellStyle name="20% - Accent6 5 2_ORACLE TRIAL BALANCE" xfId="1231"/>
    <cellStyle name="20% - Accent6 5 3" xfId="1232"/>
    <cellStyle name="20% - Accent6 5 3 2" xfId="1233"/>
    <cellStyle name="20% - Accent6 5 4" xfId="1234"/>
    <cellStyle name="20% - Accent6 5 4 2" xfId="1235"/>
    <cellStyle name="20% - Accent6 5 5" xfId="1236"/>
    <cellStyle name="20% - Accent6 5 5 2" xfId="1237"/>
    <cellStyle name="20% - Accent6 5 6" xfId="1238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3" xfId="1244"/>
    <cellStyle name="20% - Accent6 6 2 3 2" xfId="1245"/>
    <cellStyle name="20% - Accent6 6 2 4" xfId="1246"/>
    <cellStyle name="20% - Accent6 6 2 4 2" xfId="1247"/>
    <cellStyle name="20% - Accent6 6 2 5" xfId="1248"/>
    <cellStyle name="20% - Accent6 6 2_ORACLE TRIAL BALANCE" xfId="1249"/>
    <cellStyle name="20% - Accent6 6 3" xfId="1250"/>
    <cellStyle name="20% - Accent6 6 3 2" xfId="1251"/>
    <cellStyle name="20% - Accent6 6 4" xfId="1252"/>
    <cellStyle name="20% - Accent6 6 4 2" xfId="1253"/>
    <cellStyle name="20% - Accent6 6 5" xfId="1254"/>
    <cellStyle name="20% - Accent6 6 5 2" xfId="1255"/>
    <cellStyle name="20% - Accent6 6 6" xfId="1256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3" xfId="1262"/>
    <cellStyle name="20% - Accent6 7 2 3 2" xfId="1263"/>
    <cellStyle name="20% - Accent6 7 2 4" xfId="1264"/>
    <cellStyle name="20% - Accent6 7 2 4 2" xfId="1265"/>
    <cellStyle name="20% - Accent6 7 2 5" xfId="1266"/>
    <cellStyle name="20% - Accent6 7 2_ORACLE TRIAL BALANCE" xfId="1267"/>
    <cellStyle name="20% - Accent6 7 3" xfId="1268"/>
    <cellStyle name="20% - Accent6 7 3 2" xfId="1269"/>
    <cellStyle name="20% - Accent6 7 4" xfId="1270"/>
    <cellStyle name="20% - Accent6 7 4 2" xfId="1271"/>
    <cellStyle name="20% - Accent6 7 5" xfId="1272"/>
    <cellStyle name="20% - Accent6 7 5 2" xfId="1273"/>
    <cellStyle name="20% - Accent6 7 6" xfId="1274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3" xfId="1280"/>
    <cellStyle name="20% - Accent6 8 2 3 2" xfId="1281"/>
    <cellStyle name="20% - Accent6 8 2 4" xfId="1282"/>
    <cellStyle name="20% - Accent6 8 2 4 2" xfId="1283"/>
    <cellStyle name="20% - Accent6 8 2 5" xfId="1284"/>
    <cellStyle name="20% - Accent6 8 2_ORACLE TRIAL BALANCE" xfId="1285"/>
    <cellStyle name="20% - Accent6 8 3" xfId="1286"/>
    <cellStyle name="20% - Accent6 8 3 2" xfId="1287"/>
    <cellStyle name="20% - Accent6 8 4" xfId="1288"/>
    <cellStyle name="20% - Accent6 8 4 2" xfId="1289"/>
    <cellStyle name="20% - Accent6 8 5" xfId="1290"/>
    <cellStyle name="20% - Accent6 8 5 2" xfId="1291"/>
    <cellStyle name="20% - Accent6 8 6" xfId="1292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3" xfId="1298"/>
    <cellStyle name="20% - Accent6 9 2 3 2" xfId="1299"/>
    <cellStyle name="20% - Accent6 9 2 4" xfId="1300"/>
    <cellStyle name="20% - Accent6 9 2 4 2" xfId="1301"/>
    <cellStyle name="20% - Accent6 9 2 5" xfId="1302"/>
    <cellStyle name="20% - Accent6 9 2_ORACLE TRIAL BALANCE" xfId="1303"/>
    <cellStyle name="20% - Accent6 9 3" xfId="1304"/>
    <cellStyle name="20% - Accent6 9 3 2" xfId="1305"/>
    <cellStyle name="20% - Accent6 9 4" xfId="1306"/>
    <cellStyle name="20% - Accent6 9 4 2" xfId="1307"/>
    <cellStyle name="20% - Accent6 9 5" xfId="1308"/>
    <cellStyle name="20% - Accent6 9 5 2" xfId="1309"/>
    <cellStyle name="20% - Accent6 9 6" xfId="1310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3" xfId="1316"/>
    <cellStyle name="40% - Accent1 10 2 3 2" xfId="1317"/>
    <cellStyle name="40% - Accent1 10 2 4" xfId="1318"/>
    <cellStyle name="40% - Accent1 10 2 4 2" xfId="1319"/>
    <cellStyle name="40% - Accent1 10 2 5" xfId="1320"/>
    <cellStyle name="40% - Accent1 10 2_ORACLE TRIAL BALANCE" xfId="1321"/>
    <cellStyle name="40% - Accent1 10 3" xfId="1322"/>
    <cellStyle name="40% - Accent1 10 3 2" xfId="1323"/>
    <cellStyle name="40% - Accent1 10 4" xfId="1324"/>
    <cellStyle name="40% - Accent1 10 4 2" xfId="1325"/>
    <cellStyle name="40% - Accent1 10 5" xfId="1326"/>
    <cellStyle name="40% - Accent1 10 5 2" xfId="1327"/>
    <cellStyle name="40% - Accent1 10 6" xfId="1328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3" xfId="1333"/>
    <cellStyle name="40% - Accent1 11 3 2" xfId="1334"/>
    <cellStyle name="40% - Accent1 11 4" xfId="1335"/>
    <cellStyle name="40% - Accent1 11 4 2" xfId="1336"/>
    <cellStyle name="40% - Accent1 11 5" xfId="1337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3" xfId="1347"/>
    <cellStyle name="40% - Accent1 2 2 3 2" xfId="1348"/>
    <cellStyle name="40% - Accent1 2 2 4" xfId="1349"/>
    <cellStyle name="40% - Accent1 2 2 4 2" xfId="1350"/>
    <cellStyle name="40% - Accent1 2 2 5" xfId="1351"/>
    <cellStyle name="40% - Accent1 2 2 5 2" xfId="1352"/>
    <cellStyle name="40% - Accent1 2 2 6" xfId="1353"/>
    <cellStyle name="40% - Accent1 2 2_ORACLE TRIAL BALANCE" xfId="1354"/>
    <cellStyle name="40% - Accent1 2 3" xfId="1355"/>
    <cellStyle name="40% - Accent1 2 3 2" xfId="1356"/>
    <cellStyle name="40% - Accent1 2 4" xfId="1357"/>
    <cellStyle name="40% - Accent1 2 4 2" xfId="1358"/>
    <cellStyle name="40% - Accent1 2 5" xfId="1359"/>
    <cellStyle name="40% - Accent1 2 5 2" xfId="1360"/>
    <cellStyle name="40% - Accent1 2 6" xfId="1361"/>
    <cellStyle name="40% - Accent1 2 6 2" xfId="1362"/>
    <cellStyle name="40% - Accent1 2 7" xfId="1363"/>
    <cellStyle name="40% - Accent1 2 8" xfId="13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3" xfId="1369"/>
    <cellStyle name="40% - Accent1 3 2 3 2" xfId="1370"/>
    <cellStyle name="40% - Accent1 3 2 4" xfId="1371"/>
    <cellStyle name="40% - Accent1 3 2 4 2" xfId="1372"/>
    <cellStyle name="40% - Accent1 3 2 5" xfId="1373"/>
    <cellStyle name="40% - Accent1 3 2_ORACLE TRIAL BALANCE" xfId="1374"/>
    <cellStyle name="40% - Accent1 3 3" xfId="1375"/>
    <cellStyle name="40% - Accent1 3 3 2" xfId="1376"/>
    <cellStyle name="40% - Accent1 3 4" xfId="1377"/>
    <cellStyle name="40% - Accent1 3 4 2" xfId="1378"/>
    <cellStyle name="40% - Accent1 3 5" xfId="1379"/>
    <cellStyle name="40% - Accent1 3 6" xfId="1380"/>
    <cellStyle name="40% - Accent1 3 7" xfId="1381"/>
    <cellStyle name="40% - Accent1 3 8" xfId="1382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3" xfId="1388"/>
    <cellStyle name="40% - Accent1 4 2 3 2" xfId="1389"/>
    <cellStyle name="40% - Accent1 4 2 4" xfId="1390"/>
    <cellStyle name="40% - Accent1 4 2 4 2" xfId="1391"/>
    <cellStyle name="40% - Accent1 4 2 5" xfId="1392"/>
    <cellStyle name="40% - Accent1 4 2_ORACLE TRIAL BALANCE" xfId="1393"/>
    <cellStyle name="40% - Accent1 4 3" xfId="1394"/>
    <cellStyle name="40% - Accent1 4 3 2" xfId="1395"/>
    <cellStyle name="40% - Accent1 4 4" xfId="1396"/>
    <cellStyle name="40% - Accent1 4 4 2" xfId="1397"/>
    <cellStyle name="40% - Accent1 4 5" xfId="1398"/>
    <cellStyle name="40% - Accent1 4 5 2" xfId="1399"/>
    <cellStyle name="40% - Accent1 4 6" xfId="1400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3" xfId="1406"/>
    <cellStyle name="40% - Accent1 5 2 3 2" xfId="1407"/>
    <cellStyle name="40% - Accent1 5 2 4" xfId="1408"/>
    <cellStyle name="40% - Accent1 5 2 4 2" xfId="1409"/>
    <cellStyle name="40% - Accent1 5 2 5" xfId="1410"/>
    <cellStyle name="40% - Accent1 5 2_ORACLE TRIAL BALANCE" xfId="1411"/>
    <cellStyle name="40% - Accent1 5 3" xfId="1412"/>
    <cellStyle name="40% - Accent1 5 3 2" xfId="1413"/>
    <cellStyle name="40% - Accent1 5 4" xfId="1414"/>
    <cellStyle name="40% - Accent1 5 4 2" xfId="1415"/>
    <cellStyle name="40% - Accent1 5 5" xfId="1416"/>
    <cellStyle name="40% - Accent1 5 5 2" xfId="1417"/>
    <cellStyle name="40% - Accent1 5 6" xfId="1418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3" xfId="1424"/>
    <cellStyle name="40% - Accent1 6 2 3 2" xfId="1425"/>
    <cellStyle name="40% - Accent1 6 2 4" xfId="1426"/>
    <cellStyle name="40% - Accent1 6 2 4 2" xfId="1427"/>
    <cellStyle name="40% - Accent1 6 2 5" xfId="1428"/>
    <cellStyle name="40% - Accent1 6 2_ORACLE TRIAL BALANCE" xfId="1429"/>
    <cellStyle name="40% - Accent1 6 3" xfId="1430"/>
    <cellStyle name="40% - Accent1 6 3 2" xfId="1431"/>
    <cellStyle name="40% - Accent1 6 4" xfId="1432"/>
    <cellStyle name="40% - Accent1 6 4 2" xfId="1433"/>
    <cellStyle name="40% - Accent1 6 5" xfId="1434"/>
    <cellStyle name="40% - Accent1 6 5 2" xfId="1435"/>
    <cellStyle name="40% - Accent1 6 6" xfId="1436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3" xfId="1442"/>
    <cellStyle name="40% - Accent1 7 2 3 2" xfId="1443"/>
    <cellStyle name="40% - Accent1 7 2 4" xfId="1444"/>
    <cellStyle name="40% - Accent1 7 2 4 2" xfId="1445"/>
    <cellStyle name="40% - Accent1 7 2 5" xfId="1446"/>
    <cellStyle name="40% - Accent1 7 2_ORACLE TRIAL BALANCE" xfId="1447"/>
    <cellStyle name="40% - Accent1 7 3" xfId="1448"/>
    <cellStyle name="40% - Accent1 7 3 2" xfId="1449"/>
    <cellStyle name="40% - Accent1 7 4" xfId="1450"/>
    <cellStyle name="40% - Accent1 7 4 2" xfId="1451"/>
    <cellStyle name="40% - Accent1 7 5" xfId="1452"/>
    <cellStyle name="40% - Accent1 7 5 2" xfId="1453"/>
    <cellStyle name="40% - Accent1 7 6" xfId="1454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3" xfId="1460"/>
    <cellStyle name="40% - Accent1 8 2 3 2" xfId="1461"/>
    <cellStyle name="40% - Accent1 8 2 4" xfId="1462"/>
    <cellStyle name="40% - Accent1 8 2 4 2" xfId="1463"/>
    <cellStyle name="40% - Accent1 8 2 5" xfId="1464"/>
    <cellStyle name="40% - Accent1 8 2_ORACLE TRIAL BALANCE" xfId="1465"/>
    <cellStyle name="40% - Accent1 8 3" xfId="1466"/>
    <cellStyle name="40% - Accent1 8 3 2" xfId="1467"/>
    <cellStyle name="40% - Accent1 8 4" xfId="1468"/>
    <cellStyle name="40% - Accent1 8 4 2" xfId="1469"/>
    <cellStyle name="40% - Accent1 8 5" xfId="1470"/>
    <cellStyle name="40% - Accent1 8 5 2" xfId="1471"/>
    <cellStyle name="40% - Accent1 8 6" xfId="1472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3" xfId="1478"/>
    <cellStyle name="40% - Accent1 9 2 3 2" xfId="1479"/>
    <cellStyle name="40% - Accent1 9 2 4" xfId="1480"/>
    <cellStyle name="40% - Accent1 9 2 4 2" xfId="1481"/>
    <cellStyle name="40% - Accent1 9 2 5" xfId="1482"/>
    <cellStyle name="40% - Accent1 9 2_ORACLE TRIAL BALANCE" xfId="1483"/>
    <cellStyle name="40% - Accent1 9 3" xfId="1484"/>
    <cellStyle name="40% - Accent1 9 3 2" xfId="1485"/>
    <cellStyle name="40% - Accent1 9 4" xfId="1486"/>
    <cellStyle name="40% - Accent1 9 4 2" xfId="1487"/>
    <cellStyle name="40% - Accent1 9 5" xfId="1488"/>
    <cellStyle name="40% - Accent1 9 5 2" xfId="1489"/>
    <cellStyle name="40% - Accent1 9 6" xfId="1490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3" xfId="1496"/>
    <cellStyle name="40% - Accent2 10 2 3 2" xfId="1497"/>
    <cellStyle name="40% - Accent2 10 2 4" xfId="1498"/>
    <cellStyle name="40% - Accent2 10 2 4 2" xfId="1499"/>
    <cellStyle name="40% - Accent2 10 2 5" xfId="1500"/>
    <cellStyle name="40% - Accent2 10 2_ORACLE TRIAL BALANCE" xfId="1501"/>
    <cellStyle name="40% - Accent2 10 3" xfId="1502"/>
    <cellStyle name="40% - Accent2 10 3 2" xfId="1503"/>
    <cellStyle name="40% - Accent2 10 4" xfId="1504"/>
    <cellStyle name="40% - Accent2 10 4 2" xfId="1505"/>
    <cellStyle name="40% - Accent2 10 5" xfId="1506"/>
    <cellStyle name="40% - Accent2 10 5 2" xfId="1507"/>
    <cellStyle name="40% - Accent2 10 6" xfId="1508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3" xfId="1513"/>
    <cellStyle name="40% - Accent2 11 3 2" xfId="1514"/>
    <cellStyle name="40% - Accent2 11 4" xfId="1515"/>
    <cellStyle name="40% - Accent2 11 4 2" xfId="1516"/>
    <cellStyle name="40% - Accent2 11 5" xfId="1517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3" xfId="1527"/>
    <cellStyle name="40% - Accent2 2 2 3 2" xfId="1528"/>
    <cellStyle name="40% - Accent2 2 2 4" xfId="1529"/>
    <cellStyle name="40% - Accent2 2 2 4 2" xfId="1530"/>
    <cellStyle name="40% - Accent2 2 2 5" xfId="1531"/>
    <cellStyle name="40% - Accent2 2 2 5 2" xfId="1532"/>
    <cellStyle name="40% - Accent2 2 2 6" xfId="1533"/>
    <cellStyle name="40% - Accent2 2 2_ORACLE TRIAL BALANCE" xfId="1534"/>
    <cellStyle name="40% - Accent2 2 3" xfId="1535"/>
    <cellStyle name="40% - Accent2 2 3 2" xfId="1536"/>
    <cellStyle name="40% - Accent2 2 4" xfId="1537"/>
    <cellStyle name="40% - Accent2 2 4 2" xfId="1538"/>
    <cellStyle name="40% - Accent2 2 5" xfId="1539"/>
    <cellStyle name="40% - Accent2 2 5 2" xfId="1540"/>
    <cellStyle name="40% - Accent2 2 6" xfId="1541"/>
    <cellStyle name="40% - Accent2 2 6 2" xfId="1542"/>
    <cellStyle name="40% - Accent2 2 7" xfId="1543"/>
    <cellStyle name="40% - Accent2 2 8" xfId="1523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3" xfId="1549"/>
    <cellStyle name="40% - Accent2 3 2 3 2" xfId="1550"/>
    <cellStyle name="40% - Accent2 3 2 4" xfId="1551"/>
    <cellStyle name="40% - Accent2 3 2 4 2" xfId="1552"/>
    <cellStyle name="40% - Accent2 3 2 5" xfId="1553"/>
    <cellStyle name="40% - Accent2 3 2_ORACLE TRIAL BALANCE" xfId="1554"/>
    <cellStyle name="40% - Accent2 3 3" xfId="1555"/>
    <cellStyle name="40% - Accent2 3 3 2" xfId="1556"/>
    <cellStyle name="40% - Accent2 3 4" xfId="1557"/>
    <cellStyle name="40% - Accent2 3 4 2" xfId="1558"/>
    <cellStyle name="40% - Accent2 3 5" xfId="1559"/>
    <cellStyle name="40% - Accent2 3 6" xfId="1560"/>
    <cellStyle name="40% - Accent2 3 7" xfId="1561"/>
    <cellStyle name="40% - Accent2 3 8" xfId="1562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3" xfId="1568"/>
    <cellStyle name="40% - Accent2 4 2 3 2" xfId="1569"/>
    <cellStyle name="40% - Accent2 4 2 4" xfId="1570"/>
    <cellStyle name="40% - Accent2 4 2 4 2" xfId="1571"/>
    <cellStyle name="40% - Accent2 4 2 5" xfId="1572"/>
    <cellStyle name="40% - Accent2 4 2_ORACLE TRIAL BALANCE" xfId="1573"/>
    <cellStyle name="40% - Accent2 4 3" xfId="1574"/>
    <cellStyle name="40% - Accent2 4 3 2" xfId="1575"/>
    <cellStyle name="40% - Accent2 4 4" xfId="1576"/>
    <cellStyle name="40% - Accent2 4 4 2" xfId="1577"/>
    <cellStyle name="40% - Accent2 4 5" xfId="1578"/>
    <cellStyle name="40% - Accent2 4 5 2" xfId="1579"/>
    <cellStyle name="40% - Accent2 4 6" xfId="1580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3" xfId="1586"/>
    <cellStyle name="40% - Accent2 5 2 3 2" xfId="1587"/>
    <cellStyle name="40% - Accent2 5 2 4" xfId="1588"/>
    <cellStyle name="40% - Accent2 5 2 4 2" xfId="1589"/>
    <cellStyle name="40% - Accent2 5 2 5" xfId="1590"/>
    <cellStyle name="40% - Accent2 5 2_ORACLE TRIAL BALANCE" xfId="1591"/>
    <cellStyle name="40% - Accent2 5 3" xfId="1592"/>
    <cellStyle name="40% - Accent2 5 3 2" xfId="1593"/>
    <cellStyle name="40% - Accent2 5 4" xfId="1594"/>
    <cellStyle name="40% - Accent2 5 4 2" xfId="1595"/>
    <cellStyle name="40% - Accent2 5 5" xfId="1596"/>
    <cellStyle name="40% - Accent2 5 5 2" xfId="1597"/>
    <cellStyle name="40% - Accent2 5 6" xfId="1598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3" xfId="1604"/>
    <cellStyle name="40% - Accent2 6 2 3 2" xfId="1605"/>
    <cellStyle name="40% - Accent2 6 2 4" xfId="1606"/>
    <cellStyle name="40% - Accent2 6 2 4 2" xfId="1607"/>
    <cellStyle name="40% - Accent2 6 2 5" xfId="1608"/>
    <cellStyle name="40% - Accent2 6 2_ORACLE TRIAL BALANCE" xfId="1609"/>
    <cellStyle name="40% - Accent2 6 3" xfId="1610"/>
    <cellStyle name="40% - Accent2 6 3 2" xfId="1611"/>
    <cellStyle name="40% - Accent2 6 4" xfId="1612"/>
    <cellStyle name="40% - Accent2 6 4 2" xfId="1613"/>
    <cellStyle name="40% - Accent2 6 5" xfId="1614"/>
    <cellStyle name="40% - Accent2 6 5 2" xfId="1615"/>
    <cellStyle name="40% - Accent2 6 6" xfId="1616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3" xfId="1622"/>
    <cellStyle name="40% - Accent2 7 2 3 2" xfId="1623"/>
    <cellStyle name="40% - Accent2 7 2 4" xfId="1624"/>
    <cellStyle name="40% - Accent2 7 2 4 2" xfId="1625"/>
    <cellStyle name="40% - Accent2 7 2 5" xfId="1626"/>
    <cellStyle name="40% - Accent2 7 2_ORACLE TRIAL BALANCE" xfId="1627"/>
    <cellStyle name="40% - Accent2 7 3" xfId="1628"/>
    <cellStyle name="40% - Accent2 7 3 2" xfId="1629"/>
    <cellStyle name="40% - Accent2 7 4" xfId="1630"/>
    <cellStyle name="40% - Accent2 7 4 2" xfId="1631"/>
    <cellStyle name="40% - Accent2 7 5" xfId="1632"/>
    <cellStyle name="40% - Accent2 7 5 2" xfId="1633"/>
    <cellStyle name="40% - Accent2 7 6" xfId="1634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3" xfId="1640"/>
    <cellStyle name="40% - Accent2 8 2 3 2" xfId="1641"/>
    <cellStyle name="40% - Accent2 8 2 4" xfId="1642"/>
    <cellStyle name="40% - Accent2 8 2 4 2" xfId="1643"/>
    <cellStyle name="40% - Accent2 8 2 5" xfId="1644"/>
    <cellStyle name="40% - Accent2 8 2_ORACLE TRIAL BALANCE" xfId="1645"/>
    <cellStyle name="40% - Accent2 8 3" xfId="1646"/>
    <cellStyle name="40% - Accent2 8 3 2" xfId="1647"/>
    <cellStyle name="40% - Accent2 8 4" xfId="1648"/>
    <cellStyle name="40% - Accent2 8 4 2" xfId="1649"/>
    <cellStyle name="40% - Accent2 8 5" xfId="1650"/>
    <cellStyle name="40% - Accent2 8 5 2" xfId="1651"/>
    <cellStyle name="40% - Accent2 8 6" xfId="1652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3" xfId="1658"/>
    <cellStyle name="40% - Accent2 9 2 3 2" xfId="1659"/>
    <cellStyle name="40% - Accent2 9 2 4" xfId="1660"/>
    <cellStyle name="40% - Accent2 9 2 4 2" xfId="1661"/>
    <cellStyle name="40% - Accent2 9 2 5" xfId="1662"/>
    <cellStyle name="40% - Accent2 9 2_ORACLE TRIAL BALANCE" xfId="1663"/>
    <cellStyle name="40% - Accent2 9 3" xfId="1664"/>
    <cellStyle name="40% - Accent2 9 3 2" xfId="1665"/>
    <cellStyle name="40% - Accent2 9 4" xfId="1666"/>
    <cellStyle name="40% - Accent2 9 4 2" xfId="1667"/>
    <cellStyle name="40% - Accent2 9 5" xfId="1668"/>
    <cellStyle name="40% - Accent2 9 5 2" xfId="1669"/>
    <cellStyle name="40% - Accent2 9 6" xfId="1670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3" xfId="1676"/>
    <cellStyle name="40% - Accent3 10 2 3 2" xfId="1677"/>
    <cellStyle name="40% - Accent3 10 2 4" xfId="1678"/>
    <cellStyle name="40% - Accent3 10 2 4 2" xfId="1679"/>
    <cellStyle name="40% - Accent3 10 2 5" xfId="1680"/>
    <cellStyle name="40% - Accent3 10 2_ORACLE TRIAL BALANCE" xfId="1681"/>
    <cellStyle name="40% - Accent3 10 3" xfId="1682"/>
    <cellStyle name="40% - Accent3 10 3 2" xfId="1683"/>
    <cellStyle name="40% - Accent3 10 4" xfId="1684"/>
    <cellStyle name="40% - Accent3 10 4 2" xfId="1685"/>
    <cellStyle name="40% - Accent3 10 5" xfId="1686"/>
    <cellStyle name="40% - Accent3 10 5 2" xfId="1687"/>
    <cellStyle name="40% - Accent3 10 6" xfId="1688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3" xfId="1693"/>
    <cellStyle name="40% - Accent3 11 3 2" xfId="1694"/>
    <cellStyle name="40% - Accent3 11 4" xfId="1695"/>
    <cellStyle name="40% - Accent3 11 4 2" xfId="1696"/>
    <cellStyle name="40% - Accent3 11 5" xfId="1697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3" xfId="1707"/>
    <cellStyle name="40% - Accent3 2 2 3 2" xfId="1708"/>
    <cellStyle name="40% - Accent3 2 2 4" xfId="1709"/>
    <cellStyle name="40% - Accent3 2 2 4 2" xfId="1710"/>
    <cellStyle name="40% - Accent3 2 2 5" xfId="1711"/>
    <cellStyle name="40% - Accent3 2 2 5 2" xfId="1712"/>
    <cellStyle name="40% - Accent3 2 2 6" xfId="1713"/>
    <cellStyle name="40% - Accent3 2 2_ORACLE TRIAL BALANCE" xfId="1714"/>
    <cellStyle name="40% - Accent3 2 3" xfId="1715"/>
    <cellStyle name="40% - Accent3 2 3 2" xfId="1716"/>
    <cellStyle name="40% - Accent3 2 4" xfId="1717"/>
    <cellStyle name="40% - Accent3 2 4 2" xfId="1718"/>
    <cellStyle name="40% - Accent3 2 5" xfId="1719"/>
    <cellStyle name="40% - Accent3 2 5 2" xfId="1720"/>
    <cellStyle name="40% - Accent3 2 6" xfId="1721"/>
    <cellStyle name="40% - Accent3 2 6 2" xfId="1722"/>
    <cellStyle name="40% - Accent3 2 7" xfId="1723"/>
    <cellStyle name="40% - Accent3 2 8" xfId="1703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3" xfId="1729"/>
    <cellStyle name="40% - Accent3 3 2 3 2" xfId="1730"/>
    <cellStyle name="40% - Accent3 3 2 4" xfId="1731"/>
    <cellStyle name="40% - Accent3 3 2 4 2" xfId="1732"/>
    <cellStyle name="40% - Accent3 3 2 5" xfId="1733"/>
    <cellStyle name="40% - Accent3 3 2_ORACLE TRIAL BALANCE" xfId="1734"/>
    <cellStyle name="40% - Accent3 3 3" xfId="1735"/>
    <cellStyle name="40% - Accent3 3 3 2" xfId="1736"/>
    <cellStyle name="40% - Accent3 3 4" xfId="1737"/>
    <cellStyle name="40% - Accent3 3 4 2" xfId="1738"/>
    <cellStyle name="40% - Accent3 3 5" xfId="1739"/>
    <cellStyle name="40% - Accent3 3 6" xfId="1740"/>
    <cellStyle name="40% - Accent3 3 7" xfId="1741"/>
    <cellStyle name="40% - Accent3 3 8" xfId="1742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3" xfId="1748"/>
    <cellStyle name="40% - Accent3 4 2 3 2" xfId="1749"/>
    <cellStyle name="40% - Accent3 4 2 4" xfId="1750"/>
    <cellStyle name="40% - Accent3 4 2 4 2" xfId="1751"/>
    <cellStyle name="40% - Accent3 4 2 5" xfId="1752"/>
    <cellStyle name="40% - Accent3 4 2_ORACLE TRIAL BALANCE" xfId="1753"/>
    <cellStyle name="40% - Accent3 4 3" xfId="1754"/>
    <cellStyle name="40% - Accent3 4 3 2" xfId="1755"/>
    <cellStyle name="40% - Accent3 4 4" xfId="1756"/>
    <cellStyle name="40% - Accent3 4 4 2" xfId="1757"/>
    <cellStyle name="40% - Accent3 4 5" xfId="1758"/>
    <cellStyle name="40% - Accent3 4 5 2" xfId="1759"/>
    <cellStyle name="40% - Accent3 4 6" xfId="1760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3" xfId="1766"/>
    <cellStyle name="40% - Accent3 5 2 3 2" xfId="1767"/>
    <cellStyle name="40% - Accent3 5 2 4" xfId="1768"/>
    <cellStyle name="40% - Accent3 5 2 4 2" xfId="1769"/>
    <cellStyle name="40% - Accent3 5 2 5" xfId="1770"/>
    <cellStyle name="40% - Accent3 5 2_ORACLE TRIAL BALANCE" xfId="1771"/>
    <cellStyle name="40% - Accent3 5 3" xfId="1772"/>
    <cellStyle name="40% - Accent3 5 3 2" xfId="1773"/>
    <cellStyle name="40% - Accent3 5 4" xfId="1774"/>
    <cellStyle name="40% - Accent3 5 4 2" xfId="1775"/>
    <cellStyle name="40% - Accent3 5 5" xfId="1776"/>
    <cellStyle name="40% - Accent3 5 5 2" xfId="1777"/>
    <cellStyle name="40% - Accent3 5 6" xfId="1778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3" xfId="1784"/>
    <cellStyle name="40% - Accent3 6 2 3 2" xfId="1785"/>
    <cellStyle name="40% - Accent3 6 2 4" xfId="1786"/>
    <cellStyle name="40% - Accent3 6 2 4 2" xfId="1787"/>
    <cellStyle name="40% - Accent3 6 2 5" xfId="1788"/>
    <cellStyle name="40% - Accent3 6 2_ORACLE TRIAL BALANCE" xfId="1789"/>
    <cellStyle name="40% - Accent3 6 3" xfId="1790"/>
    <cellStyle name="40% - Accent3 6 3 2" xfId="1791"/>
    <cellStyle name="40% - Accent3 6 4" xfId="1792"/>
    <cellStyle name="40% - Accent3 6 4 2" xfId="1793"/>
    <cellStyle name="40% - Accent3 6 5" xfId="1794"/>
    <cellStyle name="40% - Accent3 6 5 2" xfId="1795"/>
    <cellStyle name="40% - Accent3 6 6" xfId="1796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3" xfId="1802"/>
    <cellStyle name="40% - Accent3 7 2 3 2" xfId="1803"/>
    <cellStyle name="40% - Accent3 7 2 4" xfId="1804"/>
    <cellStyle name="40% - Accent3 7 2 4 2" xfId="1805"/>
    <cellStyle name="40% - Accent3 7 2 5" xfId="1806"/>
    <cellStyle name="40% - Accent3 7 2_ORACLE TRIAL BALANCE" xfId="1807"/>
    <cellStyle name="40% - Accent3 7 3" xfId="1808"/>
    <cellStyle name="40% - Accent3 7 3 2" xfId="1809"/>
    <cellStyle name="40% - Accent3 7 4" xfId="1810"/>
    <cellStyle name="40% - Accent3 7 4 2" xfId="1811"/>
    <cellStyle name="40% - Accent3 7 5" xfId="1812"/>
    <cellStyle name="40% - Accent3 7 5 2" xfId="1813"/>
    <cellStyle name="40% - Accent3 7 6" xfId="1814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3" xfId="1820"/>
    <cellStyle name="40% - Accent3 8 2 3 2" xfId="1821"/>
    <cellStyle name="40% - Accent3 8 2 4" xfId="1822"/>
    <cellStyle name="40% - Accent3 8 2 4 2" xfId="1823"/>
    <cellStyle name="40% - Accent3 8 2 5" xfId="1824"/>
    <cellStyle name="40% - Accent3 8 2_ORACLE TRIAL BALANCE" xfId="1825"/>
    <cellStyle name="40% - Accent3 8 3" xfId="1826"/>
    <cellStyle name="40% - Accent3 8 3 2" xfId="1827"/>
    <cellStyle name="40% - Accent3 8 4" xfId="1828"/>
    <cellStyle name="40% - Accent3 8 4 2" xfId="1829"/>
    <cellStyle name="40% - Accent3 8 5" xfId="1830"/>
    <cellStyle name="40% - Accent3 8 5 2" xfId="1831"/>
    <cellStyle name="40% - Accent3 8 6" xfId="1832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3" xfId="1838"/>
    <cellStyle name="40% - Accent3 9 2 3 2" xfId="1839"/>
    <cellStyle name="40% - Accent3 9 2 4" xfId="1840"/>
    <cellStyle name="40% - Accent3 9 2 4 2" xfId="1841"/>
    <cellStyle name="40% - Accent3 9 2 5" xfId="1842"/>
    <cellStyle name="40% - Accent3 9 2_ORACLE TRIAL BALANCE" xfId="1843"/>
    <cellStyle name="40% - Accent3 9 3" xfId="1844"/>
    <cellStyle name="40% - Accent3 9 3 2" xfId="1845"/>
    <cellStyle name="40% - Accent3 9 4" xfId="1846"/>
    <cellStyle name="40% - Accent3 9 4 2" xfId="1847"/>
    <cellStyle name="40% - Accent3 9 5" xfId="1848"/>
    <cellStyle name="40% - Accent3 9 5 2" xfId="1849"/>
    <cellStyle name="40% - Accent3 9 6" xfId="1850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3" xfId="1856"/>
    <cellStyle name="40% - Accent4 10 2 3 2" xfId="1857"/>
    <cellStyle name="40% - Accent4 10 2 4" xfId="1858"/>
    <cellStyle name="40% - Accent4 10 2 4 2" xfId="1859"/>
    <cellStyle name="40% - Accent4 10 2 5" xfId="1860"/>
    <cellStyle name="40% - Accent4 10 2_ORACLE TRIAL BALANCE" xfId="1861"/>
    <cellStyle name="40% - Accent4 10 3" xfId="1862"/>
    <cellStyle name="40% - Accent4 10 3 2" xfId="1863"/>
    <cellStyle name="40% - Accent4 10 4" xfId="1864"/>
    <cellStyle name="40% - Accent4 10 4 2" xfId="1865"/>
    <cellStyle name="40% - Accent4 10 5" xfId="1866"/>
    <cellStyle name="40% - Accent4 10 5 2" xfId="1867"/>
    <cellStyle name="40% - Accent4 10 6" xfId="1868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3" xfId="1873"/>
    <cellStyle name="40% - Accent4 11 3 2" xfId="1874"/>
    <cellStyle name="40% - Accent4 11 4" xfId="1875"/>
    <cellStyle name="40% - Accent4 11 4 2" xfId="1876"/>
    <cellStyle name="40% - Accent4 11 5" xfId="187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3" xfId="1887"/>
    <cellStyle name="40% - Accent4 2 2 3 2" xfId="1888"/>
    <cellStyle name="40% - Accent4 2 2 4" xfId="1889"/>
    <cellStyle name="40% - Accent4 2 2 4 2" xfId="1890"/>
    <cellStyle name="40% - Accent4 2 2 5" xfId="1891"/>
    <cellStyle name="40% - Accent4 2 2 5 2" xfId="1892"/>
    <cellStyle name="40% - Accent4 2 2 6" xfId="1893"/>
    <cellStyle name="40% - Accent4 2 2_ORACLE TRIAL BALANCE" xfId="1894"/>
    <cellStyle name="40% - Accent4 2 3" xfId="1895"/>
    <cellStyle name="40% - Accent4 2 3 2" xfId="1896"/>
    <cellStyle name="40% - Accent4 2 4" xfId="1897"/>
    <cellStyle name="40% - Accent4 2 4 2" xfId="1898"/>
    <cellStyle name="40% - Accent4 2 5" xfId="1899"/>
    <cellStyle name="40% - Accent4 2 5 2" xfId="1900"/>
    <cellStyle name="40% - Accent4 2 6" xfId="1901"/>
    <cellStyle name="40% - Accent4 2 6 2" xfId="1902"/>
    <cellStyle name="40% - Accent4 2 7" xfId="1903"/>
    <cellStyle name="40% - Accent4 2 8" xfId="1883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3" xfId="1909"/>
    <cellStyle name="40% - Accent4 3 2 3 2" xfId="1910"/>
    <cellStyle name="40% - Accent4 3 2 4" xfId="1911"/>
    <cellStyle name="40% - Accent4 3 2 4 2" xfId="1912"/>
    <cellStyle name="40% - Accent4 3 2 5" xfId="1913"/>
    <cellStyle name="40% - Accent4 3 2_ORACLE TRIAL BALANCE" xfId="1914"/>
    <cellStyle name="40% - Accent4 3 3" xfId="1915"/>
    <cellStyle name="40% - Accent4 3 3 2" xfId="1916"/>
    <cellStyle name="40% - Accent4 3 4" xfId="1917"/>
    <cellStyle name="40% - Accent4 3 4 2" xfId="1918"/>
    <cellStyle name="40% - Accent4 3 5" xfId="1919"/>
    <cellStyle name="40% - Accent4 3 6" xfId="1920"/>
    <cellStyle name="40% - Accent4 3 7" xfId="1921"/>
    <cellStyle name="40% - Accent4 3 8" xfId="1922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3" xfId="1928"/>
    <cellStyle name="40% - Accent4 4 2 3 2" xfId="1929"/>
    <cellStyle name="40% - Accent4 4 2 4" xfId="1930"/>
    <cellStyle name="40% - Accent4 4 2 4 2" xfId="1931"/>
    <cellStyle name="40% - Accent4 4 2 5" xfId="1932"/>
    <cellStyle name="40% - Accent4 4 2_ORACLE TRIAL BALANCE" xfId="1933"/>
    <cellStyle name="40% - Accent4 4 3" xfId="1934"/>
    <cellStyle name="40% - Accent4 4 3 2" xfId="1935"/>
    <cellStyle name="40% - Accent4 4 4" xfId="1936"/>
    <cellStyle name="40% - Accent4 4 4 2" xfId="1937"/>
    <cellStyle name="40% - Accent4 4 5" xfId="1938"/>
    <cellStyle name="40% - Accent4 4 5 2" xfId="1939"/>
    <cellStyle name="40% - Accent4 4 6" xfId="1940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3" xfId="1946"/>
    <cellStyle name="40% - Accent4 5 2 3 2" xfId="1947"/>
    <cellStyle name="40% - Accent4 5 2 4" xfId="1948"/>
    <cellStyle name="40% - Accent4 5 2 4 2" xfId="1949"/>
    <cellStyle name="40% - Accent4 5 2 5" xfId="1950"/>
    <cellStyle name="40% - Accent4 5 2_ORACLE TRIAL BALANCE" xfId="1951"/>
    <cellStyle name="40% - Accent4 5 3" xfId="1952"/>
    <cellStyle name="40% - Accent4 5 3 2" xfId="1953"/>
    <cellStyle name="40% - Accent4 5 4" xfId="1954"/>
    <cellStyle name="40% - Accent4 5 4 2" xfId="1955"/>
    <cellStyle name="40% - Accent4 5 5" xfId="1956"/>
    <cellStyle name="40% - Accent4 5 5 2" xfId="1957"/>
    <cellStyle name="40% - Accent4 5 6" xfId="1958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3" xfId="1964"/>
    <cellStyle name="40% - Accent4 6 2 3 2" xfId="1965"/>
    <cellStyle name="40% - Accent4 6 2 4" xfId="1966"/>
    <cellStyle name="40% - Accent4 6 2 4 2" xfId="1967"/>
    <cellStyle name="40% - Accent4 6 2 5" xfId="1968"/>
    <cellStyle name="40% - Accent4 6 2_ORACLE TRIAL BALANCE" xfId="1969"/>
    <cellStyle name="40% - Accent4 6 3" xfId="1970"/>
    <cellStyle name="40% - Accent4 6 3 2" xfId="1971"/>
    <cellStyle name="40% - Accent4 6 4" xfId="1972"/>
    <cellStyle name="40% - Accent4 6 4 2" xfId="1973"/>
    <cellStyle name="40% - Accent4 6 5" xfId="1974"/>
    <cellStyle name="40% - Accent4 6 5 2" xfId="1975"/>
    <cellStyle name="40% - Accent4 6 6" xfId="1976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3" xfId="1982"/>
    <cellStyle name="40% - Accent4 7 2 3 2" xfId="1983"/>
    <cellStyle name="40% - Accent4 7 2 4" xfId="1984"/>
    <cellStyle name="40% - Accent4 7 2 4 2" xfId="1985"/>
    <cellStyle name="40% - Accent4 7 2 5" xfId="1986"/>
    <cellStyle name="40% - Accent4 7 2_ORACLE TRIAL BALANCE" xfId="1987"/>
    <cellStyle name="40% - Accent4 7 3" xfId="1988"/>
    <cellStyle name="40% - Accent4 7 3 2" xfId="1989"/>
    <cellStyle name="40% - Accent4 7 4" xfId="1990"/>
    <cellStyle name="40% - Accent4 7 4 2" xfId="1991"/>
    <cellStyle name="40% - Accent4 7 5" xfId="1992"/>
    <cellStyle name="40% - Accent4 7 5 2" xfId="1993"/>
    <cellStyle name="40% - Accent4 7 6" xfId="1994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3" xfId="2000"/>
    <cellStyle name="40% - Accent4 8 2 3 2" xfId="2001"/>
    <cellStyle name="40% - Accent4 8 2 4" xfId="2002"/>
    <cellStyle name="40% - Accent4 8 2 4 2" xfId="2003"/>
    <cellStyle name="40% - Accent4 8 2 5" xfId="2004"/>
    <cellStyle name="40% - Accent4 8 2_ORACLE TRIAL BALANCE" xfId="2005"/>
    <cellStyle name="40% - Accent4 8 3" xfId="2006"/>
    <cellStyle name="40% - Accent4 8 3 2" xfId="2007"/>
    <cellStyle name="40% - Accent4 8 4" xfId="2008"/>
    <cellStyle name="40% - Accent4 8 4 2" xfId="2009"/>
    <cellStyle name="40% - Accent4 8 5" xfId="2010"/>
    <cellStyle name="40% - Accent4 8 5 2" xfId="2011"/>
    <cellStyle name="40% - Accent4 8 6" xfId="2012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3" xfId="2018"/>
    <cellStyle name="40% - Accent4 9 2 3 2" xfId="2019"/>
    <cellStyle name="40% - Accent4 9 2 4" xfId="2020"/>
    <cellStyle name="40% - Accent4 9 2 4 2" xfId="2021"/>
    <cellStyle name="40% - Accent4 9 2 5" xfId="2022"/>
    <cellStyle name="40% - Accent4 9 2_ORACLE TRIAL BALANCE" xfId="2023"/>
    <cellStyle name="40% - Accent4 9 3" xfId="2024"/>
    <cellStyle name="40% - Accent4 9 3 2" xfId="2025"/>
    <cellStyle name="40% - Accent4 9 4" xfId="2026"/>
    <cellStyle name="40% - Accent4 9 4 2" xfId="2027"/>
    <cellStyle name="40% - Accent4 9 5" xfId="2028"/>
    <cellStyle name="40% - Accent4 9 5 2" xfId="2029"/>
    <cellStyle name="40% - Accent4 9 6" xfId="2030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3" xfId="2036"/>
    <cellStyle name="40% - Accent5 10 2 3 2" xfId="2037"/>
    <cellStyle name="40% - Accent5 10 2 4" xfId="2038"/>
    <cellStyle name="40% - Accent5 10 2 4 2" xfId="2039"/>
    <cellStyle name="40% - Accent5 10 2 5" xfId="2040"/>
    <cellStyle name="40% - Accent5 10 2_ORACLE TRIAL BALANCE" xfId="2041"/>
    <cellStyle name="40% - Accent5 10 3" xfId="2042"/>
    <cellStyle name="40% - Accent5 10 3 2" xfId="2043"/>
    <cellStyle name="40% - Accent5 10 4" xfId="2044"/>
    <cellStyle name="40% - Accent5 10 4 2" xfId="2045"/>
    <cellStyle name="40% - Accent5 10 5" xfId="2046"/>
    <cellStyle name="40% - Accent5 10 5 2" xfId="2047"/>
    <cellStyle name="40% - Accent5 10 6" xfId="2048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3" xfId="2053"/>
    <cellStyle name="40% - Accent5 11 3 2" xfId="2054"/>
    <cellStyle name="40% - Accent5 11 4" xfId="2055"/>
    <cellStyle name="40% - Accent5 11 4 2" xfId="2056"/>
    <cellStyle name="40% - Accent5 11 5" xfId="2057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3" xfId="2067"/>
    <cellStyle name="40% - Accent5 2 2 3 2" xfId="2068"/>
    <cellStyle name="40% - Accent5 2 2 4" xfId="2069"/>
    <cellStyle name="40% - Accent5 2 2 4 2" xfId="2070"/>
    <cellStyle name="40% - Accent5 2 2 5" xfId="2071"/>
    <cellStyle name="40% - Accent5 2 2 5 2" xfId="2072"/>
    <cellStyle name="40% - Accent5 2 2 6" xfId="2073"/>
    <cellStyle name="40% - Accent5 2 2_ORACLE TRIAL BALANCE" xfId="2074"/>
    <cellStyle name="40% - Accent5 2 3" xfId="2075"/>
    <cellStyle name="40% - Accent5 2 3 2" xfId="2076"/>
    <cellStyle name="40% - Accent5 2 4" xfId="2077"/>
    <cellStyle name="40% - Accent5 2 4 2" xfId="2078"/>
    <cellStyle name="40% - Accent5 2 5" xfId="2079"/>
    <cellStyle name="40% - Accent5 2 5 2" xfId="2080"/>
    <cellStyle name="40% - Accent5 2 6" xfId="2081"/>
    <cellStyle name="40% - Accent5 2 6 2" xfId="2082"/>
    <cellStyle name="40% - Accent5 2 7" xfId="2083"/>
    <cellStyle name="40% - Accent5 2 8" xfId="2063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3" xfId="2089"/>
    <cellStyle name="40% - Accent5 3 2 3 2" xfId="2090"/>
    <cellStyle name="40% - Accent5 3 2 4" xfId="2091"/>
    <cellStyle name="40% - Accent5 3 2 4 2" xfId="2092"/>
    <cellStyle name="40% - Accent5 3 2 5" xfId="2093"/>
    <cellStyle name="40% - Accent5 3 2_ORACLE TRIAL BALANCE" xfId="2094"/>
    <cellStyle name="40% - Accent5 3 3" xfId="2095"/>
    <cellStyle name="40% - Accent5 3 3 2" xfId="2096"/>
    <cellStyle name="40% - Accent5 3 4" xfId="2097"/>
    <cellStyle name="40% - Accent5 3 4 2" xfId="2098"/>
    <cellStyle name="40% - Accent5 3 5" xfId="2099"/>
    <cellStyle name="40% - Accent5 3 6" xfId="2100"/>
    <cellStyle name="40% - Accent5 3 7" xfId="2101"/>
    <cellStyle name="40% - Accent5 3 8" xfId="2102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3" xfId="2108"/>
    <cellStyle name="40% - Accent5 4 2 3 2" xfId="2109"/>
    <cellStyle name="40% - Accent5 4 2 4" xfId="2110"/>
    <cellStyle name="40% - Accent5 4 2 4 2" xfId="2111"/>
    <cellStyle name="40% - Accent5 4 2 5" xfId="2112"/>
    <cellStyle name="40% - Accent5 4 2_ORACLE TRIAL BALANCE" xfId="2113"/>
    <cellStyle name="40% - Accent5 4 3" xfId="2114"/>
    <cellStyle name="40% - Accent5 4 3 2" xfId="2115"/>
    <cellStyle name="40% - Accent5 4 4" xfId="2116"/>
    <cellStyle name="40% - Accent5 4 4 2" xfId="2117"/>
    <cellStyle name="40% - Accent5 4 5" xfId="2118"/>
    <cellStyle name="40% - Accent5 4 5 2" xfId="2119"/>
    <cellStyle name="40% - Accent5 4 6" xfId="2120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3" xfId="2126"/>
    <cellStyle name="40% - Accent5 5 2 3 2" xfId="2127"/>
    <cellStyle name="40% - Accent5 5 2 4" xfId="2128"/>
    <cellStyle name="40% - Accent5 5 2 4 2" xfId="2129"/>
    <cellStyle name="40% - Accent5 5 2 5" xfId="2130"/>
    <cellStyle name="40% - Accent5 5 2_ORACLE TRIAL BALANCE" xfId="2131"/>
    <cellStyle name="40% - Accent5 5 3" xfId="2132"/>
    <cellStyle name="40% - Accent5 5 3 2" xfId="2133"/>
    <cellStyle name="40% - Accent5 5 4" xfId="2134"/>
    <cellStyle name="40% - Accent5 5 4 2" xfId="2135"/>
    <cellStyle name="40% - Accent5 5 5" xfId="2136"/>
    <cellStyle name="40% - Accent5 5 5 2" xfId="2137"/>
    <cellStyle name="40% - Accent5 5 6" xfId="2138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3" xfId="2144"/>
    <cellStyle name="40% - Accent5 6 2 3 2" xfId="2145"/>
    <cellStyle name="40% - Accent5 6 2 4" xfId="2146"/>
    <cellStyle name="40% - Accent5 6 2 4 2" xfId="2147"/>
    <cellStyle name="40% - Accent5 6 2 5" xfId="2148"/>
    <cellStyle name="40% - Accent5 6 2_ORACLE TRIAL BALANCE" xfId="2149"/>
    <cellStyle name="40% - Accent5 6 3" xfId="2150"/>
    <cellStyle name="40% - Accent5 6 3 2" xfId="2151"/>
    <cellStyle name="40% - Accent5 6 4" xfId="2152"/>
    <cellStyle name="40% - Accent5 6 4 2" xfId="2153"/>
    <cellStyle name="40% - Accent5 6 5" xfId="2154"/>
    <cellStyle name="40% - Accent5 6 5 2" xfId="2155"/>
    <cellStyle name="40% - Accent5 6 6" xfId="2156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3" xfId="2162"/>
    <cellStyle name="40% - Accent5 7 2 3 2" xfId="2163"/>
    <cellStyle name="40% - Accent5 7 2 4" xfId="2164"/>
    <cellStyle name="40% - Accent5 7 2 4 2" xfId="2165"/>
    <cellStyle name="40% - Accent5 7 2 5" xfId="2166"/>
    <cellStyle name="40% - Accent5 7 2_ORACLE TRIAL BALANCE" xfId="2167"/>
    <cellStyle name="40% - Accent5 7 3" xfId="2168"/>
    <cellStyle name="40% - Accent5 7 3 2" xfId="2169"/>
    <cellStyle name="40% - Accent5 7 4" xfId="2170"/>
    <cellStyle name="40% - Accent5 7 4 2" xfId="2171"/>
    <cellStyle name="40% - Accent5 7 5" xfId="2172"/>
    <cellStyle name="40% - Accent5 7 5 2" xfId="2173"/>
    <cellStyle name="40% - Accent5 7 6" xfId="2174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3" xfId="2180"/>
    <cellStyle name="40% - Accent5 8 2 3 2" xfId="2181"/>
    <cellStyle name="40% - Accent5 8 2 4" xfId="2182"/>
    <cellStyle name="40% - Accent5 8 2 4 2" xfId="2183"/>
    <cellStyle name="40% - Accent5 8 2 5" xfId="2184"/>
    <cellStyle name="40% - Accent5 8 2_ORACLE TRIAL BALANCE" xfId="2185"/>
    <cellStyle name="40% - Accent5 8 3" xfId="2186"/>
    <cellStyle name="40% - Accent5 8 3 2" xfId="2187"/>
    <cellStyle name="40% - Accent5 8 4" xfId="2188"/>
    <cellStyle name="40% - Accent5 8 4 2" xfId="2189"/>
    <cellStyle name="40% - Accent5 8 5" xfId="2190"/>
    <cellStyle name="40% - Accent5 8 5 2" xfId="2191"/>
    <cellStyle name="40% - Accent5 8 6" xfId="2192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3" xfId="2198"/>
    <cellStyle name="40% - Accent5 9 2 3 2" xfId="2199"/>
    <cellStyle name="40% - Accent5 9 2 4" xfId="2200"/>
    <cellStyle name="40% - Accent5 9 2 4 2" xfId="2201"/>
    <cellStyle name="40% - Accent5 9 2 5" xfId="2202"/>
    <cellStyle name="40% - Accent5 9 2_ORACLE TRIAL BALANCE" xfId="2203"/>
    <cellStyle name="40% - Accent5 9 3" xfId="2204"/>
    <cellStyle name="40% - Accent5 9 3 2" xfId="2205"/>
    <cellStyle name="40% - Accent5 9 4" xfId="2206"/>
    <cellStyle name="40% - Accent5 9 4 2" xfId="2207"/>
    <cellStyle name="40% - Accent5 9 5" xfId="2208"/>
    <cellStyle name="40% - Accent5 9 5 2" xfId="2209"/>
    <cellStyle name="40% - Accent5 9 6" xfId="2210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3" xfId="2216"/>
    <cellStyle name="40% - Accent6 10 2 3 2" xfId="2217"/>
    <cellStyle name="40% - Accent6 10 2 4" xfId="2218"/>
    <cellStyle name="40% - Accent6 10 2 4 2" xfId="2219"/>
    <cellStyle name="40% - Accent6 10 2 5" xfId="2220"/>
    <cellStyle name="40% - Accent6 10 2_ORACLE TRIAL BALANCE" xfId="2221"/>
    <cellStyle name="40% - Accent6 10 3" xfId="2222"/>
    <cellStyle name="40% - Accent6 10 3 2" xfId="2223"/>
    <cellStyle name="40% - Accent6 10 4" xfId="2224"/>
    <cellStyle name="40% - Accent6 10 4 2" xfId="2225"/>
    <cellStyle name="40% - Accent6 10 5" xfId="2226"/>
    <cellStyle name="40% - Accent6 10 5 2" xfId="2227"/>
    <cellStyle name="40% - Accent6 10 6" xfId="2228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3" xfId="2233"/>
    <cellStyle name="40% - Accent6 11 3 2" xfId="2234"/>
    <cellStyle name="40% - Accent6 11 4" xfId="2235"/>
    <cellStyle name="40% - Accent6 11 4 2" xfId="2236"/>
    <cellStyle name="40% - Accent6 11 5" xfId="2237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3" xfId="2247"/>
    <cellStyle name="40% - Accent6 2 2 3 2" xfId="2248"/>
    <cellStyle name="40% - Accent6 2 2 4" xfId="2249"/>
    <cellStyle name="40% - Accent6 2 2 4 2" xfId="2250"/>
    <cellStyle name="40% - Accent6 2 2 5" xfId="2251"/>
    <cellStyle name="40% - Accent6 2 2 5 2" xfId="2252"/>
    <cellStyle name="40% - Accent6 2 2 6" xfId="2253"/>
    <cellStyle name="40% - Accent6 2 2_ORACLE TRIAL BALANCE" xfId="2254"/>
    <cellStyle name="40% - Accent6 2 3" xfId="2255"/>
    <cellStyle name="40% - Accent6 2 3 2" xfId="2256"/>
    <cellStyle name="40% - Accent6 2 4" xfId="2257"/>
    <cellStyle name="40% - Accent6 2 4 2" xfId="2258"/>
    <cellStyle name="40% - Accent6 2 5" xfId="2259"/>
    <cellStyle name="40% - Accent6 2 5 2" xfId="2260"/>
    <cellStyle name="40% - Accent6 2 6" xfId="2261"/>
    <cellStyle name="40% - Accent6 2 6 2" xfId="2262"/>
    <cellStyle name="40% - Accent6 2 7" xfId="2263"/>
    <cellStyle name="40% - Accent6 2 8" xfId="224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3" xfId="2269"/>
    <cellStyle name="40% - Accent6 3 2 3 2" xfId="2270"/>
    <cellStyle name="40% - Accent6 3 2 4" xfId="2271"/>
    <cellStyle name="40% - Accent6 3 2 4 2" xfId="2272"/>
    <cellStyle name="40% - Accent6 3 2 5" xfId="2273"/>
    <cellStyle name="40% - Accent6 3 2_ORACLE TRIAL BALANCE" xfId="2274"/>
    <cellStyle name="40% - Accent6 3 3" xfId="2275"/>
    <cellStyle name="40% - Accent6 3 3 2" xfId="2276"/>
    <cellStyle name="40% - Accent6 3 4" xfId="2277"/>
    <cellStyle name="40% - Accent6 3 4 2" xfId="2278"/>
    <cellStyle name="40% - Accent6 3 5" xfId="2279"/>
    <cellStyle name="40% - Accent6 3 6" xfId="2280"/>
    <cellStyle name="40% - Accent6 3 7" xfId="2281"/>
    <cellStyle name="40% - Accent6 3 8" xfId="2282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3" xfId="2288"/>
    <cellStyle name="40% - Accent6 4 2 3 2" xfId="2289"/>
    <cellStyle name="40% - Accent6 4 2 4" xfId="2290"/>
    <cellStyle name="40% - Accent6 4 2 4 2" xfId="2291"/>
    <cellStyle name="40% - Accent6 4 2 5" xfId="2292"/>
    <cellStyle name="40% - Accent6 4 2_ORACLE TRIAL BALANCE" xfId="2293"/>
    <cellStyle name="40% - Accent6 4 3" xfId="2294"/>
    <cellStyle name="40% - Accent6 4 3 2" xfId="2295"/>
    <cellStyle name="40% - Accent6 4 4" xfId="2296"/>
    <cellStyle name="40% - Accent6 4 4 2" xfId="2297"/>
    <cellStyle name="40% - Accent6 4 5" xfId="2298"/>
    <cellStyle name="40% - Accent6 4 5 2" xfId="2299"/>
    <cellStyle name="40% - Accent6 4 6" xfId="2300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3" xfId="2306"/>
    <cellStyle name="40% - Accent6 5 2 3 2" xfId="2307"/>
    <cellStyle name="40% - Accent6 5 2 4" xfId="2308"/>
    <cellStyle name="40% - Accent6 5 2 4 2" xfId="2309"/>
    <cellStyle name="40% - Accent6 5 2 5" xfId="2310"/>
    <cellStyle name="40% - Accent6 5 2_ORACLE TRIAL BALANCE" xfId="2311"/>
    <cellStyle name="40% - Accent6 5 3" xfId="2312"/>
    <cellStyle name="40% - Accent6 5 3 2" xfId="2313"/>
    <cellStyle name="40% - Accent6 5 4" xfId="2314"/>
    <cellStyle name="40% - Accent6 5 4 2" xfId="2315"/>
    <cellStyle name="40% - Accent6 5 5" xfId="2316"/>
    <cellStyle name="40% - Accent6 5 5 2" xfId="2317"/>
    <cellStyle name="40% - Accent6 5 6" xfId="2318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3" xfId="2324"/>
    <cellStyle name="40% - Accent6 6 2 3 2" xfId="2325"/>
    <cellStyle name="40% - Accent6 6 2 4" xfId="2326"/>
    <cellStyle name="40% - Accent6 6 2 4 2" xfId="2327"/>
    <cellStyle name="40% - Accent6 6 2 5" xfId="2328"/>
    <cellStyle name="40% - Accent6 6 2_ORACLE TRIAL BALANCE" xfId="2329"/>
    <cellStyle name="40% - Accent6 6 3" xfId="2330"/>
    <cellStyle name="40% - Accent6 6 3 2" xfId="2331"/>
    <cellStyle name="40% - Accent6 6 4" xfId="2332"/>
    <cellStyle name="40% - Accent6 6 4 2" xfId="2333"/>
    <cellStyle name="40% - Accent6 6 5" xfId="2334"/>
    <cellStyle name="40% - Accent6 6 5 2" xfId="2335"/>
    <cellStyle name="40% - Accent6 6 6" xfId="2336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3" xfId="2342"/>
    <cellStyle name="40% - Accent6 7 2 3 2" xfId="2343"/>
    <cellStyle name="40% - Accent6 7 2 4" xfId="2344"/>
    <cellStyle name="40% - Accent6 7 2 4 2" xfId="2345"/>
    <cellStyle name="40% - Accent6 7 2 5" xfId="2346"/>
    <cellStyle name="40% - Accent6 7 2_ORACLE TRIAL BALANCE" xfId="2347"/>
    <cellStyle name="40% - Accent6 7 3" xfId="2348"/>
    <cellStyle name="40% - Accent6 7 3 2" xfId="2349"/>
    <cellStyle name="40% - Accent6 7 4" xfId="2350"/>
    <cellStyle name="40% - Accent6 7 4 2" xfId="2351"/>
    <cellStyle name="40% - Accent6 7 5" xfId="2352"/>
    <cellStyle name="40% - Accent6 7 5 2" xfId="2353"/>
    <cellStyle name="40% - Accent6 7 6" xfId="2354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3" xfId="2360"/>
    <cellStyle name="40% - Accent6 8 2 3 2" xfId="2361"/>
    <cellStyle name="40% - Accent6 8 2 4" xfId="2362"/>
    <cellStyle name="40% - Accent6 8 2 4 2" xfId="2363"/>
    <cellStyle name="40% - Accent6 8 2 5" xfId="2364"/>
    <cellStyle name="40% - Accent6 8 2_ORACLE TRIAL BALANCE" xfId="2365"/>
    <cellStyle name="40% - Accent6 8 3" xfId="2366"/>
    <cellStyle name="40% - Accent6 8 3 2" xfId="2367"/>
    <cellStyle name="40% - Accent6 8 4" xfId="2368"/>
    <cellStyle name="40% - Accent6 8 4 2" xfId="2369"/>
    <cellStyle name="40% - Accent6 8 5" xfId="2370"/>
    <cellStyle name="40% - Accent6 8 5 2" xfId="2371"/>
    <cellStyle name="40% - Accent6 8 6" xfId="2372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3" xfId="2378"/>
    <cellStyle name="40% - Accent6 9 2 3 2" xfId="2379"/>
    <cellStyle name="40% - Accent6 9 2 4" xfId="2380"/>
    <cellStyle name="40% - Accent6 9 2 4 2" xfId="2381"/>
    <cellStyle name="40% - Accent6 9 2 5" xfId="2382"/>
    <cellStyle name="40% - Accent6 9 2_ORACLE TRIAL BALANCE" xfId="2383"/>
    <cellStyle name="40% - Accent6 9 3" xfId="2384"/>
    <cellStyle name="40% - Accent6 9 3 2" xfId="2385"/>
    <cellStyle name="40% - Accent6 9 4" xfId="2386"/>
    <cellStyle name="40% - Accent6 9 4 2" xfId="2387"/>
    <cellStyle name="40% - Accent6 9 5" xfId="2388"/>
    <cellStyle name="40% - Accent6 9 5 2" xfId="2389"/>
    <cellStyle name="40% - Accent6 9 6" xfId="2390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3" xfId="3318"/>
    <cellStyle name="Normal 10 2 3 2" xfId="3319"/>
    <cellStyle name="Normal 10 2 4" xfId="3320"/>
    <cellStyle name="Normal 10 2 4 2" xfId="3321"/>
    <cellStyle name="Normal 10 2 5" xfId="3322"/>
    <cellStyle name="Normal 10 2_ORACLE TRIAL BALANCE" xfId="3323"/>
    <cellStyle name="Normal 10 3" xfId="3324"/>
    <cellStyle name="Normal 10 3 2" xfId="3325"/>
    <cellStyle name="Normal 10 4" xfId="3326"/>
    <cellStyle name="Normal 10 4 2" xfId="3327"/>
    <cellStyle name="Normal 10 5" xfId="3328"/>
    <cellStyle name="Normal 10 5 2" xfId="3329"/>
    <cellStyle name="Normal 10 6" xfId="3330"/>
    <cellStyle name="Normal 10 6 2" xfId="3331"/>
    <cellStyle name="Normal 10 7" xfId="3332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3" xfId="3338"/>
    <cellStyle name="Normal 11 2 3 2" xfId="3339"/>
    <cellStyle name="Normal 11 2 4" xfId="3340"/>
    <cellStyle name="Normal 11 2 4 2" xfId="3341"/>
    <cellStyle name="Normal 11 2 5" xfId="3342"/>
    <cellStyle name="Normal 11 2_ORACLE TRIAL BALANCE" xfId="3343"/>
    <cellStyle name="Normal 11 3" xfId="3344"/>
    <cellStyle name="Normal 11 3 2" xfId="3345"/>
    <cellStyle name="Normal 11 4" xfId="3346"/>
    <cellStyle name="Normal 11 4 2" xfId="3347"/>
    <cellStyle name="Normal 11 5" xfId="3348"/>
    <cellStyle name="Normal 11 5 2" xfId="3349"/>
    <cellStyle name="Normal 11 6" xfId="3350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3" xfId="3356"/>
    <cellStyle name="Normal 12 2 3 2" xfId="3357"/>
    <cellStyle name="Normal 12 2 4" xfId="3358"/>
    <cellStyle name="Normal 12 2 4 2" xfId="3359"/>
    <cellStyle name="Normal 12 2 5" xfId="3360"/>
    <cellStyle name="Normal 12 2_ORACLE TRIAL BALANCE" xfId="3361"/>
    <cellStyle name="Normal 12 3" xfId="3362"/>
    <cellStyle name="Normal 12 3 2" xfId="3363"/>
    <cellStyle name="Normal 12 4" xfId="3364"/>
    <cellStyle name="Normal 12 4 2" xfId="3365"/>
    <cellStyle name="Normal 12 5" xfId="3366"/>
    <cellStyle name="Normal 12 5 2" xfId="3367"/>
    <cellStyle name="Normal 12 6" xfId="3368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8" xfId="139"/>
    <cellStyle name="Normal 128 2" xfId="6787"/>
    <cellStyle name="Normal 129" xfId="6682"/>
    <cellStyle name="Normal 129 2" xfId="6788"/>
    <cellStyle name="Normal 13" xfId="3370"/>
    <cellStyle name="Normal 13 2" xfId="3371"/>
    <cellStyle name="Normal 13 2 2" xfId="3372"/>
    <cellStyle name="Normal 13 2 2 2" xfId="3373"/>
    <cellStyle name="Normal 13 2 3" xfId="3374"/>
    <cellStyle name="Normal 13 2 3 2" xfId="3375"/>
    <cellStyle name="Normal 13 2 4" xfId="3376"/>
    <cellStyle name="Normal 13 2 4 2" xfId="3377"/>
    <cellStyle name="Normal 13 2 5" xfId="3378"/>
    <cellStyle name="Normal 13 2_ORACLE TRIAL BALANCE" xfId="3379"/>
    <cellStyle name="Normal 13 3" xfId="3380"/>
    <cellStyle name="Normal 13 3 2" xfId="3381"/>
    <cellStyle name="Normal 13 4" xfId="3382"/>
    <cellStyle name="Normal 13 4 2" xfId="3383"/>
    <cellStyle name="Normal 13 5" xfId="3384"/>
    <cellStyle name="Normal 13 5 2" xfId="3385"/>
    <cellStyle name="Normal 13 6" xfId="3386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3" xfId="3392"/>
    <cellStyle name="Normal 14 3 2" xfId="3393"/>
    <cellStyle name="Normal 14 4" xfId="3394"/>
    <cellStyle name="Normal 14 4 2" xfId="3395"/>
    <cellStyle name="Normal 14 5" xfId="3396"/>
    <cellStyle name="Normal 14 5 2" xfId="3397"/>
    <cellStyle name="Normal 14 6" xfId="3398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6" xfId="3402"/>
    <cellStyle name="Normal 16 2" xfId="3403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5" xfId="3459"/>
    <cellStyle name="Normal 3 2 5 2" xfId="3460"/>
    <cellStyle name="Normal 3 2 6" xfId="3461"/>
    <cellStyle name="Normal 3 2 6 2" xfId="3462"/>
    <cellStyle name="Normal 3 2 7" xfId="3463"/>
    <cellStyle name="Normal 3 2 7 2" xfId="3464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3" xfId="3468"/>
    <cellStyle name="Normal 3 3 3 2" xfId="3469"/>
    <cellStyle name="Normal 3 3 4" xfId="3470"/>
    <cellStyle name="Normal 3 3 4 2" xfId="3471"/>
    <cellStyle name="Normal 3 3 5" xfId="3472"/>
    <cellStyle name="Normal 3 4" xfId="3473"/>
    <cellStyle name="Normal 3 4 2" xfId="3474"/>
    <cellStyle name="Normal 3 4 2 2" xfId="3475"/>
    <cellStyle name="Normal 3 4 3" xfId="3476"/>
    <cellStyle name="Normal 3 4 3 2" xfId="3477"/>
    <cellStyle name="Normal 3 4 4" xfId="3478"/>
    <cellStyle name="Normal 3 4 4 2" xfId="3479"/>
    <cellStyle name="Normal 3 4 5" xfId="3480"/>
    <cellStyle name="Normal 3 5" xfId="3481"/>
    <cellStyle name="Normal 3 5 2" xfId="3482"/>
    <cellStyle name="Normal 3 5 2 2" xfId="3483"/>
    <cellStyle name="Normal 3 5 3" xfId="3484"/>
    <cellStyle name="Normal 3 5 3 2" xfId="3485"/>
    <cellStyle name="Normal 3 5 4" xfId="3486"/>
    <cellStyle name="Normal 3 5 4 2" xfId="3487"/>
    <cellStyle name="Normal 3 5 5" xfId="3488"/>
    <cellStyle name="Normal 3 6" xfId="3489"/>
    <cellStyle name="Normal 3 6 2" xfId="3490"/>
    <cellStyle name="Normal 3 6 3" xfId="3491"/>
    <cellStyle name="Normal 3 7" xfId="3492"/>
    <cellStyle name="Normal 3 7 2" xfId="3493"/>
    <cellStyle name="Normal 3 8" xfId="3494"/>
    <cellStyle name="Normal 3 8 2" xfId="5451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3" xfId="3515"/>
    <cellStyle name="Normal 4 11 3 2" xfId="3516"/>
    <cellStyle name="Normal 4 11 4" xfId="3517"/>
    <cellStyle name="Normal 4 11 4 2" xfId="3518"/>
    <cellStyle name="Normal 4 11 5" xfId="3519"/>
    <cellStyle name="Normal 4 12" xfId="3520"/>
    <cellStyle name="Normal 4 13" xfId="3521"/>
    <cellStyle name="Normal 4 13 2" xfId="3522"/>
    <cellStyle name="Normal 4 14" xfId="3523"/>
    <cellStyle name="Normal 4 15" xfId="3524"/>
    <cellStyle name="Normal 4 15 2" xfId="3525"/>
    <cellStyle name="Normal 4 16" xfId="3526"/>
    <cellStyle name="Normal 4 16 2" xfId="3527"/>
    <cellStyle name="Normal 4 17" xfId="3528"/>
    <cellStyle name="Normal 4 17 2" xfId="3529"/>
    <cellStyle name="Normal 4 18" xfId="3530"/>
    <cellStyle name="Normal 4 19" xfId="3531"/>
    <cellStyle name="Normal 4 2" xfId="163"/>
    <cellStyle name="Normal 4 2 10" xfId="3533"/>
    <cellStyle name="Normal 4 2 11" xfId="3534"/>
    <cellStyle name="Normal 4 2 11 2" xfId="3535"/>
    <cellStyle name="Normal 4 2 12" xfId="3536"/>
    <cellStyle name="Normal 4 2 13" xfId="3532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3" xfId="3634"/>
    <cellStyle name="Normal 4 2 7 3 2" xfId="3635"/>
    <cellStyle name="Normal 4 2 7 4" xfId="3636"/>
    <cellStyle name="Normal 4 2 7 4 2" xfId="3637"/>
    <cellStyle name="Normal 4 2 7 5" xfId="3638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3" xfId="6775"/>
    <cellStyle name="Normal 4 25" xfId="6633"/>
    <cellStyle name="Normal 4 25 2" xfId="6765"/>
    <cellStyle name="Normal 4 25 3" xfId="6783"/>
    <cellStyle name="Normal 4 26" xfId="6615"/>
    <cellStyle name="Normal 4 26 2" xfId="6758"/>
    <cellStyle name="Normal 4 26 3" xfId="6776"/>
    <cellStyle name="Normal 4 27" xfId="6616"/>
    <cellStyle name="Normal 4 27 2" xfId="6759"/>
    <cellStyle name="Normal 4 27 3" xfId="6777"/>
    <cellStyle name="Normal 4 28" xfId="6630"/>
    <cellStyle name="Normal 4 28 2" xfId="6764"/>
    <cellStyle name="Normal 4 28 3" xfId="6782"/>
    <cellStyle name="Normal 4 29" xfId="6612"/>
    <cellStyle name="Normal 4 29 2" xfId="6756"/>
    <cellStyle name="Normal 4 29 3" xfId="6774"/>
    <cellStyle name="Normal 4 3" xfId="230"/>
    <cellStyle name="Normal 4 3 10" xfId="3644"/>
    <cellStyle name="Normal 4 3 11" xfId="3643"/>
    <cellStyle name="Normal 4 3 12" xfId="6751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3" xfId="6781"/>
    <cellStyle name="Normal 4 31" xfId="6626"/>
    <cellStyle name="Normal 4 31 2" xfId="6762"/>
    <cellStyle name="Normal 4 31 3" xfId="6780"/>
    <cellStyle name="Normal 4 32" xfId="6610"/>
    <cellStyle name="Normal 4 32 2" xfId="6755"/>
    <cellStyle name="Normal 4 32 3" xfId="6773"/>
    <cellStyle name="Normal 4 33" xfId="6623"/>
    <cellStyle name="Normal 4 33 2" xfId="6761"/>
    <cellStyle name="Normal 4 33 3" xfId="6779"/>
    <cellStyle name="Normal 4 34" xfId="6622"/>
    <cellStyle name="Normal 4 34 2" xfId="6760"/>
    <cellStyle name="Normal 4 34 3" xfId="6778"/>
    <cellStyle name="Normal 4 35" xfId="6606"/>
    <cellStyle name="Normal 4 35 2" xfId="6753"/>
    <cellStyle name="Normal 4 35 3" xfId="6771"/>
    <cellStyle name="Normal 4 36" xfId="6605"/>
    <cellStyle name="Normal 4 36 2" xfId="6752"/>
    <cellStyle name="Normal 4 36 3" xfId="6770"/>
    <cellStyle name="Normal 4 37" xfId="6608"/>
    <cellStyle name="Normal 4 37 2" xfId="6754"/>
    <cellStyle name="Normal 4 37 3" xfId="6772"/>
    <cellStyle name="Normal 4 4" xfId="3741"/>
    <cellStyle name="Normal 4 4 10" xfId="3742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3" xfId="3970"/>
    <cellStyle name="Normal 4 7 3 2" xfId="3971"/>
    <cellStyle name="Normal 4 7 4" xfId="3972"/>
    <cellStyle name="Normal 4 7 4 2" xfId="3973"/>
    <cellStyle name="Normal 4 7 5" xfId="3974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2" xfId="4024"/>
    <cellStyle name="Normal 5 13" xfId="4025"/>
    <cellStyle name="Normal 5 14" xfId="4026"/>
    <cellStyle name="Normal 5 14 2" xfId="4027"/>
    <cellStyle name="Normal 5 15" xfId="4028"/>
    <cellStyle name="Normal 5 16" xfId="4029"/>
    <cellStyle name="Normal 5 17" xfId="5461"/>
    <cellStyle name="Normal 5 18" xfId="4019"/>
    <cellStyle name="Normal 5 2" xfId="4030"/>
    <cellStyle name="Normal 5 2 10" xfId="4031"/>
    <cellStyle name="Normal 5 2 11" xfId="4032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3" xfId="4129"/>
    <cellStyle name="Normal 5 2 7 3 2" xfId="4130"/>
    <cellStyle name="Normal 5 2 7 4" xfId="4131"/>
    <cellStyle name="Normal 5 2 7 4 2" xfId="4132"/>
    <cellStyle name="Normal 5 2 7 5" xfId="4133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2" xfId="75"/>
    <cellStyle name="Normal 62 2" xfId="5362"/>
    <cellStyle name="Normal 63" xfId="5363"/>
    <cellStyle name="Normal 64" xfId="5364"/>
    <cellStyle name="Normal 65" xfId="5365"/>
    <cellStyle name="Normal 66" xfId="5366"/>
    <cellStyle name="Normal 67" xfId="5367"/>
    <cellStyle name="Normal 68" xfId="5368"/>
    <cellStyle name="Normal 69" xfId="5369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1" xfId="6635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5EEF3"/>
      <color rgb="FFD5F8F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%2021/FY%202015%20Forecast/Attachment%20E-1%20-%20Compliance%20Filing%20Version%20-%20Fy%202015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WACC"/>
      <sheetName val="Rate Base"/>
      <sheetName val="Expense"/>
      <sheetName val="Allocation"/>
      <sheetName val="St.Macros"/>
      <sheetName val="Temp"/>
      <sheetName val="Dep Rates"/>
      <sheetName val="13 mo avg plant"/>
      <sheetName val="13 mo avg accu dep"/>
      <sheetName val="ADIT"/>
      <sheetName val="165 Prepayment"/>
      <sheetName val="Rates"/>
    </sheetNames>
    <sheetDataSet>
      <sheetData sheetId="0" refreshError="1"/>
      <sheetData sheetId="1">
        <row r="27">
          <cell r="G27">
            <v>24304</v>
          </cell>
        </row>
        <row r="36">
          <cell r="G36">
            <v>24304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showRowColHeaders="0" tabSelected="1" zoomScale="75" zoomScaleNormal="75" workbookViewId="0">
      <selection activeCell="C8" sqref="C8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100</v>
      </c>
      <c r="K3" s="19"/>
      <c r="L3" s="19"/>
      <c r="M3" s="76"/>
      <c r="N3" s="19"/>
      <c r="X3" s="80"/>
    </row>
    <row r="4" spans="1:49">
      <c r="C4" s="78"/>
      <c r="D4" s="23" t="s">
        <v>197</v>
      </c>
      <c r="K4" s="19"/>
      <c r="M4" s="79"/>
      <c r="X4" s="80"/>
    </row>
    <row r="5" spans="1:49">
      <c r="C5" s="78"/>
      <c r="D5" s="23" t="str">
        <f>+'5 alloc.'!B6</f>
        <v>Actual</v>
      </c>
      <c r="K5" s="7"/>
      <c r="M5" s="30"/>
      <c r="X5" s="80"/>
    </row>
    <row r="6" spans="1:49">
      <c r="C6" s="78"/>
      <c r="D6" s="30">
        <f>+'5 alloc.'!B7</f>
        <v>2016</v>
      </c>
      <c r="J6" s="5" t="s">
        <v>101</v>
      </c>
      <c r="L6" s="7"/>
      <c r="M6" s="30"/>
      <c r="N6" s="7"/>
      <c r="X6" s="80"/>
    </row>
    <row r="7" spans="1:49">
      <c r="C7" s="78"/>
      <c r="J7" s="5" t="s">
        <v>341</v>
      </c>
      <c r="M7" s="30"/>
      <c r="N7" s="7"/>
      <c r="X7" s="80"/>
    </row>
    <row r="8" spans="1:49" ht="27">
      <c r="B8" s="206"/>
      <c r="C8" s="353"/>
      <c r="J8" s="5" t="s">
        <v>598</v>
      </c>
      <c r="M8" s="30"/>
      <c r="N8" s="7"/>
      <c r="X8" s="80"/>
    </row>
    <row r="9" spans="1:49">
      <c r="B9" s="206"/>
      <c r="C9" s="197"/>
      <c r="J9" s="5"/>
      <c r="L9" s="7"/>
      <c r="M9" s="30"/>
      <c r="N9" s="7"/>
      <c r="X9" s="80"/>
    </row>
    <row r="10" spans="1:49">
      <c r="A10" s="96"/>
      <c r="D10" s="23" t="s">
        <v>329</v>
      </c>
      <c r="X10" s="77"/>
    </row>
    <row r="11" spans="1:49">
      <c r="D11" s="293" t="s">
        <v>314</v>
      </c>
      <c r="E11" s="23" t="s">
        <v>194</v>
      </c>
      <c r="G11" s="23" t="s">
        <v>195</v>
      </c>
      <c r="I11" s="23" t="s">
        <v>196</v>
      </c>
      <c r="T11" s="7"/>
    </row>
    <row r="12" spans="1:49">
      <c r="D12" s="31" t="s">
        <v>3</v>
      </c>
      <c r="E12" s="31" t="s">
        <v>121</v>
      </c>
      <c r="F12" s="30"/>
      <c r="G12" s="31" t="s">
        <v>64</v>
      </c>
      <c r="H12" s="30"/>
      <c r="I12" s="31" t="s">
        <v>123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 t="s">
        <v>7</v>
      </c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160</v>
      </c>
      <c r="D14" s="23" t="s">
        <v>8</v>
      </c>
      <c r="E14" s="108">
        <f>+'3 Plant'!F15</f>
        <v>125700381</v>
      </c>
      <c r="F14" s="108"/>
      <c r="G14" s="108">
        <f>+'3 Plant'!I15</f>
        <v>423013427</v>
      </c>
      <c r="H14" s="108"/>
      <c r="I14" s="108">
        <f>+'3 Plant'!L15</f>
        <v>39629504</v>
      </c>
      <c r="J14" s="36" t="s">
        <v>198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9</v>
      </c>
      <c r="D15" s="23" t="s">
        <v>10</v>
      </c>
      <c r="E15" s="40">
        <f>+'3 Plant'!F16</f>
        <v>9220443</v>
      </c>
      <c r="F15" s="82"/>
      <c r="G15" s="40">
        <f>+'3 Plant'!I16</f>
        <v>56687790</v>
      </c>
      <c r="H15" s="82"/>
      <c r="I15" s="40">
        <f>+'3 Plant'!L16</f>
        <v>1467194</v>
      </c>
      <c r="J15" s="36" t="s">
        <v>199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312</v>
      </c>
      <c r="D16" s="23"/>
      <c r="E16" s="120">
        <f>ROUND(SUM(E14:E15),0)</f>
        <v>134920824</v>
      </c>
      <c r="F16" s="120"/>
      <c r="G16" s="120">
        <f>ROUND(SUM(G14:G15),0)</f>
        <v>479701217</v>
      </c>
      <c r="H16" s="120"/>
      <c r="I16" s="120">
        <f>ROUND(SUM(I14:I15),0)</f>
        <v>41096698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11</v>
      </c>
      <c r="D18" s="23" t="s">
        <v>91</v>
      </c>
      <c r="E18" s="85">
        <f>+'3 Plant'!F22</f>
        <v>48092326</v>
      </c>
      <c r="F18" s="85"/>
      <c r="G18" s="85">
        <f>+'3 Plant'!I22</f>
        <v>168530988</v>
      </c>
      <c r="H18" s="85"/>
      <c r="I18" s="85">
        <f>+'3 Plant'!L22</f>
        <v>14786766</v>
      </c>
      <c r="J18" s="36" t="s">
        <v>377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12</v>
      </c>
      <c r="D19" s="23" t="s">
        <v>313</v>
      </c>
      <c r="E19" s="40">
        <f>+'3 Plant'!F29</f>
        <v>25664226.42285642</v>
      </c>
      <c r="F19" s="85"/>
      <c r="G19" s="40">
        <f>+'3 Plant'!I29</f>
        <v>86366582.854163706</v>
      </c>
      <c r="H19" s="85"/>
      <c r="I19" s="40">
        <f>+'3 Plant'!L29</f>
        <v>8091149.4109273553</v>
      </c>
      <c r="J19" s="36" t="s">
        <v>378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336</v>
      </c>
      <c r="D20" s="23"/>
      <c r="E20" s="120">
        <f>ROUND((E16-E18-E19),0)</f>
        <v>61164272</v>
      </c>
      <c r="F20" s="120"/>
      <c r="G20" s="120">
        <f>ROUND((G16-G18-G19),0)</f>
        <v>224803646</v>
      </c>
      <c r="H20" s="120"/>
      <c r="I20" s="120">
        <f>ROUND((I16-I18-I19),0)</f>
        <v>18218783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15</v>
      </c>
      <c r="D22" s="23" t="s">
        <v>13</v>
      </c>
      <c r="E22" s="85">
        <f>+'3 Plant'!F31</f>
        <v>625269</v>
      </c>
      <c r="F22" s="85"/>
      <c r="G22" s="85">
        <f>+'3 Plant'!I31</f>
        <v>3844187</v>
      </c>
      <c r="H22" s="85"/>
      <c r="I22" s="85">
        <f>+'3 Plant'!L31</f>
        <v>99495</v>
      </c>
      <c r="J22" s="36" t="s">
        <v>379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16</v>
      </c>
      <c r="D23" s="23" t="s">
        <v>14</v>
      </c>
      <c r="E23" s="85">
        <f>+'3 Plant'!F33</f>
        <v>13749</v>
      </c>
      <c r="F23" s="85"/>
      <c r="G23" s="85">
        <f>+'3 Plant'!I33</f>
        <v>46268</v>
      </c>
      <c r="H23" s="85"/>
      <c r="I23" s="85">
        <f>+'3 Plant'!L33</f>
        <v>4335</v>
      </c>
      <c r="J23" s="36" t="s">
        <v>380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17</v>
      </c>
      <c r="D24" s="23" t="s">
        <v>116</v>
      </c>
      <c r="E24" s="40">
        <f>+'3 Plant'!F40</f>
        <v>998703.75549999997</v>
      </c>
      <c r="F24" s="82"/>
      <c r="G24" s="40">
        <f>+'3 Plant'!I40</f>
        <v>6140085.2315999996</v>
      </c>
      <c r="H24" s="82"/>
      <c r="I24" s="40">
        <f>+'3 Plant'!L40</f>
        <v>158917.80669999999</v>
      </c>
      <c r="J24" s="36" t="s">
        <v>381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337</v>
      </c>
      <c r="D26" s="23"/>
      <c r="E26" s="109">
        <f>+E20+E22+E23+E24</f>
        <v>62801993.755500004</v>
      </c>
      <c r="F26" s="108"/>
      <c r="G26" s="109">
        <f>+G20+G22+G23+G24</f>
        <v>234834186.23159999</v>
      </c>
      <c r="H26" s="108"/>
      <c r="I26" s="109">
        <f>+I20+I22+I23+I24</f>
        <v>18481530.806699999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18</v>
      </c>
      <c r="C32" s="92" t="s">
        <v>19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20</v>
      </c>
      <c r="D33" s="23" t="s">
        <v>21</v>
      </c>
      <c r="E33" s="108">
        <f>+'2 WACC'!E49</f>
        <v>7269902</v>
      </c>
      <c r="F33" s="108"/>
      <c r="G33" s="108">
        <f>+'2 WACC'!G49</f>
        <v>27184194</v>
      </c>
      <c r="H33" s="108"/>
      <c r="I33" s="108">
        <f>+'2 WACC'!K49</f>
        <v>2139405</v>
      </c>
      <c r="J33" s="36" t="s">
        <v>512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22</v>
      </c>
      <c r="D34" s="93" t="s">
        <v>23</v>
      </c>
      <c r="E34" s="82">
        <f>+'4 Expenses'!F19</f>
        <v>2942775</v>
      </c>
      <c r="F34" s="82"/>
      <c r="G34" s="82">
        <f>+'4 Expenses'!I19</f>
        <v>10962728</v>
      </c>
      <c r="H34" s="82"/>
      <c r="I34" s="82">
        <f>+'4 Expenses'!L19</f>
        <v>868314</v>
      </c>
      <c r="J34" s="36" t="s">
        <v>200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25</v>
      </c>
      <c r="D35" s="23" t="s">
        <v>24</v>
      </c>
      <c r="E35" s="82">
        <f>+'4 Expenses'!F21</f>
        <v>15220</v>
      </c>
      <c r="F35" s="82"/>
      <c r="G35" s="82">
        <f>+'4 Expenses'!I21</f>
        <v>51218</v>
      </c>
      <c r="H35" s="82"/>
      <c r="I35" s="82">
        <f>+'4 Expenses'!L21</f>
        <v>4798</v>
      </c>
      <c r="J35" s="36" t="s">
        <v>382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27</v>
      </c>
      <c r="D36" s="93" t="s">
        <v>26</v>
      </c>
      <c r="E36" s="82">
        <f>+'4 Expenses'!F24</f>
        <v>2191284</v>
      </c>
      <c r="F36" s="82"/>
      <c r="G36" s="82">
        <f>+'4 Expenses'!I24</f>
        <v>7374222</v>
      </c>
      <c r="H36" s="82"/>
      <c r="I36" s="82">
        <f>+'4 Expenses'!L24</f>
        <v>690845</v>
      </c>
      <c r="J36" s="36" t="s">
        <v>383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29</v>
      </c>
      <c r="D37" s="93" t="s">
        <v>28</v>
      </c>
      <c r="E37" s="82">
        <f>+'4 Expenses'!F37</f>
        <v>206626</v>
      </c>
      <c r="F37" s="82"/>
      <c r="G37" s="82">
        <f>+'4 Expenses'!I37</f>
        <v>1270348</v>
      </c>
      <c r="H37" s="82"/>
      <c r="I37" s="82">
        <f>+'4 Expenses'!L37</f>
        <v>32879</v>
      </c>
      <c r="J37" s="2" t="s">
        <v>519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30</v>
      </c>
      <c r="D38" s="93" t="s">
        <v>92</v>
      </c>
      <c r="E38" s="82">
        <f>+'4 Expenses'!F26</f>
        <v>4712923.0440290002</v>
      </c>
      <c r="F38" s="82"/>
      <c r="G38" s="82">
        <f>+'4 Expenses'!I26</f>
        <v>28975309.852584999</v>
      </c>
      <c r="H38" s="82"/>
      <c r="I38" s="82">
        <f>+'4 Expenses'!L26</f>
        <v>749939.45320600003</v>
      </c>
      <c r="J38" s="36" t="s">
        <v>384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32</v>
      </c>
      <c r="D39" s="93" t="s">
        <v>31</v>
      </c>
      <c r="E39" s="82">
        <f>+'4 Expenses'!F35</f>
        <v>3276707</v>
      </c>
      <c r="F39" s="82"/>
      <c r="G39" s="82">
        <f>+'4 Expenses'!I35</f>
        <v>20145372</v>
      </c>
      <c r="H39" s="82"/>
      <c r="I39" s="82">
        <f>+'4 Expenses'!L35</f>
        <v>521403</v>
      </c>
      <c r="J39" s="36" t="s">
        <v>388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338</v>
      </c>
      <c r="D41" s="7"/>
      <c r="E41" s="109">
        <f>SUM(E33:E39)</f>
        <v>20615437.044029001</v>
      </c>
      <c r="F41" s="108"/>
      <c r="G41" s="109">
        <f>SUM(G33:G39)</f>
        <v>95963391.852585003</v>
      </c>
      <c r="H41" s="108"/>
      <c r="I41" s="109">
        <f>SUM(I33:I39)</f>
        <v>5007583.4532059999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204</v>
      </c>
      <c r="C43" s="92" t="s">
        <v>203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215</v>
      </c>
      <c r="E45" s="7"/>
      <c r="F45" s="7"/>
      <c r="G45" s="258">
        <v>11349</v>
      </c>
      <c r="H45" s="284"/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339</v>
      </c>
      <c r="E46" s="7"/>
      <c r="F46" s="7"/>
      <c r="G46" s="151">
        <f>+G41/G45</f>
        <v>8455.6693851956115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276</v>
      </c>
      <c r="E48" s="7"/>
      <c r="F48" s="7"/>
      <c r="G48" s="7"/>
      <c r="H48" s="7"/>
      <c r="I48" s="180">
        <f>+'9 Meters'!E54</f>
        <v>51</v>
      </c>
      <c r="J48" s="36" t="s">
        <v>520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216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64" orientation="landscape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zoomScale="85" zoomScaleNormal="85" workbookViewId="0">
      <selection activeCell="G27" sqref="G27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66.140625" style="213" bestFit="1" customWidth="1"/>
    <col min="4" max="4" width="17.5703125" style="213" customWidth="1"/>
    <col min="5" max="5" width="18.28515625" style="213" bestFit="1" customWidth="1"/>
    <col min="6" max="9" width="18.28515625" style="213" customWidth="1"/>
    <col min="10" max="10" width="19.5703125" style="213" bestFit="1" customWidth="1"/>
    <col min="11" max="11" width="5.28515625" style="213" customWidth="1"/>
    <col min="12" max="16384" width="9.140625" style="213"/>
  </cols>
  <sheetData>
    <row r="5" spans="1:18" ht="15">
      <c r="A5" s="3"/>
      <c r="B5" s="3"/>
      <c r="C5" s="284"/>
      <c r="D5" s="7"/>
      <c r="E5" s="7"/>
      <c r="F5" s="7"/>
      <c r="G5" s="7"/>
      <c r="H5" s="7"/>
      <c r="I5" s="7"/>
      <c r="J5" s="5" t="s">
        <v>101</v>
      </c>
    </row>
    <row r="6" spans="1:18" ht="19.5">
      <c r="A6" s="3"/>
      <c r="B6" s="3"/>
      <c r="C6" s="3"/>
      <c r="D6" s="97" t="s">
        <v>100</v>
      </c>
      <c r="E6" s="7"/>
      <c r="F6" s="7"/>
      <c r="G6" s="7"/>
      <c r="H6" s="7"/>
      <c r="I6" s="7"/>
      <c r="J6" s="5" t="s">
        <v>341</v>
      </c>
    </row>
    <row r="7" spans="1:18" ht="15">
      <c r="A7" s="3"/>
      <c r="B7" s="3"/>
      <c r="C7" s="3"/>
      <c r="D7" s="23" t="s">
        <v>197</v>
      </c>
      <c r="E7" s="7"/>
      <c r="F7" s="7"/>
      <c r="G7" s="7"/>
      <c r="H7" s="7"/>
      <c r="I7" s="7"/>
      <c r="J7" s="5" t="s">
        <v>591</v>
      </c>
    </row>
    <row r="8" spans="1:18" ht="15">
      <c r="A8" s="3"/>
      <c r="B8" s="206"/>
      <c r="C8" s="206"/>
      <c r="D8" s="23" t="s">
        <v>259</v>
      </c>
      <c r="E8" s="7"/>
      <c r="F8" s="7"/>
      <c r="G8" s="7"/>
      <c r="H8" s="7"/>
      <c r="I8" s="7"/>
      <c r="J8" s="7"/>
    </row>
    <row r="9" spans="1:18" ht="15">
      <c r="A9" s="3"/>
      <c r="B9" s="206"/>
      <c r="C9" s="206"/>
      <c r="D9" s="23" t="str">
        <f>+'1 Rev Req'!D5</f>
        <v>Actual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>
        <f>+'1 Rev Req'!D6</f>
        <v>2016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 t="s">
        <v>343</v>
      </c>
      <c r="E11" s="7"/>
      <c r="F11" s="7"/>
      <c r="G11" s="7"/>
      <c r="H11" s="7"/>
      <c r="I11" s="7"/>
      <c r="J11" s="7"/>
      <c r="O11" s="278"/>
      <c r="P11" s="279"/>
      <c r="Q11" s="279"/>
      <c r="R11" s="279"/>
    </row>
    <row r="12" spans="1:18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601</v>
      </c>
    </row>
    <row r="13" spans="1:18" ht="15">
      <c r="A13" s="3"/>
      <c r="B13" s="3"/>
      <c r="C13" s="3"/>
      <c r="D13" s="7"/>
      <c r="E13" s="30" t="s">
        <v>250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236</v>
      </c>
      <c r="E14" s="30" t="s">
        <v>248</v>
      </c>
      <c r="F14" s="30" t="s">
        <v>248</v>
      </c>
      <c r="G14" s="19"/>
      <c r="H14" s="30" t="s">
        <v>273</v>
      </c>
      <c r="I14" s="30" t="s">
        <v>255</v>
      </c>
      <c r="J14" s="30" t="s">
        <v>257</v>
      </c>
    </row>
    <row r="15" spans="1:18" ht="15">
      <c r="A15" s="3"/>
      <c r="B15" s="3"/>
      <c r="C15" s="3" t="s">
        <v>216</v>
      </c>
      <c r="D15" s="7" t="s">
        <v>219</v>
      </c>
      <c r="E15" s="30" t="s">
        <v>249</v>
      </c>
      <c r="F15" s="30" t="s">
        <v>66</v>
      </c>
      <c r="G15" s="30" t="s">
        <v>272</v>
      </c>
      <c r="H15" s="30" t="s">
        <v>274</v>
      </c>
      <c r="I15" s="30" t="s">
        <v>272</v>
      </c>
      <c r="J15" s="30" t="s">
        <v>272</v>
      </c>
    </row>
    <row r="16" spans="1:18" ht="15">
      <c r="A16" s="3"/>
      <c r="B16" s="3"/>
      <c r="C16" s="3" t="s">
        <v>260</v>
      </c>
      <c r="D16" s="7" t="s">
        <v>237</v>
      </c>
      <c r="E16" s="30" t="s">
        <v>251</v>
      </c>
      <c r="F16" s="30" t="s">
        <v>252</v>
      </c>
      <c r="G16" s="30" t="s">
        <v>271</v>
      </c>
      <c r="H16" s="30" t="s">
        <v>275</v>
      </c>
      <c r="I16" s="30" t="s">
        <v>256</v>
      </c>
      <c r="J16" s="30" t="s">
        <v>256</v>
      </c>
    </row>
    <row r="17" spans="1:10" ht="15">
      <c r="A17" s="3"/>
      <c r="B17" s="3"/>
      <c r="C17" s="3" t="s">
        <v>223</v>
      </c>
      <c r="D17" s="7" t="s">
        <v>238</v>
      </c>
      <c r="E17" s="7" t="s">
        <v>223</v>
      </c>
      <c r="F17" s="7" t="s">
        <v>222</v>
      </c>
      <c r="G17" s="7" t="s">
        <v>222</v>
      </c>
      <c r="H17" s="7" t="s">
        <v>222</v>
      </c>
      <c r="I17" s="7" t="s">
        <v>224</v>
      </c>
      <c r="J17" s="7" t="s">
        <v>224</v>
      </c>
    </row>
    <row r="18" spans="1:10" ht="16.5">
      <c r="A18" s="3"/>
      <c r="B18" s="140" t="s">
        <v>243</v>
      </c>
      <c r="C18" s="3"/>
      <c r="D18" s="294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261</v>
      </c>
      <c r="D19" s="298">
        <v>3771</v>
      </c>
      <c r="E19" s="264">
        <v>1457</v>
      </c>
      <c r="F19" s="143">
        <f>IF(D19=0,0,+E19/D19)</f>
        <v>0.38636966321930521</v>
      </c>
      <c r="G19" s="150">
        <f>+G44</f>
        <v>0.73</v>
      </c>
      <c r="H19" s="126">
        <f>+G19*D$50</f>
        <v>6172.6386511927967</v>
      </c>
      <c r="I19" s="111">
        <f>ROUND(+H19*F19,0)</f>
        <v>2385</v>
      </c>
      <c r="J19" s="111"/>
    </row>
    <row r="20" spans="1:10" ht="15.75">
      <c r="A20" s="3">
        <f>1+A19</f>
        <v>2</v>
      </c>
      <c r="B20" s="3"/>
      <c r="C20" s="3" t="s">
        <v>262</v>
      </c>
      <c r="D20" s="298">
        <v>4015</v>
      </c>
      <c r="E20" s="264">
        <v>755</v>
      </c>
      <c r="F20" s="143">
        <f>IF(D20=0,0,+E20/D20)</f>
        <v>0.18804483188044832</v>
      </c>
      <c r="G20" s="150">
        <f>+G41</f>
        <v>0.49</v>
      </c>
      <c r="H20" s="70">
        <f>+G20*D$50</f>
        <v>4143.2779987458498</v>
      </c>
      <c r="I20" s="74">
        <f>ROUND(+H20*F20,0)</f>
        <v>779</v>
      </c>
      <c r="J20" s="74"/>
    </row>
    <row r="21" spans="1:10" ht="15.75">
      <c r="A21" s="3">
        <f>1+A20</f>
        <v>3</v>
      </c>
      <c r="B21" s="3"/>
      <c r="C21" s="3" t="s">
        <v>263</v>
      </c>
      <c r="D21" s="264">
        <v>1972</v>
      </c>
      <c r="E21" s="264">
        <v>1059</v>
      </c>
      <c r="F21" s="143">
        <f>IF(D21=0,0,+E21/D21)</f>
        <v>0.53701825557809335</v>
      </c>
      <c r="G21" s="150">
        <f>+G45</f>
        <v>0.06</v>
      </c>
      <c r="H21" s="70">
        <f>+G21*D$50</f>
        <v>507.34016311173667</v>
      </c>
      <c r="I21" s="74">
        <f>ROUND(+H21*F21,0)</f>
        <v>272</v>
      </c>
      <c r="J21" s="74"/>
    </row>
    <row r="22" spans="1:10" ht="15">
      <c r="A22" s="3"/>
      <c r="B22" s="3"/>
      <c r="C22" s="3"/>
      <c r="D22" s="128" t="s">
        <v>239</v>
      </c>
      <c r="E22" s="128" t="s">
        <v>239</v>
      </c>
      <c r="F22" s="3"/>
      <c r="G22" s="147"/>
      <c r="H22" s="5" t="s">
        <v>240</v>
      </c>
      <c r="I22" s="146" t="s">
        <v>224</v>
      </c>
      <c r="J22" s="144"/>
    </row>
    <row r="23" spans="1:10" ht="15.75">
      <c r="A23" s="3">
        <v>4</v>
      </c>
      <c r="B23" s="3"/>
      <c r="C23" s="3" t="s">
        <v>228</v>
      </c>
      <c r="D23" s="70">
        <f>SUM(D19:D21)</f>
        <v>9758</v>
      </c>
      <c r="E23" s="70">
        <f>SUM(E19:E21)</f>
        <v>3271</v>
      </c>
      <c r="F23" s="126"/>
      <c r="G23" s="147"/>
      <c r="H23" s="126">
        <f>SUM(H19:H21)</f>
        <v>10823.256813050382</v>
      </c>
      <c r="I23" s="126">
        <f>SUM(I19:I21)</f>
        <v>3436</v>
      </c>
      <c r="J23" s="142">
        <f>ROUND(I23/12,0)</f>
        <v>286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244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264</v>
      </c>
      <c r="D27" s="264">
        <v>5772</v>
      </c>
      <c r="E27" s="298">
        <v>2903</v>
      </c>
      <c r="F27" s="143">
        <f>IF(D27=0,0,+E27/D27)</f>
        <v>0.50294525294525294</v>
      </c>
      <c r="G27" s="265">
        <f>0.8+0.9+0</f>
        <v>1.7000000000000002</v>
      </c>
      <c r="H27" s="126">
        <f>+G27*D$50</f>
        <v>14374.63795483254</v>
      </c>
      <c r="I27" s="111">
        <f>ROUND(+H27*F27,0)</f>
        <v>7230</v>
      </c>
      <c r="J27" s="111"/>
    </row>
    <row r="28" spans="1:10" ht="15">
      <c r="A28" s="3"/>
      <c r="B28" s="3"/>
      <c r="C28" s="3"/>
      <c r="D28" s="195"/>
      <c r="E28" s="168"/>
      <c r="F28" s="39"/>
      <c r="G28" s="250"/>
      <c r="H28" s="70"/>
      <c r="I28" s="74"/>
      <c r="J28" s="74"/>
    </row>
    <row r="29" spans="1:10" ht="15">
      <c r="A29" s="3">
        <v>7</v>
      </c>
      <c r="B29" s="3"/>
      <c r="C29" s="3" t="s">
        <v>265</v>
      </c>
      <c r="D29" s="19"/>
      <c r="E29" s="266">
        <v>1307</v>
      </c>
      <c r="F29" s="175"/>
      <c r="G29" s="265">
        <f>3.56+0+1.27</f>
        <v>4.83</v>
      </c>
      <c r="H29" s="70">
        <f>+G29*D$50</f>
        <v>40840.883130494803</v>
      </c>
      <c r="I29" s="74"/>
      <c r="J29" s="144"/>
    </row>
    <row r="30" spans="1:10" ht="15">
      <c r="A30" s="3">
        <f>1+A29</f>
        <v>8</v>
      </c>
      <c r="B30" s="3"/>
      <c r="C30" s="3" t="s">
        <v>636</v>
      </c>
      <c r="D30" s="145"/>
      <c r="E30" s="267">
        <v>0</v>
      </c>
      <c r="F30" s="175"/>
      <c r="G30" s="265">
        <f>1.76+0</f>
        <v>1.76</v>
      </c>
      <c r="H30" s="70">
        <f>+G30*D$50</f>
        <v>14881.978117944276</v>
      </c>
      <c r="I30" s="111"/>
      <c r="J30" s="111"/>
    </row>
    <row r="31" spans="1:10" ht="15">
      <c r="A31" s="3">
        <f>1+A30</f>
        <v>9</v>
      </c>
      <c r="B31" s="3"/>
      <c r="C31" s="3" t="s">
        <v>266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239</v>
      </c>
      <c r="F32" s="39"/>
      <c r="G32" s="148"/>
      <c r="H32" s="144" t="s">
        <v>241</v>
      </c>
      <c r="I32" s="74"/>
      <c r="J32" s="74"/>
    </row>
    <row r="33" spans="1:10" ht="15.75">
      <c r="A33" s="3">
        <v>10</v>
      </c>
      <c r="B33" s="3"/>
      <c r="C33" s="3" t="s">
        <v>242</v>
      </c>
      <c r="D33" s="268">
        <v>5478</v>
      </c>
      <c r="E33" s="74">
        <f>+E29+E30</f>
        <v>1307</v>
      </c>
      <c r="F33" s="143">
        <f>IF(D33=0,0,+E33/D33)</f>
        <v>0.23859072654253377</v>
      </c>
      <c r="G33" s="149">
        <f>+G29+G30</f>
        <v>6.59</v>
      </c>
      <c r="H33" s="111">
        <f>+H30+H29</f>
        <v>55722.861248439076</v>
      </c>
      <c r="I33" s="111">
        <f>ROUND(+H33*F33,0)</f>
        <v>13295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239</v>
      </c>
      <c r="E35" s="144" t="s">
        <v>239</v>
      </c>
      <c r="F35" s="7"/>
      <c r="G35" s="148"/>
      <c r="H35" s="12" t="s">
        <v>240</v>
      </c>
      <c r="I35" s="74"/>
      <c r="J35" s="74"/>
    </row>
    <row r="36" spans="1:10" ht="15.75">
      <c r="A36" s="3">
        <v>11</v>
      </c>
      <c r="B36" s="3"/>
      <c r="C36" s="3" t="s">
        <v>231</v>
      </c>
      <c r="D36" s="141">
        <f>+D33+D27</f>
        <v>11250</v>
      </c>
      <c r="E36" s="141">
        <f>+E33+E27</f>
        <v>4210</v>
      </c>
      <c r="F36" s="3"/>
      <c r="G36" s="147"/>
      <c r="H36" s="100">
        <f>+H33+H27</f>
        <v>70097.499203271611</v>
      </c>
      <c r="I36" s="111">
        <f>+I33+I27</f>
        <v>20525</v>
      </c>
      <c r="J36" s="142">
        <f>ROUND(I36/12,0)</f>
        <v>1710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245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267</v>
      </c>
      <c r="D40" s="269">
        <v>1076</v>
      </c>
      <c r="E40" s="269">
        <v>1076</v>
      </c>
      <c r="F40" s="143">
        <f t="shared" ref="F40:F45" si="1">IF(D40=0,0,+E40/D40)</f>
        <v>1</v>
      </c>
      <c r="G40" s="270">
        <v>0.91</v>
      </c>
      <c r="H40" s="126">
        <f t="shared" ref="H40:H45" si="2">+G40*D$50</f>
        <v>7694.6591405280069</v>
      </c>
      <c r="I40" s="111">
        <f t="shared" ref="I40:I45" si="3">ROUND(+H40*F40,0)</f>
        <v>7695</v>
      </c>
      <c r="J40" s="144"/>
    </row>
    <row r="41" spans="1:10" ht="15.75">
      <c r="A41" s="3">
        <f t="shared" si="0"/>
        <v>14</v>
      </c>
      <c r="B41" s="3"/>
      <c r="C41" s="3" t="s">
        <v>268</v>
      </c>
      <c r="D41" s="295">
        <f>+D20</f>
        <v>4015</v>
      </c>
      <c r="E41" s="269">
        <v>2818</v>
      </c>
      <c r="F41" s="143">
        <f t="shared" si="1"/>
        <v>0.70186799501867991</v>
      </c>
      <c r="G41" s="270">
        <v>0.49</v>
      </c>
      <c r="H41" s="70">
        <f t="shared" si="2"/>
        <v>4143.2779987458498</v>
      </c>
      <c r="I41" s="74">
        <f t="shared" si="3"/>
        <v>2908</v>
      </c>
      <c r="J41" s="126"/>
    </row>
    <row r="42" spans="1:10" ht="15.75">
      <c r="A42" s="3">
        <f t="shared" si="0"/>
        <v>15</v>
      </c>
      <c r="B42" s="3"/>
      <c r="C42" s="3" t="s">
        <v>269</v>
      </c>
      <c r="D42" s="321">
        <v>1058</v>
      </c>
      <c r="E42" s="269">
        <v>172</v>
      </c>
      <c r="F42" s="143">
        <f t="shared" si="1"/>
        <v>0.16257088846880907</v>
      </c>
      <c r="G42" s="270">
        <f>0.8+0+0.39+0.08</f>
        <v>1.27</v>
      </c>
      <c r="H42" s="70">
        <f t="shared" si="2"/>
        <v>10738.700119198427</v>
      </c>
      <c r="I42" s="74">
        <f t="shared" si="3"/>
        <v>1746</v>
      </c>
      <c r="J42" s="7"/>
    </row>
    <row r="43" spans="1:10" ht="15.75">
      <c r="A43" s="3">
        <f t="shared" si="0"/>
        <v>16</v>
      </c>
      <c r="B43" s="3"/>
      <c r="C43" s="3" t="s">
        <v>270</v>
      </c>
      <c r="D43" s="321">
        <v>1583</v>
      </c>
      <c r="E43" s="269">
        <v>855</v>
      </c>
      <c r="F43" s="143">
        <f t="shared" si="1"/>
        <v>0.54011370814908399</v>
      </c>
      <c r="G43" s="270">
        <f>0.01+2.87+0+0.04</f>
        <v>2.92</v>
      </c>
      <c r="H43" s="70">
        <f t="shared" si="2"/>
        <v>24690.554604771187</v>
      </c>
      <c r="I43" s="74">
        <f t="shared" si="3"/>
        <v>13336</v>
      </c>
      <c r="J43" s="141"/>
    </row>
    <row r="44" spans="1:10" ht="15.75">
      <c r="A44" s="3">
        <f t="shared" si="0"/>
        <v>17</v>
      </c>
      <c r="B44" s="3"/>
      <c r="C44" s="3" t="s">
        <v>261</v>
      </c>
      <c r="D44" s="295">
        <f>+D19</f>
        <v>3771</v>
      </c>
      <c r="E44" s="269">
        <v>1316</v>
      </c>
      <c r="F44" s="143">
        <f t="shared" si="1"/>
        <v>0.34897905064969503</v>
      </c>
      <c r="G44" s="270">
        <f>0.45+0.06+0.22</f>
        <v>0.73</v>
      </c>
      <c r="H44" s="70">
        <f t="shared" si="2"/>
        <v>6172.6386511927967</v>
      </c>
      <c r="I44" s="74">
        <f t="shared" si="3"/>
        <v>2154</v>
      </c>
      <c r="J44" s="141"/>
    </row>
    <row r="45" spans="1:10" ht="15.75">
      <c r="A45" s="3">
        <f t="shared" si="0"/>
        <v>18</v>
      </c>
      <c r="B45" s="3"/>
      <c r="C45" s="3" t="s">
        <v>263</v>
      </c>
      <c r="D45" s="297">
        <f>+D21</f>
        <v>1972</v>
      </c>
      <c r="E45" s="269">
        <v>913</v>
      </c>
      <c r="F45" s="143">
        <f t="shared" si="1"/>
        <v>0.4629817444219067</v>
      </c>
      <c r="G45" s="270">
        <v>0.06</v>
      </c>
      <c r="H45" s="70">
        <f t="shared" si="2"/>
        <v>507.34016311173667</v>
      </c>
      <c r="I45" s="74">
        <f t="shared" si="3"/>
        <v>235</v>
      </c>
      <c r="J45" s="141"/>
    </row>
    <row r="46" spans="1:10" ht="15">
      <c r="A46" s="3"/>
      <c r="B46" s="3"/>
      <c r="C46" s="3"/>
      <c r="D46" s="135" t="s">
        <v>239</v>
      </c>
      <c r="E46" s="135" t="s">
        <v>239</v>
      </c>
      <c r="F46" s="3"/>
      <c r="G46" s="3" t="s">
        <v>216</v>
      </c>
      <c r="H46" s="5" t="s">
        <v>240</v>
      </c>
      <c r="I46" s="5" t="s">
        <v>240</v>
      </c>
      <c r="J46" s="3"/>
    </row>
    <row r="47" spans="1:10" ht="15.75">
      <c r="A47" s="3">
        <v>19</v>
      </c>
      <c r="B47" s="3"/>
      <c r="C47" s="3" t="s">
        <v>235</v>
      </c>
      <c r="D47" s="178">
        <f>SUM(D40:D45)</f>
        <v>13475</v>
      </c>
      <c r="E47" s="178">
        <f>SUM(E40:E45)</f>
        <v>7150</v>
      </c>
      <c r="F47" s="100"/>
      <c r="G47" s="3"/>
      <c r="H47" s="100">
        <f>SUM(H40:H45)</f>
        <v>53947.170677548005</v>
      </c>
      <c r="I47" s="100">
        <f>SUM(I40:I45)</f>
        <v>28074</v>
      </c>
      <c r="J47" s="142">
        <f>ROUND(I47/12,0)</f>
        <v>2340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214</v>
      </c>
      <c r="C50" s="3"/>
      <c r="D50" s="100">
        <f>+'1 Rev Req'!G46</f>
        <v>8455.6693851956115</v>
      </c>
      <c r="E50" s="36" t="s">
        <v>332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  <ignoredErrors>
    <ignoredError sqref="D4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5"/>
  <sheetViews>
    <sheetView showGridLines="0" topLeftCell="A10" zoomScaleNormal="100" workbookViewId="0">
      <selection activeCell="E33" sqref="E33"/>
    </sheetView>
  </sheetViews>
  <sheetFormatPr defaultColWidth="9.140625" defaultRowHeight="12.75"/>
  <cols>
    <col min="1" max="2" width="9.140625" style="213"/>
    <col min="3" max="3" width="64.85546875" style="213" bestFit="1" customWidth="1"/>
    <col min="4" max="4" width="6.85546875" style="213" customWidth="1"/>
    <col min="5" max="5" width="16.85546875" style="213" bestFit="1" customWidth="1"/>
    <col min="6" max="16384" width="9.140625" style="213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101</v>
      </c>
    </row>
    <row r="6" spans="1:10" ht="19.5">
      <c r="A6" s="3"/>
      <c r="B6" s="3"/>
      <c r="C6" s="78"/>
      <c r="D6" s="97" t="s">
        <v>100</v>
      </c>
      <c r="E6" s="7"/>
      <c r="F6" s="7"/>
      <c r="G6" s="3"/>
      <c r="H6" s="3"/>
      <c r="I6" s="3"/>
      <c r="J6" s="5" t="s">
        <v>341</v>
      </c>
    </row>
    <row r="7" spans="1:10" ht="15">
      <c r="A7" s="3"/>
      <c r="B7" s="3"/>
      <c r="C7" s="78"/>
      <c r="D7" s="23" t="s">
        <v>197</v>
      </c>
      <c r="E7" s="7"/>
      <c r="F7" s="7"/>
      <c r="G7" s="3"/>
      <c r="H7" s="3"/>
      <c r="I7" s="3"/>
      <c r="J7" s="5" t="s">
        <v>590</v>
      </c>
    </row>
    <row r="8" spans="1:10" ht="15">
      <c r="A8" s="3"/>
      <c r="B8" s="206"/>
      <c r="C8" s="197"/>
      <c r="D8" s="23" t="s">
        <v>123</v>
      </c>
      <c r="E8" s="7"/>
      <c r="F8" s="7"/>
      <c r="G8" s="3"/>
      <c r="H8" s="3"/>
      <c r="I8" s="3"/>
      <c r="J8" s="3"/>
    </row>
    <row r="9" spans="1:10" ht="15">
      <c r="A9" s="3"/>
      <c r="B9" s="206"/>
      <c r="C9" s="206"/>
      <c r="D9" s="23" t="str">
        <f>+'1 Rev Req'!D5</f>
        <v>Actual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>
        <f>+'1 Rev Req'!D6</f>
        <v>2016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/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277</v>
      </c>
      <c r="C13" s="30"/>
      <c r="D13" s="30"/>
      <c r="E13" s="30" t="s">
        <v>253</v>
      </c>
      <c r="F13" s="3"/>
      <c r="G13" s="3"/>
      <c r="H13" s="3"/>
      <c r="I13" s="3"/>
      <c r="J13" s="3"/>
    </row>
    <row r="14" spans="1:10" ht="15">
      <c r="A14" s="3"/>
      <c r="B14" s="3" t="s">
        <v>278</v>
      </c>
      <c r="C14" s="30"/>
      <c r="D14" s="30"/>
      <c r="E14" s="30" t="s">
        <v>279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315</v>
      </c>
      <c r="D15" s="7"/>
      <c r="E15" s="273">
        <v>4855</v>
      </c>
      <c r="F15" s="7"/>
      <c r="G15" s="3"/>
      <c r="H15" s="3"/>
      <c r="I15" s="3"/>
      <c r="J15" s="3"/>
    </row>
    <row r="16" spans="1:10" ht="15.75">
      <c r="A16" s="3">
        <f t="shared" ref="A16:A41" si="0">1+A15</f>
        <v>2</v>
      </c>
      <c r="B16" s="3"/>
      <c r="C16" s="171" t="s">
        <v>316</v>
      </c>
      <c r="D16" s="7"/>
      <c r="E16" s="272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317</v>
      </c>
      <c r="D17" s="155"/>
      <c r="E17" s="272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318</v>
      </c>
      <c r="D18" s="155"/>
      <c r="E18" s="272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319</v>
      </c>
      <c r="D19" s="155"/>
      <c r="E19" s="272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320</v>
      </c>
      <c r="D20" s="3"/>
      <c r="E20" s="272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321</v>
      </c>
      <c r="D21" s="157"/>
      <c r="E21" s="272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322</v>
      </c>
      <c r="D22" s="157"/>
      <c r="E22" s="272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280</v>
      </c>
      <c r="D23" s="157"/>
      <c r="E23" s="272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281</v>
      </c>
      <c r="D24" s="157"/>
      <c r="E24" s="272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282</v>
      </c>
      <c r="D25" s="155"/>
      <c r="E25" s="272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229</v>
      </c>
      <c r="D26" s="155"/>
      <c r="E26" s="272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323</v>
      </c>
      <c r="D27" s="3"/>
      <c r="E27" s="272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283</v>
      </c>
      <c r="D28" s="7"/>
      <c r="E28" s="272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284</v>
      </c>
      <c r="D29" s="157"/>
      <c r="E29" s="272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285</v>
      </c>
      <c r="D30" s="157"/>
      <c r="E30" s="272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324</v>
      </c>
      <c r="D31" s="157"/>
      <c r="E31" s="272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286</v>
      </c>
      <c r="D32" s="158"/>
      <c r="E32" s="272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287</v>
      </c>
      <c r="D33" s="158"/>
      <c r="E33" s="272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325</v>
      </c>
      <c r="D34" s="158"/>
      <c r="E34" s="272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288</v>
      </c>
      <c r="D35" s="158"/>
      <c r="E35" s="272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326</v>
      </c>
      <c r="D36" s="158"/>
      <c r="E36" s="272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327</v>
      </c>
      <c r="D37" s="158"/>
      <c r="E37" s="272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328</v>
      </c>
      <c r="D38" s="3"/>
      <c r="E38" s="272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289</v>
      </c>
      <c r="D39" s="7"/>
      <c r="E39" s="272">
        <v>4000</v>
      </c>
      <c r="F39" s="7"/>
      <c r="G39" s="3"/>
      <c r="H39" s="3"/>
      <c r="I39" s="3"/>
      <c r="J39" s="3"/>
    </row>
    <row r="40" spans="1:10" ht="15.75">
      <c r="A40" s="3">
        <f t="shared" si="0"/>
        <v>26</v>
      </c>
      <c r="B40" s="3"/>
      <c r="C40" s="171" t="s">
        <v>684</v>
      </c>
      <c r="D40" s="7"/>
      <c r="E40" s="272">
        <v>1087</v>
      </c>
      <c r="F40" s="7"/>
      <c r="G40" s="3"/>
      <c r="H40" s="3"/>
      <c r="I40" s="3"/>
      <c r="J40" s="3"/>
    </row>
    <row r="41" spans="1:10" ht="15.75">
      <c r="A41" s="3">
        <f t="shared" si="0"/>
        <v>27</v>
      </c>
      <c r="B41" s="3"/>
      <c r="C41" s="171" t="s">
        <v>685</v>
      </c>
      <c r="D41" s="7"/>
      <c r="E41" s="272">
        <v>223</v>
      </c>
      <c r="F41" s="7"/>
      <c r="G41" s="3"/>
      <c r="H41" s="3"/>
      <c r="I41" s="3"/>
      <c r="J41" s="3"/>
    </row>
    <row r="42" spans="1:10" ht="15">
      <c r="A42" s="3"/>
      <c r="B42" s="3"/>
      <c r="C42" s="3"/>
      <c r="D42" s="3"/>
      <c r="E42" s="159" t="s">
        <v>240</v>
      </c>
      <c r="F42" s="3"/>
      <c r="G42" s="3"/>
      <c r="H42" s="3"/>
      <c r="I42" s="3"/>
      <c r="J42" s="3"/>
    </row>
    <row r="43" spans="1:10" ht="15">
      <c r="A43" s="23" t="s">
        <v>290</v>
      </c>
      <c r="B43" s="141"/>
      <c r="C43" s="3" t="s">
        <v>291</v>
      </c>
      <c r="D43" s="3"/>
      <c r="E43" s="178">
        <f>SUM(E15:E41)</f>
        <v>130683</v>
      </c>
      <c r="F43" s="3" t="s">
        <v>292</v>
      </c>
      <c r="G43" s="3"/>
      <c r="H43" s="3"/>
      <c r="I43" s="3"/>
      <c r="J43" s="3"/>
    </row>
    <row r="44" spans="1:10" ht="15">
      <c r="A44" s="23" t="s">
        <v>293</v>
      </c>
      <c r="B44" s="3"/>
      <c r="C44" s="3" t="s">
        <v>294</v>
      </c>
      <c r="D44" s="3"/>
      <c r="E44" s="100">
        <f>+'1 Rev Req'!I14</f>
        <v>39629504</v>
      </c>
      <c r="F44" s="36" t="s">
        <v>295</v>
      </c>
      <c r="G44" s="3"/>
      <c r="H44" s="3"/>
      <c r="I44" s="3"/>
      <c r="J44" s="3"/>
    </row>
    <row r="45" spans="1:10" ht="15">
      <c r="A45" s="23"/>
      <c r="B45" s="3"/>
      <c r="C45" s="3"/>
      <c r="D45" s="3"/>
      <c r="E45" s="159" t="s">
        <v>147</v>
      </c>
      <c r="F45" s="36"/>
      <c r="G45" s="3"/>
      <c r="H45" s="3"/>
      <c r="I45" s="3"/>
      <c r="J45" s="3"/>
    </row>
    <row r="46" spans="1:10" ht="15">
      <c r="A46" s="23" t="s">
        <v>296</v>
      </c>
      <c r="B46" s="3"/>
      <c r="C46" s="81" t="s">
        <v>297</v>
      </c>
      <c r="D46" s="3"/>
      <c r="E46" s="32">
        <f>+E43/E44</f>
        <v>3.2976188649749441E-3</v>
      </c>
      <c r="F46" s="3" t="s">
        <v>298</v>
      </c>
      <c r="G46" s="3"/>
      <c r="H46" s="3"/>
      <c r="I46" s="3"/>
      <c r="J46" s="3"/>
    </row>
    <row r="47" spans="1:10" ht="15">
      <c r="A47" s="23" t="s">
        <v>299</v>
      </c>
      <c r="B47" s="3"/>
      <c r="C47" s="81" t="s">
        <v>300</v>
      </c>
      <c r="D47" s="3"/>
      <c r="E47" s="100">
        <f>+'1 Rev Req'!I41</f>
        <v>5007583.4532059999</v>
      </c>
      <c r="F47" s="36" t="s">
        <v>331</v>
      </c>
      <c r="G47" s="3"/>
      <c r="H47" s="3"/>
      <c r="I47" s="3"/>
      <c r="J47" s="3"/>
    </row>
    <row r="48" spans="1:10" ht="15">
      <c r="A48" s="3"/>
      <c r="B48" s="3"/>
      <c r="C48" s="3"/>
      <c r="D48" s="3"/>
      <c r="E48" s="159" t="s">
        <v>147</v>
      </c>
      <c r="F48" s="3"/>
      <c r="G48" s="3"/>
      <c r="H48" s="3"/>
      <c r="I48" s="3"/>
      <c r="J48" s="3"/>
    </row>
    <row r="49" spans="1:10" ht="15">
      <c r="A49" s="23" t="s">
        <v>301</v>
      </c>
      <c r="B49" s="3"/>
      <c r="C49" s="36" t="s">
        <v>609</v>
      </c>
      <c r="D49" s="3"/>
      <c r="E49" s="147">
        <f>+E46*E47</f>
        <v>16513.101663228481</v>
      </c>
      <c r="F49" s="36" t="s">
        <v>302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303</v>
      </c>
      <c r="B51" s="3"/>
      <c r="C51" s="3" t="s">
        <v>304</v>
      </c>
      <c r="D51" s="3"/>
      <c r="E51" s="96">
        <f>COUNT(E15:E41)</f>
        <v>27</v>
      </c>
      <c r="F51" s="3" t="s">
        <v>305</v>
      </c>
      <c r="G51" s="3"/>
      <c r="H51" s="3"/>
      <c r="I51" s="3"/>
      <c r="J51" s="3"/>
    </row>
    <row r="52" spans="1:10" ht="15">
      <c r="A52" s="23"/>
      <c r="B52" s="3"/>
      <c r="C52" s="36"/>
      <c r="D52" s="3"/>
      <c r="E52" s="3"/>
      <c r="F52" s="3"/>
      <c r="G52" s="3"/>
      <c r="H52" s="3"/>
      <c r="I52" s="3"/>
      <c r="J52" s="3"/>
    </row>
    <row r="53" spans="1:10" ht="15">
      <c r="A53" s="23" t="s">
        <v>306</v>
      </c>
      <c r="B53" s="3"/>
      <c r="C53" s="36" t="s">
        <v>610</v>
      </c>
      <c r="D53" s="3"/>
      <c r="E53" s="100">
        <f>+E49/E51</f>
        <v>611.59635789735114</v>
      </c>
      <c r="F53" s="3" t="s">
        <v>307</v>
      </c>
      <c r="G53" s="3"/>
      <c r="H53" s="3"/>
      <c r="I53" s="3"/>
      <c r="J53" s="3"/>
    </row>
    <row r="54" spans="1:10" ht="18">
      <c r="A54" s="23" t="s">
        <v>308</v>
      </c>
      <c r="B54" s="3"/>
      <c r="C54" s="3" t="s">
        <v>611</v>
      </c>
      <c r="D54" s="3"/>
      <c r="E54" s="160">
        <f>+ROUND(E53/12,0)</f>
        <v>51</v>
      </c>
      <c r="F54" s="3" t="s">
        <v>309</v>
      </c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9"/>
  <sheetViews>
    <sheetView showGridLines="0" zoomScale="90" zoomScaleNormal="90" workbookViewId="0">
      <selection activeCell="D25" sqref="D25"/>
    </sheetView>
  </sheetViews>
  <sheetFormatPr defaultRowHeight="12.75"/>
  <cols>
    <col min="1" max="1" width="75.7109375" customWidth="1"/>
    <col min="2" max="2" width="16.85546875" bestFit="1" customWidth="1"/>
    <col min="3" max="3" width="6.7109375" customWidth="1"/>
    <col min="4" max="4" width="17" customWidth="1"/>
  </cols>
  <sheetData>
    <row r="2" spans="1:6" ht="15">
      <c r="A2" s="3"/>
      <c r="B2" s="285"/>
    </row>
    <row r="4" spans="1:6" ht="19.5">
      <c r="A4" s="97" t="s">
        <v>100</v>
      </c>
      <c r="E4" s="5" t="s">
        <v>101</v>
      </c>
    </row>
    <row r="5" spans="1:6" ht="15">
      <c r="A5" s="23" t="s">
        <v>444</v>
      </c>
      <c r="B5" s="281" t="str">
        <f>+'5 alloc.'!B6</f>
        <v>Actual</v>
      </c>
      <c r="E5" s="5" t="s">
        <v>341</v>
      </c>
    </row>
    <row r="6" spans="1:6" ht="15">
      <c r="A6" s="181"/>
      <c r="B6">
        <f>+'5 alloc.'!B7</f>
        <v>2016</v>
      </c>
      <c r="E6" s="5" t="s">
        <v>599</v>
      </c>
    </row>
    <row r="7" spans="1:6" ht="15">
      <c r="A7" s="181"/>
      <c r="E7" s="5"/>
    </row>
    <row r="8" spans="1:6" ht="15">
      <c r="A8" s="181"/>
      <c r="E8" s="5"/>
    </row>
    <row r="9" spans="1:6">
      <c r="F9" s="285"/>
    </row>
    <row r="10" spans="1:6" ht="13.5">
      <c r="B10" s="332" t="s">
        <v>390</v>
      </c>
      <c r="D10" s="206" t="s">
        <v>391</v>
      </c>
      <c r="E10" t="s">
        <v>85</v>
      </c>
    </row>
    <row r="11" spans="1:6" ht="15">
      <c r="A11" s="3" t="s">
        <v>392</v>
      </c>
      <c r="B11" s="332" t="s">
        <v>393</v>
      </c>
      <c r="D11" s="206" t="s">
        <v>394</v>
      </c>
      <c r="E11" t="s">
        <v>3</v>
      </c>
    </row>
    <row r="12" spans="1:6" ht="15">
      <c r="A12" s="3"/>
      <c r="B12" s="3"/>
      <c r="D12" s="3"/>
    </row>
    <row r="13" spans="1:6" ht="15">
      <c r="A13" s="3" t="s">
        <v>395</v>
      </c>
      <c r="B13" s="5" t="s">
        <v>396</v>
      </c>
      <c r="D13" s="256">
        <v>1.5900000000000001E-2</v>
      </c>
      <c r="E13" s="213" t="s">
        <v>659</v>
      </c>
    </row>
    <row r="14" spans="1:6" ht="15">
      <c r="A14" s="3" t="s">
        <v>397</v>
      </c>
      <c r="B14" s="5" t="s">
        <v>398</v>
      </c>
      <c r="D14" s="256">
        <v>1.9E-2</v>
      </c>
      <c r="E14" s="213" t="s">
        <v>660</v>
      </c>
    </row>
    <row r="15" spans="1:6" ht="15">
      <c r="A15" s="3" t="s">
        <v>399</v>
      </c>
      <c r="B15" s="5" t="s">
        <v>400</v>
      </c>
      <c r="D15" s="256">
        <v>8.9999999999999998E-4</v>
      </c>
      <c r="E15" s="213" t="s">
        <v>661</v>
      </c>
    </row>
    <row r="16" spans="1:6" ht="15">
      <c r="A16" s="3" t="s">
        <v>401</v>
      </c>
      <c r="B16" s="5" t="s">
        <v>402</v>
      </c>
      <c r="D16" s="256">
        <v>1.8800000000000001E-2</v>
      </c>
      <c r="E16" s="213" t="s">
        <v>662</v>
      </c>
    </row>
    <row r="17" spans="1:5" ht="15">
      <c r="A17" s="3" t="s">
        <v>403</v>
      </c>
      <c r="B17" s="5" t="s">
        <v>404</v>
      </c>
      <c r="D17" s="256">
        <v>1.44E-2</v>
      </c>
      <c r="E17" s="213" t="s">
        <v>663</v>
      </c>
    </row>
    <row r="18" spans="1:5" ht="15">
      <c r="A18" s="3"/>
      <c r="B18" s="3"/>
      <c r="D18" s="254"/>
    </row>
    <row r="19" spans="1:5" ht="15">
      <c r="A19" s="162" t="s">
        <v>405</v>
      </c>
      <c r="B19" s="163">
        <v>36100</v>
      </c>
      <c r="D19" s="257">
        <v>1.6500000000000001E-2</v>
      </c>
      <c r="E19" s="213" t="s">
        <v>664</v>
      </c>
    </row>
    <row r="20" spans="1:5" ht="15">
      <c r="A20" s="162" t="s">
        <v>406</v>
      </c>
      <c r="B20" s="163" t="s">
        <v>407</v>
      </c>
      <c r="D20" s="257">
        <v>2.01E-2</v>
      </c>
      <c r="E20" s="213" t="s">
        <v>665</v>
      </c>
    </row>
    <row r="21" spans="1:5" ht="15">
      <c r="A21" s="162" t="s">
        <v>408</v>
      </c>
      <c r="B21" s="163" t="s">
        <v>409</v>
      </c>
      <c r="D21" s="257">
        <v>2.1100000000000001E-2</v>
      </c>
      <c r="E21" s="213" t="s">
        <v>666</v>
      </c>
    </row>
    <row r="22" spans="1:5" ht="15">
      <c r="A22" s="162" t="s">
        <v>410</v>
      </c>
      <c r="B22" s="163" t="s">
        <v>411</v>
      </c>
      <c r="D22" s="257">
        <v>1.9400000000000001E-2</v>
      </c>
      <c r="E22" s="213" t="s">
        <v>667</v>
      </c>
    </row>
    <row r="23" spans="1:5" ht="15">
      <c r="A23" s="162" t="s">
        <v>412</v>
      </c>
      <c r="B23" s="163" t="s">
        <v>413</v>
      </c>
      <c r="D23" s="257">
        <v>1.5299999999999999E-2</v>
      </c>
      <c r="E23" s="213" t="s">
        <v>668</v>
      </c>
    </row>
    <row r="24" spans="1:5" ht="15">
      <c r="A24" s="162" t="s">
        <v>414</v>
      </c>
      <c r="B24" s="163" t="s">
        <v>415</v>
      </c>
      <c r="D24" s="257">
        <v>1.7999999999999999E-2</v>
      </c>
      <c r="E24" s="213" t="s">
        <v>669</v>
      </c>
    </row>
    <row r="25" spans="1:5" ht="15">
      <c r="A25" s="162" t="s">
        <v>416</v>
      </c>
      <c r="B25" s="163" t="s">
        <v>417</v>
      </c>
      <c r="D25" s="257">
        <v>1.61E-2</v>
      </c>
      <c r="E25" s="213" t="s">
        <v>670</v>
      </c>
    </row>
    <row r="26" spans="1:5" ht="15">
      <c r="A26" s="162" t="s">
        <v>418</v>
      </c>
      <c r="B26" s="163" t="s">
        <v>419</v>
      </c>
      <c r="D26" s="257">
        <v>0.02</v>
      </c>
      <c r="E26" s="213" t="s">
        <v>671</v>
      </c>
    </row>
    <row r="27" spans="1:5" ht="15">
      <c r="A27" s="162" t="s">
        <v>420</v>
      </c>
      <c r="B27" s="163" t="s">
        <v>421</v>
      </c>
      <c r="D27" s="257">
        <v>6.3E-3</v>
      </c>
      <c r="E27" s="213" t="s">
        <v>672</v>
      </c>
    </row>
    <row r="28" spans="1:5" ht="15">
      <c r="A28" s="162" t="s">
        <v>578</v>
      </c>
      <c r="B28" s="163" t="s">
        <v>422</v>
      </c>
      <c r="D28" s="257">
        <v>6.54E-2</v>
      </c>
      <c r="E28" s="213" t="s">
        <v>673</v>
      </c>
    </row>
    <row r="29" spans="1:5" ht="15">
      <c r="A29" s="162" t="s">
        <v>522</v>
      </c>
      <c r="B29" s="163">
        <v>37100</v>
      </c>
      <c r="D29" s="257">
        <v>4.5199999999999997E-2</v>
      </c>
      <c r="E29" s="213" t="s">
        <v>674</v>
      </c>
    </row>
    <row r="30" spans="1:5" ht="15">
      <c r="A30" s="162" t="s">
        <v>423</v>
      </c>
      <c r="B30" s="163" t="s">
        <v>424</v>
      </c>
      <c r="D30" s="257">
        <v>3.0300000000000001E-2</v>
      </c>
      <c r="E30" s="213" t="s">
        <v>675</v>
      </c>
    </row>
    <row r="31" spans="1:5" ht="15">
      <c r="A31" s="3"/>
      <c r="B31" s="165"/>
      <c r="D31" s="255"/>
    </row>
    <row r="32" spans="1:5" ht="15">
      <c r="A32" s="162" t="s">
        <v>425</v>
      </c>
      <c r="B32" s="163" t="s">
        <v>426</v>
      </c>
      <c r="D32" s="257">
        <v>2.8400000000000002E-2</v>
      </c>
      <c r="E32" s="213" t="s">
        <v>676</v>
      </c>
    </row>
    <row r="33" spans="1:5" ht="15">
      <c r="A33" s="162" t="s">
        <v>427</v>
      </c>
      <c r="B33" s="163" t="s">
        <v>428</v>
      </c>
      <c r="D33" s="257">
        <v>2.8400000000000002E-2</v>
      </c>
      <c r="E33" s="213" t="s">
        <v>676</v>
      </c>
    </row>
    <row r="34" spans="1:5" ht="15">
      <c r="A34" s="162" t="s">
        <v>429</v>
      </c>
      <c r="B34" s="163" t="s">
        <v>430</v>
      </c>
      <c r="D34" s="257">
        <v>9.3200000000000005E-2</v>
      </c>
      <c r="E34" s="213" t="s">
        <v>677</v>
      </c>
    </row>
    <row r="35" spans="1:5" ht="15">
      <c r="A35" s="162" t="s">
        <v>431</v>
      </c>
      <c r="B35" s="163" t="s">
        <v>432</v>
      </c>
      <c r="D35" s="257">
        <v>9.3200000000000005E-2</v>
      </c>
      <c r="E35" s="213" t="s">
        <v>677</v>
      </c>
    </row>
    <row r="36" spans="1:5" ht="15">
      <c r="A36" s="162" t="s">
        <v>574</v>
      </c>
      <c r="B36" s="163">
        <v>39200</v>
      </c>
      <c r="D36" s="257">
        <v>6.0299999999999999E-2</v>
      </c>
      <c r="E36" s="213" t="s">
        <v>678</v>
      </c>
    </row>
    <row r="37" spans="1:5" ht="15">
      <c r="A37" s="162" t="s">
        <v>575</v>
      </c>
      <c r="B37" s="163">
        <v>39210</v>
      </c>
      <c r="D37" s="257">
        <v>6.0299999999999999E-2</v>
      </c>
      <c r="E37" s="213" t="s">
        <v>678</v>
      </c>
    </row>
    <row r="38" spans="1:5" ht="15">
      <c r="A38" s="162" t="s">
        <v>433</v>
      </c>
      <c r="B38" s="163" t="s">
        <v>434</v>
      </c>
      <c r="D38" s="257">
        <v>1.35E-2</v>
      </c>
      <c r="E38" s="213" t="s">
        <v>679</v>
      </c>
    </row>
    <row r="39" spans="1:5" ht="15">
      <c r="A39" s="162" t="s">
        <v>435</v>
      </c>
      <c r="B39" s="163" t="s">
        <v>436</v>
      </c>
      <c r="D39" s="257">
        <v>3.2099999999999997E-2</v>
      </c>
      <c r="E39" s="213" t="s">
        <v>680</v>
      </c>
    </row>
    <row r="40" spans="1:5" ht="15">
      <c r="A40" s="162" t="s">
        <v>437</v>
      </c>
      <c r="B40" s="163" t="s">
        <v>438</v>
      </c>
      <c r="D40" s="257">
        <v>4.0500000000000001E-2</v>
      </c>
      <c r="E40" s="213" t="s">
        <v>681</v>
      </c>
    </row>
    <row r="41" spans="1:5" ht="15">
      <c r="A41" s="162" t="s">
        <v>439</v>
      </c>
      <c r="B41" s="163" t="s">
        <v>440</v>
      </c>
      <c r="D41" s="257">
        <v>4.0599999999999997E-2</v>
      </c>
      <c r="E41" s="213" t="s">
        <v>682</v>
      </c>
    </row>
    <row r="42" spans="1:5" ht="15">
      <c r="A42" s="162" t="s">
        <v>441</v>
      </c>
      <c r="B42" s="163" t="s">
        <v>442</v>
      </c>
      <c r="D42" s="257">
        <v>4.4400000000000002E-2</v>
      </c>
      <c r="E42" s="213" t="s">
        <v>683</v>
      </c>
    </row>
    <row r="43" spans="1:5" ht="15">
      <c r="A43" s="162" t="s">
        <v>509</v>
      </c>
      <c r="B43" s="163">
        <v>39900</v>
      </c>
      <c r="D43" s="257" t="s">
        <v>53</v>
      </c>
      <c r="E43" s="213"/>
    </row>
    <row r="44" spans="1:5" ht="15">
      <c r="A44" s="3"/>
      <c r="B44" s="3"/>
      <c r="C44" s="3"/>
      <c r="D44" s="3"/>
    </row>
    <row r="45" spans="1:5" ht="15">
      <c r="A45" s="283" t="s">
        <v>656</v>
      </c>
      <c r="B45" s="3"/>
      <c r="C45" s="3"/>
      <c r="D45" s="3"/>
    </row>
    <row r="46" spans="1:5" ht="15">
      <c r="A46" s="3"/>
      <c r="B46" s="3"/>
      <c r="C46" s="3"/>
      <c r="D46" s="3"/>
    </row>
    <row r="47" spans="1:5" ht="15">
      <c r="A47" s="3"/>
      <c r="B47" s="3"/>
      <c r="C47" s="3"/>
      <c r="D47" s="3"/>
    </row>
    <row r="48" spans="1:5" ht="15">
      <c r="A48" s="3"/>
      <c r="B48" s="3"/>
      <c r="C48" s="3"/>
      <c r="D48" s="3"/>
    </row>
    <row r="49" spans="1:4" ht="15">
      <c r="A49" s="3"/>
      <c r="B49" s="3"/>
      <c r="C49" s="3"/>
      <c r="D49" s="3"/>
    </row>
  </sheetData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topLeftCell="A4" workbookViewId="0">
      <selection activeCell="C27" sqref="C27"/>
    </sheetView>
  </sheetViews>
  <sheetFormatPr defaultColWidth="9.140625" defaultRowHeight="12.75"/>
  <cols>
    <col min="1" max="1" width="7.7109375" style="213" customWidth="1"/>
    <col min="2" max="2" width="36.7109375" style="213" customWidth="1"/>
    <col min="3" max="3" width="20.7109375" style="213" customWidth="1"/>
    <col min="4" max="4" width="25.7109375" style="213" customWidth="1"/>
    <col min="5" max="16384" width="9.140625" style="213"/>
  </cols>
  <sheetData>
    <row r="2" spans="1:7" ht="15">
      <c r="B2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525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2016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341</v>
      </c>
      <c r="G8" s="3"/>
    </row>
    <row r="9" spans="1:7" ht="15">
      <c r="C9" s="3"/>
      <c r="D9" s="3"/>
      <c r="E9" s="3"/>
      <c r="F9" s="5" t="s">
        <v>589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526</v>
      </c>
      <c r="D11" s="7" t="s">
        <v>85</v>
      </c>
      <c r="F11" s="3"/>
    </row>
    <row r="12" spans="1:7" ht="15">
      <c r="A12" s="30" t="s">
        <v>68</v>
      </c>
      <c r="B12" s="3"/>
      <c r="C12" s="23" t="s">
        <v>527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156</v>
      </c>
      <c r="C14" s="3"/>
      <c r="D14" s="34"/>
      <c r="F14" s="34"/>
    </row>
    <row r="15" spans="1:7" ht="15">
      <c r="A15" s="219">
        <v>2</v>
      </c>
      <c r="B15" s="216" t="s">
        <v>528</v>
      </c>
      <c r="C15" s="288">
        <v>731108007</v>
      </c>
      <c r="D15" s="213" t="s">
        <v>620</v>
      </c>
    </row>
    <row r="16" spans="1:7" ht="15">
      <c r="A16" s="219">
        <v>3</v>
      </c>
      <c r="B16" s="217" t="s">
        <v>529</v>
      </c>
      <c r="C16" s="288">
        <v>736604872.55000019</v>
      </c>
      <c r="D16" s="213" t="s">
        <v>651</v>
      </c>
    </row>
    <row r="17" spans="1:7" ht="15">
      <c r="A17" s="219">
        <v>4</v>
      </c>
      <c r="B17" s="216" t="s">
        <v>530</v>
      </c>
      <c r="C17" s="288">
        <v>739922024.6400001</v>
      </c>
      <c r="D17" s="213" t="s">
        <v>651</v>
      </c>
    </row>
    <row r="18" spans="1:7" ht="15">
      <c r="A18" s="219">
        <v>5</v>
      </c>
      <c r="B18" s="216" t="s">
        <v>531</v>
      </c>
      <c r="C18" s="288">
        <v>750364495.38</v>
      </c>
      <c r="D18" s="213" t="s">
        <v>651</v>
      </c>
    </row>
    <row r="19" spans="1:7" ht="15">
      <c r="A19" s="219">
        <v>6</v>
      </c>
      <c r="B19" s="216" t="s">
        <v>532</v>
      </c>
      <c r="C19" s="288">
        <v>751857994.96000004</v>
      </c>
      <c r="D19" s="213" t="s">
        <v>651</v>
      </c>
    </row>
    <row r="20" spans="1:7" ht="15">
      <c r="A20" s="219">
        <v>7</v>
      </c>
      <c r="B20" s="216" t="s">
        <v>533</v>
      </c>
      <c r="C20" s="288">
        <v>754490704.71000028</v>
      </c>
      <c r="D20" s="213" t="s">
        <v>651</v>
      </c>
    </row>
    <row r="21" spans="1:7" ht="15">
      <c r="A21" s="219">
        <v>8</v>
      </c>
      <c r="B21" s="216" t="s">
        <v>534</v>
      </c>
      <c r="C21" s="288">
        <v>758454371.9000001</v>
      </c>
      <c r="D21" s="213" t="s">
        <v>651</v>
      </c>
    </row>
    <row r="22" spans="1:7" ht="15">
      <c r="A22" s="219">
        <v>9</v>
      </c>
      <c r="B22" s="216" t="s">
        <v>535</v>
      </c>
      <c r="C22" s="288">
        <v>760088897.59000015</v>
      </c>
      <c r="D22" s="213" t="s">
        <v>651</v>
      </c>
    </row>
    <row r="23" spans="1:7" ht="15">
      <c r="A23" s="219">
        <v>10</v>
      </c>
      <c r="B23" s="216" t="s">
        <v>536</v>
      </c>
      <c r="C23" s="288">
        <v>760195729.04000008</v>
      </c>
      <c r="D23" s="213" t="s">
        <v>651</v>
      </c>
    </row>
    <row r="24" spans="1:7" ht="15">
      <c r="A24" s="219">
        <v>11</v>
      </c>
      <c r="B24" s="216" t="s">
        <v>537</v>
      </c>
      <c r="C24" s="288">
        <v>764481049.4799999</v>
      </c>
      <c r="D24" s="213" t="s">
        <v>651</v>
      </c>
    </row>
    <row r="25" spans="1:7" ht="15">
      <c r="A25" s="219">
        <v>12</v>
      </c>
      <c r="B25" s="216" t="s">
        <v>538</v>
      </c>
      <c r="C25" s="288">
        <v>768208166.78000009</v>
      </c>
      <c r="D25" s="213" t="s">
        <v>651</v>
      </c>
    </row>
    <row r="26" spans="1:7" ht="15">
      <c r="A26" s="219">
        <v>13</v>
      </c>
      <c r="B26" s="216" t="s">
        <v>539</v>
      </c>
      <c r="C26" s="288">
        <v>771341593.05000007</v>
      </c>
      <c r="D26" s="213" t="s">
        <v>651</v>
      </c>
    </row>
    <row r="27" spans="1:7" ht="15">
      <c r="A27" s="219">
        <v>14</v>
      </c>
      <c r="B27" s="217" t="s">
        <v>540</v>
      </c>
      <c r="C27" s="288">
        <v>777425740</v>
      </c>
      <c r="D27" s="213" t="s">
        <v>548</v>
      </c>
    </row>
    <row r="28" spans="1:7" ht="15">
      <c r="C28" s="253"/>
    </row>
    <row r="29" spans="1:7" ht="15">
      <c r="A29" s="219">
        <v>15</v>
      </c>
      <c r="B29" s="216" t="s">
        <v>541</v>
      </c>
      <c r="C29" s="100">
        <f>AVERAGE(C15:C27)</f>
        <v>755734126.69846153</v>
      </c>
      <c r="G29" s="3"/>
    </row>
    <row r="30" spans="1:7" ht="15">
      <c r="C30" s="141"/>
      <c r="G30" s="30"/>
    </row>
    <row r="31" spans="1:7" ht="19.5">
      <c r="A31" s="30">
        <v>16</v>
      </c>
      <c r="B31" s="218" t="s">
        <v>542</v>
      </c>
      <c r="C31" s="141"/>
      <c r="D31" s="34"/>
      <c r="F31" s="34"/>
    </row>
    <row r="32" spans="1:7" ht="15">
      <c r="A32" s="219">
        <v>17</v>
      </c>
      <c r="B32" s="216" t="s">
        <v>528</v>
      </c>
      <c r="C32" s="288">
        <v>110590806.86000001</v>
      </c>
      <c r="D32" s="213" t="s">
        <v>621</v>
      </c>
    </row>
    <row r="33" spans="1:6" ht="15">
      <c r="A33" s="219">
        <v>18</v>
      </c>
      <c r="B33" s="217" t="s">
        <v>529</v>
      </c>
      <c r="C33" s="288">
        <v>111527032.66000001</v>
      </c>
      <c r="D33" s="213" t="s">
        <v>651</v>
      </c>
    </row>
    <row r="34" spans="1:6" ht="15">
      <c r="A34" s="219">
        <v>19</v>
      </c>
      <c r="B34" s="216" t="s">
        <v>530</v>
      </c>
      <c r="C34" s="288">
        <v>112011435.23999999</v>
      </c>
      <c r="D34" s="213" t="s">
        <v>651</v>
      </c>
    </row>
    <row r="35" spans="1:6" ht="15">
      <c r="A35" s="219">
        <v>20</v>
      </c>
      <c r="B35" s="216" t="s">
        <v>531</v>
      </c>
      <c r="C35" s="288">
        <v>114096114.14999999</v>
      </c>
      <c r="D35" s="213" t="s">
        <v>651</v>
      </c>
    </row>
    <row r="36" spans="1:6" ht="15">
      <c r="A36" s="219">
        <v>21</v>
      </c>
      <c r="B36" s="216" t="s">
        <v>532</v>
      </c>
      <c r="C36" s="288">
        <v>115019512.05999999</v>
      </c>
      <c r="D36" s="213" t="s">
        <v>651</v>
      </c>
    </row>
    <row r="37" spans="1:6" ht="15">
      <c r="A37" s="219">
        <v>22</v>
      </c>
      <c r="B37" s="216" t="s">
        <v>533</v>
      </c>
      <c r="C37" s="288">
        <v>115027442.64999999</v>
      </c>
      <c r="D37" s="213" t="s">
        <v>651</v>
      </c>
    </row>
    <row r="38" spans="1:6" ht="15">
      <c r="A38" s="219">
        <v>23</v>
      </c>
      <c r="B38" s="216" t="s">
        <v>534</v>
      </c>
      <c r="C38" s="288">
        <v>114908101.20999999</v>
      </c>
      <c r="D38" s="213" t="s">
        <v>651</v>
      </c>
    </row>
    <row r="39" spans="1:6" ht="15">
      <c r="A39" s="219">
        <v>24</v>
      </c>
      <c r="B39" s="216" t="s">
        <v>535</v>
      </c>
      <c r="C39" s="288">
        <v>115029833.50999999</v>
      </c>
      <c r="D39" s="213" t="s">
        <v>651</v>
      </c>
    </row>
    <row r="40" spans="1:6" ht="15">
      <c r="A40" s="219">
        <v>25</v>
      </c>
      <c r="B40" s="216" t="s">
        <v>536</v>
      </c>
      <c r="C40" s="288">
        <v>113384826.95999999</v>
      </c>
      <c r="D40" s="213" t="s">
        <v>651</v>
      </c>
    </row>
    <row r="41" spans="1:6" ht="15">
      <c r="A41" s="219">
        <v>26</v>
      </c>
      <c r="B41" s="216" t="s">
        <v>537</v>
      </c>
      <c r="C41" s="288">
        <v>120792166.54999998</v>
      </c>
      <c r="D41" s="213" t="s">
        <v>651</v>
      </c>
    </row>
    <row r="42" spans="1:6" ht="15">
      <c r="A42" s="219">
        <v>27</v>
      </c>
      <c r="B42" s="216" t="s">
        <v>538</v>
      </c>
      <c r="C42" s="288">
        <v>121073742.34999999</v>
      </c>
      <c r="D42" s="213" t="s">
        <v>651</v>
      </c>
    </row>
    <row r="43" spans="1:6" ht="15">
      <c r="A43" s="219">
        <v>28</v>
      </c>
      <c r="B43" s="216" t="s">
        <v>539</v>
      </c>
      <c r="C43" s="288">
        <v>119956321.07999998</v>
      </c>
      <c r="D43" s="213" t="s">
        <v>651</v>
      </c>
    </row>
    <row r="44" spans="1:6" ht="15">
      <c r="A44" s="219">
        <v>29</v>
      </c>
      <c r="B44" s="217" t="s">
        <v>540</v>
      </c>
      <c r="C44" s="288">
        <v>124899597.12999998</v>
      </c>
      <c r="D44" s="213" t="s">
        <v>543</v>
      </c>
    </row>
    <row r="45" spans="1:6" ht="15">
      <c r="C45" s="141"/>
    </row>
    <row r="46" spans="1:6" ht="15">
      <c r="A46" s="219">
        <v>30</v>
      </c>
      <c r="B46" s="216" t="s">
        <v>544</v>
      </c>
      <c r="C46" s="100">
        <f>AVERAGE(C32:C44)</f>
        <v>116024379.41615383</v>
      </c>
    </row>
    <row r="47" spans="1:6" ht="15">
      <c r="C47" s="141"/>
    </row>
    <row r="48" spans="1:6" ht="19.5">
      <c r="A48" s="30">
        <v>31</v>
      </c>
      <c r="B48" s="218" t="s">
        <v>545</v>
      </c>
      <c r="C48" s="141"/>
      <c r="D48" s="34"/>
      <c r="F48" s="34"/>
    </row>
    <row r="49" spans="1:4" ht="15">
      <c r="A49" s="219">
        <v>32</v>
      </c>
      <c r="B49" s="216" t="s">
        <v>528</v>
      </c>
      <c r="C49" s="289">
        <v>1601584984.3500004</v>
      </c>
      <c r="D49" s="213" t="s">
        <v>622</v>
      </c>
    </row>
    <row r="50" spans="1:4" ht="15">
      <c r="A50" s="219">
        <v>33</v>
      </c>
      <c r="B50" s="217" t="s">
        <v>529</v>
      </c>
      <c r="C50" s="289">
        <v>1611547577.0600004</v>
      </c>
      <c r="D50" s="213" t="s">
        <v>651</v>
      </c>
    </row>
    <row r="51" spans="1:4" ht="15">
      <c r="A51" s="219">
        <v>34</v>
      </c>
      <c r="B51" s="216" t="s">
        <v>530</v>
      </c>
      <c r="C51" s="289">
        <v>1617710487.1800003</v>
      </c>
      <c r="D51" s="213" t="s">
        <v>651</v>
      </c>
    </row>
    <row r="52" spans="1:4" ht="15">
      <c r="A52" s="219">
        <v>35</v>
      </c>
      <c r="B52" s="216" t="s">
        <v>531</v>
      </c>
      <c r="C52" s="289">
        <v>1632909282.25</v>
      </c>
      <c r="D52" s="213" t="s">
        <v>651</v>
      </c>
    </row>
    <row r="53" spans="1:4" ht="15">
      <c r="A53" s="219">
        <v>36</v>
      </c>
      <c r="B53" s="216" t="s">
        <v>532</v>
      </c>
      <c r="C53" s="289">
        <v>1635685968.3099999</v>
      </c>
      <c r="D53" s="213" t="s">
        <v>651</v>
      </c>
    </row>
    <row r="54" spans="1:4" ht="15">
      <c r="A54" s="219">
        <v>37</v>
      </c>
      <c r="B54" s="216" t="s">
        <v>533</v>
      </c>
      <c r="C54" s="289">
        <v>1637055303.2200003</v>
      </c>
      <c r="D54" s="213" t="s">
        <v>651</v>
      </c>
    </row>
    <row r="55" spans="1:4" ht="15">
      <c r="A55" s="219">
        <v>38</v>
      </c>
      <c r="B55" s="216" t="s">
        <v>534</v>
      </c>
      <c r="C55" s="289">
        <v>1636898425.1000004</v>
      </c>
      <c r="D55" s="213" t="s">
        <v>651</v>
      </c>
    </row>
    <row r="56" spans="1:4" ht="15">
      <c r="A56" s="219">
        <v>39</v>
      </c>
      <c r="B56" s="216" t="s">
        <v>535</v>
      </c>
      <c r="C56" s="289">
        <v>1639547448.3500001</v>
      </c>
      <c r="D56" s="213" t="s">
        <v>651</v>
      </c>
    </row>
    <row r="57" spans="1:4" ht="15">
      <c r="A57" s="219">
        <v>40</v>
      </c>
      <c r="B57" s="216" t="s">
        <v>536</v>
      </c>
      <c r="C57" s="289">
        <v>1637834628.8900003</v>
      </c>
      <c r="D57" s="213" t="s">
        <v>651</v>
      </c>
    </row>
    <row r="58" spans="1:4" ht="15">
      <c r="A58" s="219">
        <v>41</v>
      </c>
      <c r="B58" s="216" t="s">
        <v>537</v>
      </c>
      <c r="C58" s="289">
        <v>1653751716.76</v>
      </c>
      <c r="D58" s="213" t="s">
        <v>651</v>
      </c>
    </row>
    <row r="59" spans="1:4" ht="15">
      <c r="A59" s="219">
        <v>42</v>
      </c>
      <c r="B59" s="216" t="s">
        <v>538</v>
      </c>
      <c r="C59" s="289">
        <v>1658373019.7800002</v>
      </c>
      <c r="D59" s="213" t="s">
        <v>651</v>
      </c>
    </row>
    <row r="60" spans="1:4" ht="15">
      <c r="A60" s="219">
        <v>43</v>
      </c>
      <c r="B60" s="216" t="s">
        <v>539</v>
      </c>
      <c r="C60" s="289">
        <v>1662017556.9600003</v>
      </c>
      <c r="D60" s="213" t="s">
        <v>651</v>
      </c>
    </row>
    <row r="61" spans="1:4" ht="15">
      <c r="A61" s="219">
        <v>44</v>
      </c>
      <c r="B61" s="217" t="s">
        <v>540</v>
      </c>
      <c r="C61" s="290">
        <v>1684848776.9799998</v>
      </c>
      <c r="D61" s="213" t="s">
        <v>546</v>
      </c>
    </row>
    <row r="62" spans="1:4" ht="15">
      <c r="C62" s="141"/>
    </row>
    <row r="63" spans="1:4" ht="15">
      <c r="A63" s="219">
        <v>45</v>
      </c>
      <c r="B63" s="216" t="s">
        <v>547</v>
      </c>
      <c r="C63" s="100">
        <f>AVERAGE(C49:C61)</f>
        <v>1639212705.7838464</v>
      </c>
    </row>
  </sheetData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topLeftCell="A10" workbookViewId="0">
      <selection activeCell="C15" sqref="C15"/>
    </sheetView>
  </sheetViews>
  <sheetFormatPr defaultColWidth="9.140625" defaultRowHeight="12.75"/>
  <cols>
    <col min="1" max="1" width="7.7109375" style="213" bestFit="1" customWidth="1"/>
    <col min="2" max="2" width="36.5703125" style="213" customWidth="1"/>
    <col min="3" max="3" width="20.85546875" style="213" customWidth="1"/>
    <col min="4" max="4" width="26.28515625" style="213" bestFit="1" customWidth="1"/>
    <col min="5" max="5" width="10.28515625" style="213" bestFit="1" customWidth="1"/>
    <col min="6" max="16384" width="9.140625" style="213"/>
  </cols>
  <sheetData>
    <row r="2" spans="1:7" ht="15">
      <c r="B2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549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2016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341</v>
      </c>
      <c r="G8" s="3"/>
    </row>
    <row r="9" spans="1:7" ht="15">
      <c r="C9" s="3"/>
      <c r="D9" s="3"/>
      <c r="E9" s="3"/>
      <c r="F9" s="5" t="s">
        <v>588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526</v>
      </c>
      <c r="D11" s="7" t="s">
        <v>85</v>
      </c>
      <c r="F11" s="3"/>
    </row>
    <row r="12" spans="1:7" ht="15">
      <c r="A12" s="30" t="s">
        <v>68</v>
      </c>
      <c r="B12" s="3"/>
      <c r="C12" s="23" t="s">
        <v>527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156</v>
      </c>
      <c r="C14" s="3"/>
      <c r="D14" s="34"/>
      <c r="F14" s="34"/>
    </row>
    <row r="15" spans="1:7" ht="15">
      <c r="A15" s="219">
        <f>1+A14</f>
        <v>2</v>
      </c>
      <c r="B15" s="216" t="s">
        <v>528</v>
      </c>
      <c r="C15" s="286">
        <v>279706337.41999996</v>
      </c>
      <c r="D15" s="213" t="s">
        <v>564</v>
      </c>
    </row>
    <row r="16" spans="1:7" ht="15">
      <c r="A16" s="219">
        <f t="shared" ref="A16:A27" si="0">1+A15</f>
        <v>3</v>
      </c>
      <c r="B16" s="217" t="s">
        <v>529</v>
      </c>
      <c r="C16" s="286">
        <v>280002473.04999995</v>
      </c>
      <c r="D16" s="213" t="s">
        <v>651</v>
      </c>
    </row>
    <row r="17" spans="1:7" ht="15">
      <c r="A17" s="219">
        <f t="shared" si="0"/>
        <v>4</v>
      </c>
      <c r="B17" s="216" t="s">
        <v>530</v>
      </c>
      <c r="C17" s="286">
        <v>280908580.96999997</v>
      </c>
      <c r="D17" s="213" t="s">
        <v>651</v>
      </c>
    </row>
    <row r="18" spans="1:7" ht="15">
      <c r="A18" s="219">
        <f t="shared" si="0"/>
        <v>5</v>
      </c>
      <c r="B18" s="216" t="s">
        <v>531</v>
      </c>
      <c r="C18" s="286">
        <v>281795891.00999999</v>
      </c>
      <c r="D18" s="213" t="s">
        <v>651</v>
      </c>
    </row>
    <row r="19" spans="1:7" ht="15">
      <c r="A19" s="219">
        <f t="shared" si="0"/>
        <v>6</v>
      </c>
      <c r="B19" s="216" t="s">
        <v>532</v>
      </c>
      <c r="C19" s="286">
        <v>282590216.15000004</v>
      </c>
      <c r="D19" s="213" t="s">
        <v>651</v>
      </c>
    </row>
    <row r="20" spans="1:7" ht="15">
      <c r="A20" s="219">
        <f t="shared" si="0"/>
        <v>7</v>
      </c>
      <c r="B20" s="216" t="s">
        <v>533</v>
      </c>
      <c r="C20" s="286">
        <v>283226133.31</v>
      </c>
      <c r="D20" s="213" t="s">
        <v>651</v>
      </c>
    </row>
    <row r="21" spans="1:7" ht="15">
      <c r="A21" s="219">
        <f t="shared" si="0"/>
        <v>8</v>
      </c>
      <c r="B21" s="216" t="s">
        <v>534</v>
      </c>
      <c r="C21" s="286">
        <v>283628647.27999991</v>
      </c>
      <c r="D21" s="213" t="s">
        <v>651</v>
      </c>
    </row>
    <row r="22" spans="1:7" ht="15">
      <c r="A22" s="219">
        <f t="shared" si="0"/>
        <v>9</v>
      </c>
      <c r="B22" s="216" t="s">
        <v>535</v>
      </c>
      <c r="C22" s="286">
        <v>284111004.18000001</v>
      </c>
      <c r="D22" s="213" t="s">
        <v>651</v>
      </c>
    </row>
    <row r="23" spans="1:7" ht="15">
      <c r="A23" s="219">
        <f t="shared" si="0"/>
        <v>10</v>
      </c>
      <c r="B23" s="216" t="s">
        <v>536</v>
      </c>
      <c r="C23" s="286">
        <v>283696937.81</v>
      </c>
      <c r="D23" s="213" t="s">
        <v>651</v>
      </c>
    </row>
    <row r="24" spans="1:7" ht="15">
      <c r="A24" s="219">
        <f t="shared" si="0"/>
        <v>11</v>
      </c>
      <c r="B24" s="216" t="s">
        <v>537</v>
      </c>
      <c r="C24" s="286">
        <v>284032484.12999994</v>
      </c>
      <c r="D24" s="213" t="s">
        <v>651</v>
      </c>
      <c r="E24" s="187"/>
    </row>
    <row r="25" spans="1:7" ht="15">
      <c r="A25" s="219">
        <f t="shared" si="0"/>
        <v>12</v>
      </c>
      <c r="B25" s="216" t="s">
        <v>538</v>
      </c>
      <c r="C25" s="286">
        <v>282379846.79000008</v>
      </c>
      <c r="D25" s="213" t="s">
        <v>651</v>
      </c>
      <c r="E25" s="187"/>
    </row>
    <row r="26" spans="1:7" ht="15">
      <c r="A26" s="219">
        <f t="shared" si="0"/>
        <v>13</v>
      </c>
      <c r="B26" s="216" t="s">
        <v>539</v>
      </c>
      <c r="C26" s="286">
        <v>282983273.59000003</v>
      </c>
      <c r="D26" s="213" t="s">
        <v>651</v>
      </c>
      <c r="E26" s="187"/>
    </row>
    <row r="27" spans="1:7" ht="15">
      <c r="A27" s="219">
        <f t="shared" si="0"/>
        <v>14</v>
      </c>
      <c r="B27" s="217" t="s">
        <v>540</v>
      </c>
      <c r="C27" s="286">
        <v>284408810.88</v>
      </c>
      <c r="D27" s="213" t="s">
        <v>565</v>
      </c>
      <c r="E27" s="187"/>
    </row>
    <row r="29" spans="1:7" ht="15">
      <c r="A29" s="219">
        <f>1+A27</f>
        <v>15</v>
      </c>
      <c r="B29" s="216" t="s">
        <v>541</v>
      </c>
      <c r="C29" s="100">
        <f>AVERAGE(C15:C27)</f>
        <v>282574664.35153848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8" t="s">
        <v>542</v>
      </c>
      <c r="C31" s="141"/>
      <c r="D31" s="34"/>
      <c r="F31" s="34"/>
    </row>
    <row r="32" spans="1:7" ht="15">
      <c r="A32" s="219">
        <f>1+A31</f>
        <v>17</v>
      </c>
      <c r="B32" s="216" t="s">
        <v>528</v>
      </c>
      <c r="C32" s="288">
        <v>28299577.899999999</v>
      </c>
      <c r="D32" s="213" t="s">
        <v>550</v>
      </c>
      <c r="E32" s="322"/>
    </row>
    <row r="33" spans="1:5" ht="15">
      <c r="A33" s="219">
        <f t="shared" ref="A33:A44" si="1">1+A32</f>
        <v>18</v>
      </c>
      <c r="B33" s="217" t="s">
        <v>529</v>
      </c>
      <c r="C33" s="288">
        <v>28789034.379999995</v>
      </c>
      <c r="D33" s="213" t="s">
        <v>651</v>
      </c>
    </row>
    <row r="34" spans="1:5" ht="15">
      <c r="A34" s="219">
        <f t="shared" si="1"/>
        <v>19</v>
      </c>
      <c r="B34" s="216" t="s">
        <v>530</v>
      </c>
      <c r="C34" s="288">
        <v>29133675.949999996</v>
      </c>
      <c r="D34" s="213" t="s">
        <v>651</v>
      </c>
    </row>
    <row r="35" spans="1:5" ht="15">
      <c r="A35" s="219">
        <f t="shared" si="1"/>
        <v>20</v>
      </c>
      <c r="B35" s="216" t="s">
        <v>531</v>
      </c>
      <c r="C35" s="288">
        <v>29629558.669999994</v>
      </c>
      <c r="D35" s="213" t="s">
        <v>651</v>
      </c>
    </row>
    <row r="36" spans="1:5" ht="15">
      <c r="A36" s="219">
        <f t="shared" si="1"/>
        <v>21</v>
      </c>
      <c r="B36" s="216" t="s">
        <v>532</v>
      </c>
      <c r="C36" s="288">
        <v>30140444.800000001</v>
      </c>
      <c r="D36" s="213" t="s">
        <v>651</v>
      </c>
    </row>
    <row r="37" spans="1:5" ht="15">
      <c r="A37" s="219">
        <f t="shared" si="1"/>
        <v>22</v>
      </c>
      <c r="B37" s="216" t="s">
        <v>533</v>
      </c>
      <c r="C37" s="288">
        <v>30650398.890000001</v>
      </c>
      <c r="D37" s="213" t="s">
        <v>651</v>
      </c>
    </row>
    <row r="38" spans="1:5" ht="15">
      <c r="A38" s="219">
        <f t="shared" si="1"/>
        <v>23</v>
      </c>
      <c r="B38" s="216" t="s">
        <v>534</v>
      </c>
      <c r="C38" s="288">
        <v>31160376.510000002</v>
      </c>
      <c r="D38" s="213" t="s">
        <v>651</v>
      </c>
    </row>
    <row r="39" spans="1:5" ht="15">
      <c r="A39" s="219">
        <f t="shared" si="1"/>
        <v>24</v>
      </c>
      <c r="B39" s="216" t="s">
        <v>535</v>
      </c>
      <c r="C39" s="288">
        <v>31658987.499999996</v>
      </c>
      <c r="D39" s="213" t="s">
        <v>651</v>
      </c>
    </row>
    <row r="40" spans="1:5" ht="15">
      <c r="A40" s="219">
        <f t="shared" si="1"/>
        <v>25</v>
      </c>
      <c r="B40" s="216" t="s">
        <v>536</v>
      </c>
      <c r="C40" s="288">
        <v>30461447.579999998</v>
      </c>
      <c r="D40" s="213" t="s">
        <v>651</v>
      </c>
    </row>
    <row r="41" spans="1:5" ht="15">
      <c r="A41" s="219">
        <f t="shared" si="1"/>
        <v>26</v>
      </c>
      <c r="B41" s="216" t="s">
        <v>537</v>
      </c>
      <c r="C41" s="288">
        <v>30933043.110000003</v>
      </c>
      <c r="D41" s="213" t="s">
        <v>651</v>
      </c>
    </row>
    <row r="42" spans="1:5" ht="15">
      <c r="A42" s="219">
        <f t="shared" si="1"/>
        <v>27</v>
      </c>
      <c r="B42" s="216" t="s">
        <v>538</v>
      </c>
      <c r="C42" s="288">
        <v>31417535.969999999</v>
      </c>
      <c r="D42" s="213" t="s">
        <v>651</v>
      </c>
    </row>
    <row r="43" spans="1:5" ht="15">
      <c r="A43" s="219">
        <f t="shared" si="1"/>
        <v>28</v>
      </c>
      <c r="B43" s="216" t="s">
        <v>539</v>
      </c>
      <c r="C43" s="288">
        <v>30170706.369999997</v>
      </c>
      <c r="D43" s="213" t="s">
        <v>651</v>
      </c>
    </row>
    <row r="44" spans="1:5" ht="15">
      <c r="A44" s="219">
        <f t="shared" si="1"/>
        <v>29</v>
      </c>
      <c r="B44" s="217" t="s">
        <v>540</v>
      </c>
      <c r="C44" s="288">
        <v>30713861.59</v>
      </c>
      <c r="D44" s="213" t="s">
        <v>551</v>
      </c>
      <c r="E44" s="322"/>
    </row>
    <row r="45" spans="1:5" ht="15">
      <c r="C45" s="141"/>
    </row>
    <row r="46" spans="1:5" ht="15">
      <c r="A46" s="219">
        <f>1+A44</f>
        <v>30</v>
      </c>
      <c r="B46" s="216" t="s">
        <v>544</v>
      </c>
      <c r="C46" s="100">
        <f>AVERAGE(C32:C44)</f>
        <v>30242973.016923074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36"/>
  <sheetViews>
    <sheetView showGridLines="0" zoomScale="75" zoomScaleNormal="75" workbookViewId="0">
      <selection activeCell="A4" sqref="A4:G36"/>
    </sheetView>
  </sheetViews>
  <sheetFormatPr defaultColWidth="9.140625" defaultRowHeight="12.75"/>
  <cols>
    <col min="1" max="1" width="7.7109375" style="213" bestFit="1" customWidth="1"/>
    <col min="2" max="2" width="66" style="213" bestFit="1" customWidth="1"/>
    <col min="3" max="3" width="37.140625" style="213" customWidth="1"/>
    <col min="4" max="4" width="21" style="213" customWidth="1"/>
    <col min="5" max="5" width="22.28515625" style="213" customWidth="1"/>
    <col min="6" max="6" width="19.140625" style="213" customWidth="1"/>
    <col min="7" max="7" width="12.140625" style="213" customWidth="1"/>
    <col min="8" max="16384" width="9.140625" style="213"/>
  </cols>
  <sheetData>
    <row r="2" spans="1:7" ht="15">
      <c r="B2" s="3"/>
    </row>
    <row r="3" spans="1:7" ht="15">
      <c r="B3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552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2016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341</v>
      </c>
      <c r="G8" s="3"/>
    </row>
    <row r="9" spans="1:7" ht="15">
      <c r="C9" s="3"/>
      <c r="D9" s="3"/>
      <c r="E9" s="3"/>
      <c r="F9" s="5" t="s">
        <v>587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553</v>
      </c>
      <c r="D11" s="23" t="s">
        <v>554</v>
      </c>
      <c r="E11" s="23" t="s">
        <v>555</v>
      </c>
      <c r="F11" s="7" t="s">
        <v>85</v>
      </c>
    </row>
    <row r="12" spans="1:7" ht="15">
      <c r="A12" s="30" t="s">
        <v>68</v>
      </c>
      <c r="B12" s="3"/>
      <c r="C12" s="23" t="s">
        <v>527</v>
      </c>
      <c r="D12" s="23" t="s">
        <v>527</v>
      </c>
      <c r="E12" s="23" t="s">
        <v>527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36">
        <v>1</v>
      </c>
      <c r="B14" s="218" t="s">
        <v>556</v>
      </c>
      <c r="C14" s="323"/>
      <c r="D14" s="323"/>
      <c r="E14" s="323"/>
      <c r="F14" s="324"/>
      <c r="G14" s="323"/>
    </row>
    <row r="15" spans="1:7" ht="19.5">
      <c r="A15" s="336"/>
      <c r="B15" s="338"/>
      <c r="C15" s="341"/>
      <c r="D15" s="341"/>
      <c r="E15" s="325"/>
      <c r="F15" s="326"/>
      <c r="G15" s="323"/>
    </row>
    <row r="16" spans="1:7" ht="19.5">
      <c r="A16" s="336"/>
      <c r="B16" s="338"/>
      <c r="C16" s="341"/>
      <c r="D16" s="341"/>
      <c r="E16" s="325"/>
      <c r="F16" s="326"/>
      <c r="G16" s="323"/>
    </row>
    <row r="17" spans="1:8" ht="19.5">
      <c r="A17" s="336"/>
      <c r="B17" s="338"/>
      <c r="C17" s="341"/>
      <c r="D17" s="341"/>
      <c r="E17" s="325"/>
      <c r="F17" s="326"/>
      <c r="G17" s="323"/>
    </row>
    <row r="18" spans="1:8" ht="19.5">
      <c r="A18" s="336"/>
      <c r="B18" s="338"/>
      <c r="C18" s="341"/>
      <c r="D18" s="341"/>
      <c r="E18" s="325"/>
      <c r="F18" s="326"/>
      <c r="G18" s="323"/>
    </row>
    <row r="19" spans="1:8" ht="19.5">
      <c r="B19" s="218"/>
      <c r="C19" s="323"/>
      <c r="D19" s="323"/>
      <c r="E19" s="323"/>
      <c r="F19" s="323"/>
      <c r="G19" s="323"/>
    </row>
    <row r="20" spans="1:8" ht="19.5">
      <c r="A20" s="219">
        <v>2</v>
      </c>
      <c r="B20" s="339" t="s">
        <v>557</v>
      </c>
      <c r="C20" s="333">
        <v>-265267582</v>
      </c>
      <c r="D20" s="333">
        <v>-286349156</v>
      </c>
      <c r="E20" s="335">
        <f>AVERAGE(C20:D20)</f>
        <v>-275808369</v>
      </c>
      <c r="F20" s="3" t="s">
        <v>657</v>
      </c>
      <c r="G20" s="274"/>
    </row>
    <row r="21" spans="1:8" ht="19.5">
      <c r="B21" s="218"/>
      <c r="C21" s="219"/>
      <c r="D21" s="219"/>
      <c r="E21" s="323"/>
      <c r="F21" s="3"/>
      <c r="G21" s="327"/>
    </row>
    <row r="22" spans="1:8" ht="19.5">
      <c r="A22" s="337">
        <v>3</v>
      </c>
      <c r="B22" s="218" t="s">
        <v>558</v>
      </c>
      <c r="C22" s="176"/>
      <c r="D22" s="176"/>
      <c r="E22" s="323"/>
      <c r="F22" s="349"/>
      <c r="G22" s="323"/>
    </row>
    <row r="23" spans="1:8" ht="19.5">
      <c r="A23" s="219"/>
      <c r="B23" s="339"/>
      <c r="C23" s="348"/>
      <c r="D23" s="348"/>
      <c r="E23" s="328"/>
      <c r="F23" s="350"/>
      <c r="G23" s="323"/>
    </row>
    <row r="24" spans="1:8" ht="19.5">
      <c r="A24" s="219"/>
      <c r="B24" s="340"/>
      <c r="C24" s="348"/>
      <c r="D24" s="348"/>
      <c r="E24" s="329"/>
      <c r="F24" s="350"/>
      <c r="G24" s="323"/>
    </row>
    <row r="25" spans="1:8" ht="19.5">
      <c r="A25" s="219"/>
      <c r="B25" s="339"/>
      <c r="C25" s="348"/>
      <c r="D25" s="348"/>
      <c r="E25" s="329"/>
      <c r="F25" s="350"/>
      <c r="G25" s="323"/>
    </row>
    <row r="26" spans="1:8" ht="19.5">
      <c r="A26" s="219"/>
      <c r="B26" s="339"/>
      <c r="C26" s="348"/>
      <c r="D26" s="348"/>
      <c r="E26" s="329"/>
      <c r="F26" s="350"/>
      <c r="G26" s="323"/>
    </row>
    <row r="27" spans="1:8" ht="19.5">
      <c r="A27" s="219"/>
      <c r="B27" s="339"/>
      <c r="C27" s="348"/>
      <c r="D27" s="348"/>
      <c r="E27" s="329"/>
      <c r="F27" s="350"/>
      <c r="G27" s="323"/>
    </row>
    <row r="28" spans="1:8" ht="19.5">
      <c r="A28" s="219">
        <v>4</v>
      </c>
      <c r="B28" s="339" t="s">
        <v>559</v>
      </c>
      <c r="C28" s="334">
        <v>-160559946</v>
      </c>
      <c r="D28" s="334">
        <v>-178795256</v>
      </c>
      <c r="E28" s="335">
        <f>AVERAGE(C28:D28)</f>
        <v>-169677601</v>
      </c>
      <c r="F28" s="176" t="s">
        <v>658</v>
      </c>
      <c r="G28" s="323"/>
      <c r="H28" s="280"/>
    </row>
    <row r="29" spans="1:8" ht="19.5">
      <c r="B29" s="218"/>
      <c r="C29" s="349"/>
      <c r="D29" s="349"/>
      <c r="E29" s="323"/>
      <c r="F29" s="176"/>
      <c r="G29" s="323"/>
    </row>
    <row r="30" spans="1:8" ht="19.5">
      <c r="A30" s="337">
        <v>5</v>
      </c>
      <c r="B30" s="218" t="s">
        <v>560</v>
      </c>
      <c r="C30" s="176"/>
      <c r="D30" s="176"/>
      <c r="E30" s="323"/>
      <c r="F30" s="351"/>
      <c r="G30" s="323"/>
    </row>
    <row r="31" spans="1:8" ht="19.5">
      <c r="A31" s="219"/>
      <c r="B31" s="339"/>
      <c r="C31" s="348"/>
      <c r="D31" s="348"/>
      <c r="E31" s="329"/>
      <c r="F31" s="350"/>
      <c r="G31" s="323"/>
    </row>
    <row r="32" spans="1:8" ht="19.5">
      <c r="A32" s="219"/>
      <c r="B32" s="339"/>
      <c r="C32" s="348"/>
      <c r="D32" s="348"/>
      <c r="E32" s="329"/>
      <c r="F32" s="350"/>
      <c r="G32" s="323"/>
    </row>
    <row r="33" spans="1:8" ht="19.5">
      <c r="A33" s="219"/>
      <c r="B33" s="339"/>
      <c r="C33" s="348"/>
      <c r="D33" s="348"/>
      <c r="E33" s="329"/>
      <c r="F33" s="350"/>
      <c r="G33" s="323"/>
    </row>
    <row r="34" spans="1:8" ht="19.5">
      <c r="A34" s="219"/>
      <c r="B34" s="340"/>
      <c r="C34" s="348"/>
      <c r="D34" s="348"/>
      <c r="E34" s="329"/>
      <c r="F34" s="350"/>
      <c r="G34" s="323"/>
    </row>
    <row r="35" spans="1:8" ht="19.5">
      <c r="B35" s="218"/>
      <c r="C35" s="348"/>
      <c r="D35" s="348"/>
      <c r="E35" s="323"/>
      <c r="F35" s="350"/>
      <c r="G35" s="323"/>
    </row>
    <row r="36" spans="1:8" ht="19.5">
      <c r="A36" s="219">
        <v>6</v>
      </c>
      <c r="B36" s="339" t="s">
        <v>615</v>
      </c>
      <c r="C36" s="334">
        <v>128713013</v>
      </c>
      <c r="D36" s="334">
        <v>131135593</v>
      </c>
      <c r="E36" s="335">
        <f>AVERAGE(C36:D36)</f>
        <v>129924303</v>
      </c>
      <c r="F36" s="176" t="s">
        <v>635</v>
      </c>
      <c r="G36" s="323"/>
      <c r="H36" s="280"/>
    </row>
  </sheetData>
  <pageMargins left="0.7" right="0.7" top="0.75" bottom="0.75" header="0.3" footer="0.3"/>
  <pageSetup paperSize="3" scale="49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28"/>
  <sheetViews>
    <sheetView showGridLines="0" workbookViewId="0">
      <selection sqref="A1:G28"/>
    </sheetView>
  </sheetViews>
  <sheetFormatPr defaultColWidth="9.140625" defaultRowHeight="12.75"/>
  <cols>
    <col min="1" max="1" width="7.7109375" style="213" bestFit="1" customWidth="1"/>
    <col min="2" max="2" width="53.28515625" style="213" customWidth="1"/>
    <col min="3" max="3" width="19.5703125" style="213" customWidth="1"/>
    <col min="4" max="4" width="18.7109375" style="213" customWidth="1"/>
    <col min="5" max="5" width="20.5703125" style="213" customWidth="1"/>
    <col min="6" max="6" width="11.42578125" style="213" customWidth="1"/>
    <col min="7" max="16384" width="9.140625" style="213"/>
  </cols>
  <sheetData>
    <row r="2" spans="1:7" ht="15">
      <c r="B2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561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2016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341</v>
      </c>
      <c r="G8" s="3"/>
    </row>
    <row r="9" spans="1:7" ht="15">
      <c r="C9" s="3"/>
      <c r="D9" s="3"/>
      <c r="E9" s="3"/>
      <c r="F9" s="5" t="s">
        <v>586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553</v>
      </c>
      <c r="D11" s="23" t="s">
        <v>554</v>
      </c>
      <c r="E11" s="23" t="s">
        <v>555</v>
      </c>
      <c r="F11" s="7" t="s">
        <v>85</v>
      </c>
    </row>
    <row r="12" spans="1:7" ht="15">
      <c r="A12" s="30" t="s">
        <v>68</v>
      </c>
      <c r="B12" s="3"/>
      <c r="C12" s="23" t="s">
        <v>527</v>
      </c>
      <c r="D12" s="23" t="s">
        <v>527</v>
      </c>
      <c r="E12" s="23" t="s">
        <v>527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8" t="s">
        <v>562</v>
      </c>
      <c r="C14" s="3"/>
      <c r="D14" s="3"/>
      <c r="F14" s="34"/>
    </row>
    <row r="15" spans="1:7" ht="15">
      <c r="A15" s="219">
        <f>1+A14</f>
        <v>2</v>
      </c>
      <c r="B15" s="216" t="s">
        <v>637</v>
      </c>
      <c r="C15" s="345">
        <v>1181010.06</v>
      </c>
      <c r="D15" s="345">
        <v>1219286.69</v>
      </c>
      <c r="E15" s="100">
        <f>AVERAGE(C15:D15)</f>
        <v>1200148.375</v>
      </c>
      <c r="F15" s="213" t="s">
        <v>651</v>
      </c>
    </row>
    <row r="16" spans="1:7" ht="15">
      <c r="A16" s="219">
        <f t="shared" ref="A16:A28" si="0">1+A15</f>
        <v>3</v>
      </c>
      <c r="B16" s="217" t="s">
        <v>638</v>
      </c>
      <c r="C16" s="346">
        <v>-1418174.54</v>
      </c>
      <c r="D16" s="346">
        <v>-440479.58</v>
      </c>
      <c r="E16" s="100">
        <f t="shared" ref="E16:E27" si="1">AVERAGE(C16:D16)</f>
        <v>-929327.06</v>
      </c>
      <c r="F16" s="213" t="s">
        <v>651</v>
      </c>
    </row>
    <row r="17" spans="1:7" ht="15">
      <c r="A17" s="219">
        <f t="shared" si="0"/>
        <v>4</v>
      </c>
      <c r="B17" s="216" t="s">
        <v>639</v>
      </c>
      <c r="C17" s="346">
        <v>154630.21</v>
      </c>
      <c r="D17" s="346">
        <v>158673.07</v>
      </c>
      <c r="E17" s="100">
        <f t="shared" si="1"/>
        <v>156651.64000000001</v>
      </c>
      <c r="F17" s="213" t="s">
        <v>651</v>
      </c>
    </row>
    <row r="18" spans="1:7" ht="15">
      <c r="A18" s="219">
        <f t="shared" si="0"/>
        <v>5</v>
      </c>
      <c r="B18" s="216" t="s">
        <v>640</v>
      </c>
      <c r="C18" s="346">
        <v>915970.43</v>
      </c>
      <c r="D18" s="346">
        <v>1046989.19</v>
      </c>
      <c r="E18" s="100">
        <f t="shared" si="1"/>
        <v>981479.81</v>
      </c>
      <c r="F18" s="213" t="s">
        <v>651</v>
      </c>
    </row>
    <row r="19" spans="1:7" ht="15">
      <c r="A19" s="219">
        <f t="shared" si="0"/>
        <v>6</v>
      </c>
      <c r="B19" s="216" t="s">
        <v>641</v>
      </c>
      <c r="C19" s="346">
        <v>309394.13</v>
      </c>
      <c r="D19" s="346">
        <v>194855.36</v>
      </c>
      <c r="E19" s="100">
        <f t="shared" si="1"/>
        <v>252124.745</v>
      </c>
      <c r="F19" s="213" t="s">
        <v>651</v>
      </c>
    </row>
    <row r="20" spans="1:7" ht="15">
      <c r="A20" s="219">
        <f t="shared" si="0"/>
        <v>7</v>
      </c>
      <c r="B20" s="216" t="s">
        <v>642</v>
      </c>
      <c r="C20" s="346">
        <v>137688.26</v>
      </c>
      <c r="D20" s="346">
        <v>324151.69</v>
      </c>
      <c r="E20" s="100">
        <f t="shared" si="1"/>
        <v>230919.97500000001</v>
      </c>
      <c r="F20" s="213" t="s">
        <v>651</v>
      </c>
    </row>
    <row r="21" spans="1:7" ht="15">
      <c r="A21" s="219">
        <f t="shared" si="0"/>
        <v>8</v>
      </c>
      <c r="B21" s="216" t="s">
        <v>643</v>
      </c>
      <c r="C21" s="346">
        <v>-98194.13</v>
      </c>
      <c r="D21" s="346">
        <v>88018.65</v>
      </c>
      <c r="E21" s="100">
        <f t="shared" si="1"/>
        <v>-5087.7400000000052</v>
      </c>
      <c r="F21" s="213" t="s">
        <v>651</v>
      </c>
    </row>
    <row r="22" spans="1:7" ht="15">
      <c r="A22" s="219">
        <f t="shared" si="0"/>
        <v>9</v>
      </c>
      <c r="B22" s="216" t="s">
        <v>644</v>
      </c>
      <c r="C22" s="346">
        <v>-6755.96</v>
      </c>
      <c r="D22" s="346">
        <v>5097.07</v>
      </c>
      <c r="E22" s="100">
        <f t="shared" si="1"/>
        <v>-829.44500000000016</v>
      </c>
      <c r="F22" s="213" t="s">
        <v>651</v>
      </c>
    </row>
    <row r="23" spans="1:7" ht="15">
      <c r="A23" s="219">
        <f t="shared" si="0"/>
        <v>10</v>
      </c>
      <c r="B23" s="216" t="s">
        <v>645</v>
      </c>
      <c r="C23" s="346">
        <v>-21891.56</v>
      </c>
      <c r="D23" s="346">
        <v>-28682.27</v>
      </c>
      <c r="E23" s="100">
        <f t="shared" si="1"/>
        <v>-25286.915000000001</v>
      </c>
      <c r="F23" s="213" t="s">
        <v>651</v>
      </c>
    </row>
    <row r="24" spans="1:7" ht="15">
      <c r="A24" s="219">
        <f t="shared" si="0"/>
        <v>11</v>
      </c>
      <c r="B24" s="216" t="s">
        <v>646</v>
      </c>
      <c r="C24" s="346">
        <v>1078932.3700000001</v>
      </c>
      <c r="D24" s="346">
        <v>979073.32</v>
      </c>
      <c r="E24" s="100">
        <f t="shared" si="1"/>
        <v>1029002.845</v>
      </c>
      <c r="F24" s="213" t="s">
        <v>651</v>
      </c>
    </row>
    <row r="25" spans="1:7" ht="15">
      <c r="A25" s="219">
        <f t="shared" si="0"/>
        <v>12</v>
      </c>
      <c r="B25" s="216" t="s">
        <v>647</v>
      </c>
      <c r="C25" s="346">
        <v>16995.810000000001</v>
      </c>
      <c r="D25" s="346">
        <v>-195141.29</v>
      </c>
      <c r="E25" s="100">
        <f t="shared" si="1"/>
        <v>-89072.74</v>
      </c>
      <c r="F25" s="213" t="s">
        <v>651</v>
      </c>
    </row>
    <row r="26" spans="1:7" ht="15">
      <c r="A26" s="219">
        <f t="shared" si="0"/>
        <v>13</v>
      </c>
      <c r="B26" s="216" t="s">
        <v>648</v>
      </c>
      <c r="C26" s="346">
        <v>1198481.27</v>
      </c>
      <c r="D26" s="346">
        <v>764910.47</v>
      </c>
      <c r="E26" s="100">
        <f t="shared" si="1"/>
        <v>981695.87</v>
      </c>
      <c r="F26" s="213" t="s">
        <v>651</v>
      </c>
    </row>
    <row r="27" spans="1:7" ht="15">
      <c r="A27" s="219">
        <f t="shared" si="0"/>
        <v>14</v>
      </c>
      <c r="B27" s="330" t="s">
        <v>649</v>
      </c>
      <c r="C27" s="347">
        <f>-28828117.47+33198634</f>
        <v>4370516.5300000012</v>
      </c>
      <c r="D27" s="347">
        <f>-54676361.45+58477002</f>
        <v>3800640.549999997</v>
      </c>
      <c r="E27" s="100">
        <f t="shared" si="1"/>
        <v>4085578.5399999991</v>
      </c>
      <c r="F27" s="213" t="s">
        <v>651</v>
      </c>
    </row>
    <row r="28" spans="1:7" ht="15">
      <c r="A28" s="219">
        <f t="shared" si="0"/>
        <v>15</v>
      </c>
      <c r="B28" s="216" t="s">
        <v>563</v>
      </c>
      <c r="C28" s="331">
        <f>SUM(C15:C27)</f>
        <v>7818602.8800000008</v>
      </c>
      <c r="D28" s="331">
        <f>SUM(D15:D27)</f>
        <v>7917392.9199999962</v>
      </c>
      <c r="E28" s="100">
        <f>SUM(E15:E27)</f>
        <v>7867997.8999999994</v>
      </c>
      <c r="F28" s="3" t="s">
        <v>623</v>
      </c>
      <c r="G28" s="3"/>
    </row>
  </sheetData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topLeftCell="C1" workbookViewId="0">
      <selection activeCell="F18" sqref="F18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579</v>
      </c>
      <c r="F4" s="3"/>
      <c r="G4" s="5" t="s">
        <v>101</v>
      </c>
      <c r="I4" s="3"/>
    </row>
    <row r="5" spans="1:9" ht="15">
      <c r="B5" s="3"/>
      <c r="C5" s="3"/>
      <c r="D5" s="23" t="s">
        <v>608</v>
      </c>
      <c r="F5" s="3"/>
      <c r="G5" s="5" t="s">
        <v>600</v>
      </c>
      <c r="I5" s="3"/>
    </row>
    <row r="6" spans="1:9" ht="15">
      <c r="B6" s="3"/>
      <c r="C6" s="3"/>
      <c r="D6" s="214" t="str">
        <f>+'5 alloc.'!B6</f>
        <v>Actual</v>
      </c>
      <c r="F6" s="3"/>
      <c r="G6" s="5" t="s">
        <v>585</v>
      </c>
      <c r="I6" s="3"/>
    </row>
    <row r="7" spans="1:9" ht="15">
      <c r="B7" s="3"/>
      <c r="C7" s="3"/>
      <c r="D7" s="214">
        <f>+'5 alloc.'!B7</f>
        <v>2016</v>
      </c>
      <c r="F7" s="3"/>
      <c r="I7" s="3"/>
    </row>
    <row r="8" spans="1:9" ht="15">
      <c r="A8" s="23" t="s">
        <v>272</v>
      </c>
      <c r="B8" s="3"/>
      <c r="C8" s="127"/>
      <c r="E8" s="96"/>
      <c r="F8" s="3"/>
      <c r="G8" s="3"/>
      <c r="H8" s="3"/>
      <c r="I8" s="3"/>
    </row>
    <row r="9" spans="1:9" ht="15">
      <c r="A9" s="30" t="s">
        <v>68</v>
      </c>
      <c r="B9" s="3"/>
      <c r="C9" s="127"/>
      <c r="D9" s="220"/>
      <c r="E9" s="96"/>
      <c r="F9" s="3"/>
      <c r="G9" s="214"/>
      <c r="H9" s="3"/>
      <c r="I9" s="3"/>
    </row>
    <row r="10" spans="1:9" ht="15">
      <c r="A10" s="23"/>
      <c r="B10" s="3"/>
      <c r="C10" s="127"/>
      <c r="D10" s="220"/>
      <c r="E10" s="96"/>
      <c r="F10" s="3"/>
      <c r="G10" s="3"/>
      <c r="H10" s="3"/>
      <c r="I10" s="3"/>
    </row>
    <row r="11" spans="1:9" ht="15">
      <c r="A11" s="23">
        <v>1</v>
      </c>
      <c r="B11" s="3" t="s">
        <v>581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243</v>
      </c>
      <c r="D12" s="3"/>
      <c r="E12" s="3"/>
      <c r="F12" s="343">
        <f>+'7 Substation'!J24</f>
        <v>249</v>
      </c>
      <c r="G12" s="3" t="s">
        <v>602</v>
      </c>
      <c r="I12" s="3"/>
    </row>
    <row r="13" spans="1:9" ht="15">
      <c r="A13" s="23">
        <v>3</v>
      </c>
      <c r="B13" s="3"/>
      <c r="C13" s="3" t="s">
        <v>244</v>
      </c>
      <c r="D13" s="3"/>
      <c r="E13" s="3"/>
      <c r="F13" s="344">
        <f>+'7 Substation'!J31</f>
        <v>85</v>
      </c>
      <c r="G13" s="3" t="s">
        <v>604</v>
      </c>
      <c r="I13" s="3"/>
    </row>
    <row r="14" spans="1:9" ht="15">
      <c r="A14" s="23">
        <v>4</v>
      </c>
      <c r="B14" s="3"/>
      <c r="C14" s="3" t="s">
        <v>580</v>
      </c>
      <c r="D14" s="3"/>
      <c r="E14" s="3"/>
      <c r="F14" s="344">
        <f>+'7 Substation'!J42</f>
        <v>325</v>
      </c>
      <c r="G14" s="3" t="s">
        <v>603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582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243</v>
      </c>
      <c r="D17" s="3"/>
      <c r="E17" s="3"/>
      <c r="F17" s="343">
        <f>+'8 Lines'!J23</f>
        <v>286</v>
      </c>
      <c r="G17" s="3" t="s">
        <v>605</v>
      </c>
      <c r="I17" s="3"/>
    </row>
    <row r="18" spans="1:9" ht="15">
      <c r="A18" s="23">
        <v>7</v>
      </c>
      <c r="B18" s="3"/>
      <c r="C18" s="3" t="s">
        <v>244</v>
      </c>
      <c r="D18" s="3"/>
      <c r="E18" s="3"/>
      <c r="F18" s="344">
        <f>+'8 Lines'!J36</f>
        <v>1710</v>
      </c>
      <c r="G18" s="3" t="s">
        <v>606</v>
      </c>
      <c r="I18" s="3"/>
    </row>
    <row r="19" spans="1:9" ht="15">
      <c r="A19" s="23">
        <v>8</v>
      </c>
      <c r="B19" s="3"/>
      <c r="C19" s="3" t="s">
        <v>580</v>
      </c>
      <c r="D19" s="3"/>
      <c r="E19" s="3"/>
      <c r="F19" s="344">
        <f>+'8 Lines'!J47</f>
        <v>2340</v>
      </c>
      <c r="G19" s="3" t="s">
        <v>607</v>
      </c>
      <c r="I19" s="3"/>
    </row>
    <row r="20" spans="1:9" ht="15">
      <c r="B20" s="3"/>
      <c r="C20" s="3"/>
      <c r="D20" s="3"/>
      <c r="E20" s="3"/>
      <c r="F20" s="221"/>
      <c r="G20" s="3"/>
      <c r="I20" s="3"/>
    </row>
    <row r="21" spans="1:9" ht="15">
      <c r="A21" s="23">
        <v>9</v>
      </c>
      <c r="B21" s="3" t="s">
        <v>583</v>
      </c>
      <c r="C21" s="3"/>
      <c r="D21" s="3"/>
      <c r="E21" s="3"/>
      <c r="F21" s="343">
        <f>+'9 Meters'!E54</f>
        <v>51</v>
      </c>
      <c r="G21" s="3" t="s">
        <v>584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1"/>
      <c r="H24" s="3"/>
      <c r="I24" s="3"/>
    </row>
    <row r="25" spans="1:9" ht="15">
      <c r="B25" s="3"/>
      <c r="C25" s="3"/>
      <c r="D25" s="3"/>
      <c r="E25" s="3"/>
      <c r="F25" s="3"/>
      <c r="G25" s="223"/>
      <c r="H25" s="3"/>
      <c r="I25" s="3"/>
    </row>
    <row r="26" spans="1:9" ht="15">
      <c r="B26" s="3"/>
      <c r="C26" s="3"/>
      <c r="D26" s="3"/>
      <c r="E26" s="3"/>
      <c r="F26" s="3"/>
      <c r="G26" s="222"/>
      <c r="H26" s="3"/>
      <c r="I26" s="3"/>
    </row>
    <row r="27" spans="1:9" ht="15">
      <c r="B27" s="3"/>
      <c r="C27" s="3"/>
      <c r="D27" s="3"/>
      <c r="E27" s="3"/>
      <c r="F27" s="3"/>
      <c r="G27" s="222"/>
      <c r="H27" s="3"/>
      <c r="I27" s="3"/>
    </row>
    <row r="28" spans="1:9" ht="15">
      <c r="B28" s="3"/>
      <c r="C28" s="3"/>
      <c r="D28" s="3"/>
      <c r="E28" s="70"/>
      <c r="F28" s="3"/>
      <c r="G28" s="222"/>
      <c r="H28" s="3"/>
      <c r="I28" s="3"/>
    </row>
    <row r="29" spans="1:9" ht="15">
      <c r="B29" s="3"/>
      <c r="C29" s="3"/>
      <c r="D29" s="3"/>
      <c r="E29" s="70"/>
      <c r="F29" s="3"/>
      <c r="G29" s="222"/>
      <c r="H29" s="3"/>
      <c r="I29" s="3"/>
    </row>
    <row r="30" spans="1:9">
      <c r="G30" s="224"/>
    </row>
    <row r="31" spans="1:9">
      <c r="G31" s="224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D1" zoomScaleNormal="100" workbookViewId="0">
      <selection activeCell="N16" sqref="N16"/>
    </sheetView>
  </sheetViews>
  <sheetFormatPr defaultColWidth="7.85546875" defaultRowHeight="15"/>
  <cols>
    <col min="1" max="1" width="3.85546875" style="3" bestFit="1" customWidth="1"/>
    <col min="2" max="2" width="19.5703125" style="3" customWidth="1"/>
    <col min="3" max="3" width="25" style="3" customWidth="1"/>
    <col min="4" max="4" width="8.4257812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100</v>
      </c>
      <c r="T5" s="5" t="s">
        <v>101</v>
      </c>
    </row>
    <row r="6" spans="1:20">
      <c r="D6" s="96"/>
      <c r="E6" s="98" t="str">
        <f>+'5 alloc.'!B6</f>
        <v>Actual</v>
      </c>
      <c r="F6" s="96"/>
      <c r="G6" s="5"/>
      <c r="T6" s="5" t="s">
        <v>341</v>
      </c>
    </row>
    <row r="7" spans="1:20">
      <c r="E7" s="98">
        <f>+'5 alloc.'!B7</f>
        <v>2016</v>
      </c>
      <c r="T7" s="5" t="s">
        <v>597</v>
      </c>
    </row>
    <row r="8" spans="1:20">
      <c r="B8" s="206"/>
      <c r="C8" s="206"/>
    </row>
    <row r="9" spans="1:20">
      <c r="B9" s="206"/>
      <c r="C9" s="206"/>
      <c r="N9" s="3" t="s">
        <v>113</v>
      </c>
    </row>
    <row r="10" spans="1:20">
      <c r="A10" s="3">
        <v>1</v>
      </c>
      <c r="D10" s="14"/>
      <c r="E10" s="23" t="s">
        <v>33</v>
      </c>
      <c r="F10" s="23"/>
      <c r="G10" s="23"/>
      <c r="H10" s="23"/>
      <c r="I10" s="23"/>
      <c r="J10" s="23"/>
      <c r="K10" s="23"/>
      <c r="L10" s="23"/>
      <c r="N10" s="23" t="s">
        <v>33</v>
      </c>
      <c r="P10" s="23" t="s">
        <v>34</v>
      </c>
      <c r="R10" s="23" t="s">
        <v>34</v>
      </c>
      <c r="T10" s="23" t="s">
        <v>35</v>
      </c>
    </row>
    <row r="11" spans="1:20">
      <c r="A11" s="3">
        <v>2</v>
      </c>
      <c r="E11" s="312">
        <v>2016</v>
      </c>
      <c r="F11" s="292"/>
      <c r="G11" s="25"/>
      <c r="H11" s="25"/>
      <c r="I11" s="25"/>
      <c r="J11" s="25"/>
      <c r="K11" s="25"/>
      <c r="L11" s="25"/>
      <c r="N11" s="45" t="s">
        <v>36</v>
      </c>
      <c r="P11" s="45" t="s">
        <v>37</v>
      </c>
      <c r="R11" s="45" t="s">
        <v>37</v>
      </c>
      <c r="T11" s="45" t="s">
        <v>38</v>
      </c>
    </row>
    <row r="13" spans="1:20">
      <c r="A13" s="3">
        <v>3</v>
      </c>
      <c r="B13" s="36" t="s">
        <v>39</v>
      </c>
      <c r="D13" s="5" t="s">
        <v>40</v>
      </c>
      <c r="E13" s="242">
        <f>+K58</f>
        <v>633285046</v>
      </c>
      <c r="M13" s="23"/>
      <c r="N13" s="46">
        <f>ROUND(E13/$E$17,4)</f>
        <v>0.51039999999999996</v>
      </c>
      <c r="O13" s="46"/>
      <c r="P13" s="211">
        <f>+K71/K64</f>
        <v>5.5560949651305799E-2</v>
      </c>
      <c r="Q13" s="46"/>
      <c r="R13" s="46">
        <f>ROUND(N13*P13,4)</f>
        <v>2.8400000000000002E-2</v>
      </c>
      <c r="S13" s="46"/>
      <c r="T13" s="46"/>
    </row>
    <row r="14" spans="1:20">
      <c r="A14" s="3">
        <v>4</v>
      </c>
      <c r="B14" s="36" t="s">
        <v>41</v>
      </c>
      <c r="E14" s="210">
        <f>+K79</f>
        <v>0</v>
      </c>
      <c r="M14" s="23"/>
      <c r="N14" s="46">
        <f>ROUND(E14/$E$17,4)</f>
        <v>0</v>
      </c>
      <c r="O14" s="46"/>
      <c r="P14" s="211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42</v>
      </c>
      <c r="E15" s="212">
        <f>+K86</f>
        <v>607362281.5</v>
      </c>
      <c r="M15" s="23"/>
      <c r="N15" s="47">
        <f>ROUND(E15/$E$17,4)</f>
        <v>0.48959999999999998</v>
      </c>
      <c r="O15" s="46"/>
      <c r="P15" s="342">
        <f>+I90</f>
        <v>0.1057</v>
      </c>
      <c r="Q15" s="46"/>
      <c r="R15" s="47">
        <f>ROUND(N15*P15,4)</f>
        <v>5.1799999999999999E-2</v>
      </c>
      <c r="S15" s="46"/>
      <c r="T15" s="47">
        <f>R15</f>
        <v>5.1799999999999999E-2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43</v>
      </c>
      <c r="D17" s="5" t="s">
        <v>40</v>
      </c>
      <c r="E17" s="48">
        <f>SUM(E13:E15)</f>
        <v>1240647327.5</v>
      </c>
      <c r="F17" s="49"/>
      <c r="G17" s="49"/>
      <c r="H17" s="49"/>
      <c r="I17" s="49"/>
      <c r="J17" s="49"/>
      <c r="K17" s="49"/>
      <c r="L17" s="49"/>
      <c r="N17" s="50">
        <f>SUM(N13:N15)</f>
        <v>1</v>
      </c>
      <c r="O17" s="46"/>
      <c r="P17" s="46"/>
      <c r="Q17" s="46"/>
      <c r="R17" s="50">
        <f>SUM(R13:R15)</f>
        <v>8.0199999999999994E-2</v>
      </c>
      <c r="S17" s="46"/>
      <c r="T17" s="50">
        <f>SUM(T13:T15)</f>
        <v>5.1799999999999999E-2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44</v>
      </c>
    </row>
    <row r="21" spans="1:20" ht="15.75" thickBot="1">
      <c r="A21" s="3">
        <v>8</v>
      </c>
      <c r="B21" s="37" t="s">
        <v>45</v>
      </c>
      <c r="D21" s="37"/>
      <c r="E21" s="51">
        <f>+R17</f>
        <v>8.0199999999999994E-2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253</v>
      </c>
      <c r="I23" s="53"/>
    </row>
    <row r="24" spans="1:20">
      <c r="A24" s="3">
        <v>10</v>
      </c>
      <c r="B24" s="37" t="s">
        <v>46</v>
      </c>
      <c r="D24" s="37" t="s">
        <v>47</v>
      </c>
      <c r="E24" s="54" t="s">
        <v>90</v>
      </c>
      <c r="F24" s="31" t="s">
        <v>48</v>
      </c>
      <c r="G24" s="55" t="s">
        <v>385</v>
      </c>
      <c r="H24" s="56"/>
      <c r="I24" s="56"/>
      <c r="J24" s="57" t="s">
        <v>446</v>
      </c>
      <c r="K24" s="58" t="s">
        <v>386</v>
      </c>
      <c r="L24" s="58"/>
      <c r="M24" s="54" t="s">
        <v>50</v>
      </c>
      <c r="N24" s="59" t="s">
        <v>51</v>
      </c>
      <c r="O24" s="59"/>
      <c r="P24" s="59"/>
      <c r="Q24" s="37" t="s">
        <v>52</v>
      </c>
    </row>
    <row r="25" spans="1:20">
      <c r="A25" s="3">
        <v>11</v>
      </c>
      <c r="D25" s="60" t="s">
        <v>48</v>
      </c>
      <c r="E25" s="23"/>
      <c r="F25" s="23"/>
      <c r="G25" s="23"/>
      <c r="H25" s="23"/>
      <c r="I25" s="23"/>
      <c r="J25" s="23"/>
      <c r="K25" s="23"/>
      <c r="L25" s="23"/>
      <c r="M25" s="29" t="s">
        <v>53</v>
      </c>
      <c r="N25" s="61" t="s">
        <v>51</v>
      </c>
      <c r="O25" s="4"/>
      <c r="P25" s="4"/>
      <c r="Q25" s="37" t="s">
        <v>52</v>
      </c>
    </row>
    <row r="27" spans="1:20">
      <c r="A27" s="3">
        <v>12</v>
      </c>
      <c r="D27" s="37" t="s">
        <v>47</v>
      </c>
      <c r="E27" s="118">
        <f>+T17</f>
        <v>5.1799999999999999E-2</v>
      </c>
      <c r="F27" s="62" t="s">
        <v>54</v>
      </c>
      <c r="G27" s="271">
        <f>+[2]WACC!$G$27</f>
        <v>24304</v>
      </c>
      <c r="H27" s="56"/>
      <c r="I27" s="182"/>
      <c r="J27" s="56" t="s">
        <v>114</v>
      </c>
      <c r="K27" s="178">
        <f>+'1 Rev Req'!E26</f>
        <v>62801993.755500004</v>
      </c>
      <c r="L27" s="57" t="s">
        <v>52</v>
      </c>
      <c r="M27" s="54" t="s">
        <v>50</v>
      </c>
      <c r="N27" s="209">
        <v>0.35</v>
      </c>
      <c r="O27" s="183"/>
      <c r="P27" s="169"/>
      <c r="Q27" s="37" t="s">
        <v>52</v>
      </c>
    </row>
    <row r="28" spans="1:20">
      <c r="A28" s="3">
        <v>13</v>
      </c>
      <c r="D28" s="60" t="s">
        <v>48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53</v>
      </c>
      <c r="N28" s="5">
        <f>+N27</f>
        <v>0.35</v>
      </c>
      <c r="O28" s="5"/>
      <c r="P28" s="5"/>
      <c r="Q28" s="37" t="s">
        <v>52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2.8100699999999999E-2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253</v>
      </c>
      <c r="I32" s="53"/>
    </row>
    <row r="33" spans="1:20">
      <c r="A33" s="3">
        <v>16</v>
      </c>
      <c r="B33" s="37" t="s">
        <v>55</v>
      </c>
      <c r="D33" s="37" t="s">
        <v>47</v>
      </c>
      <c r="E33" s="54" t="s">
        <v>90</v>
      </c>
      <c r="F33" s="31" t="s">
        <v>48</v>
      </c>
      <c r="G33" s="55" t="s">
        <v>385</v>
      </c>
      <c r="H33" s="56"/>
      <c r="I33" s="56"/>
      <c r="J33" s="57" t="s">
        <v>446</v>
      </c>
      <c r="K33" s="58" t="s">
        <v>386</v>
      </c>
      <c r="L33" s="10"/>
      <c r="M33" s="31" t="s">
        <v>49</v>
      </c>
      <c r="N33" s="59" t="s">
        <v>56</v>
      </c>
      <c r="O33" s="59"/>
      <c r="P33" s="59"/>
      <c r="Q33" s="65" t="s">
        <v>57</v>
      </c>
      <c r="R33" s="10" t="s">
        <v>58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53</v>
      </c>
      <c r="N34" s="61" t="s">
        <v>58</v>
      </c>
      <c r="O34" s="4"/>
      <c r="P34" s="4"/>
      <c r="Q34" s="66" t="s">
        <v>52</v>
      </c>
    </row>
    <row r="36" spans="1:20">
      <c r="A36" s="3">
        <v>18</v>
      </c>
      <c r="D36" s="37" t="s">
        <v>47</v>
      </c>
      <c r="E36" s="118">
        <f>+T17</f>
        <v>5.1799999999999999E-2</v>
      </c>
      <c r="F36" s="62" t="s">
        <v>54</v>
      </c>
      <c r="G36" s="271">
        <f>+[2]WACC!$G$36</f>
        <v>24304</v>
      </c>
      <c r="H36" s="56"/>
      <c r="I36" s="67"/>
      <c r="J36" s="57" t="s">
        <v>115</v>
      </c>
      <c r="K36" s="58">
        <f>+K27</f>
        <v>62801993.755500004</v>
      </c>
      <c r="L36" s="57" t="s">
        <v>52</v>
      </c>
      <c r="M36" s="31" t="s">
        <v>49</v>
      </c>
      <c r="N36" s="119">
        <f>+E30</f>
        <v>2.8100699999999999E-2</v>
      </c>
      <c r="O36" s="59"/>
      <c r="P36" s="59"/>
      <c r="Q36" s="65" t="s">
        <v>57</v>
      </c>
      <c r="R36" s="209">
        <v>8.5000000000000006E-2</v>
      </c>
      <c r="S36" s="170"/>
      <c r="T36" s="170"/>
    </row>
    <row r="37" spans="1:20">
      <c r="A37" s="3">
        <v>19</v>
      </c>
      <c r="D37" s="60" t="s">
        <v>48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53</v>
      </c>
      <c r="N37" s="5">
        <f>+R36</f>
        <v>8.5000000000000006E-2</v>
      </c>
      <c r="O37" s="5"/>
      <c r="P37" s="5"/>
      <c r="Q37" s="37" t="s">
        <v>52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7.4583999999999996E-3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99</v>
      </c>
      <c r="D42" s="37" t="s">
        <v>0</v>
      </c>
      <c r="E42" s="63">
        <f>+E21+E30+E39</f>
        <v>0.1157591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121</v>
      </c>
      <c r="F43" s="30"/>
      <c r="G43" s="31" t="s">
        <v>122</v>
      </c>
      <c r="H43" s="30"/>
      <c r="I43" s="30"/>
      <c r="J43" s="30"/>
      <c r="K43" s="31" t="s">
        <v>123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40</v>
      </c>
      <c r="E45" s="70">
        <f>+'1 Rev Req'!E26</f>
        <v>62801993.755500004</v>
      </c>
      <c r="F45" s="70"/>
      <c r="G45" s="70">
        <f>+'1 Rev Req'!G26</f>
        <v>234834186.23159999</v>
      </c>
      <c r="H45" s="70"/>
      <c r="I45" s="70"/>
      <c r="J45" s="70"/>
      <c r="K45" s="70">
        <f>+'1 Rev Req'!I26</f>
        <v>18481530.806699999</v>
      </c>
      <c r="L45" s="70"/>
      <c r="M45" s="36" t="s">
        <v>510</v>
      </c>
      <c r="N45" s="71"/>
    </row>
    <row r="46" spans="1:20">
      <c r="A46"/>
      <c r="N46" s="41"/>
    </row>
    <row r="47" spans="1:20">
      <c r="A47" s="3">
        <v>23</v>
      </c>
      <c r="B47" s="37" t="s">
        <v>59</v>
      </c>
      <c r="E47" s="72">
        <f>+E42</f>
        <v>0.1157591</v>
      </c>
      <c r="F47" s="72"/>
      <c r="G47" s="72">
        <f>+E47</f>
        <v>0.1157591</v>
      </c>
      <c r="H47" s="72"/>
      <c r="I47" s="72"/>
      <c r="J47" s="72"/>
      <c r="K47" s="72">
        <f>+E47</f>
        <v>0.1157591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60</v>
      </c>
      <c r="E49" s="43">
        <f>ROUND(+E45*E47,0)</f>
        <v>7269902</v>
      </c>
      <c r="F49" s="74"/>
      <c r="G49" s="43">
        <f>ROUND(+G45*G47,0)</f>
        <v>27184194</v>
      </c>
      <c r="H49" s="74"/>
      <c r="I49" s="74"/>
      <c r="J49" s="74"/>
      <c r="K49" s="43">
        <f>ROUND(+K45*K47,0)</f>
        <v>2139405</v>
      </c>
      <c r="L49" s="74"/>
      <c r="M49" s="36" t="s">
        <v>511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447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448</v>
      </c>
      <c r="D53" s="184"/>
      <c r="E53" s="184"/>
      <c r="F53" s="184"/>
      <c r="G53" s="187"/>
      <c r="I53" s="191"/>
      <c r="K53" s="192"/>
      <c r="L53" s="187"/>
      <c r="N53" s="284"/>
    </row>
    <row r="54" spans="1:16">
      <c r="A54" s="3">
        <v>27</v>
      </c>
      <c r="B54" s="184"/>
      <c r="C54" s="187"/>
      <c r="D54" s="187" t="s">
        <v>449</v>
      </c>
      <c r="E54" s="187"/>
      <c r="F54" s="187"/>
      <c r="G54" s="187"/>
      <c r="I54" s="191"/>
      <c r="K54" s="299">
        <v>633285046</v>
      </c>
      <c r="L54" s="187" t="s">
        <v>450</v>
      </c>
      <c r="M54"/>
      <c r="N54"/>
    </row>
    <row r="55" spans="1:16">
      <c r="A55" s="3">
        <v>28</v>
      </c>
      <c r="B55" s="184"/>
      <c r="C55" s="187"/>
      <c r="D55" s="187"/>
      <c r="E55" s="187" t="s">
        <v>451</v>
      </c>
      <c r="F55" s="187"/>
      <c r="G55" s="187"/>
      <c r="I55" s="191"/>
      <c r="K55" s="299">
        <v>0</v>
      </c>
      <c r="L55" s="187" t="s">
        <v>452</v>
      </c>
      <c r="M55"/>
      <c r="N55"/>
    </row>
    <row r="56" spans="1:16">
      <c r="A56" s="3">
        <v>29</v>
      </c>
      <c r="B56" s="184"/>
      <c r="C56" s="284"/>
      <c r="D56" s="187" t="s">
        <v>453</v>
      </c>
      <c r="E56" s="296"/>
      <c r="F56" s="296"/>
      <c r="G56" s="187"/>
      <c r="I56" s="191"/>
      <c r="K56" s="299">
        <v>0</v>
      </c>
      <c r="L56" s="187" t="s">
        <v>454</v>
      </c>
      <c r="M56" s="213"/>
      <c r="N56" s="213"/>
    </row>
    <row r="57" spans="1:16">
      <c r="A57" s="3">
        <v>30</v>
      </c>
      <c r="B57" s="184"/>
      <c r="C57" s="187"/>
      <c r="D57" s="187" t="s">
        <v>455</v>
      </c>
      <c r="E57" s="187"/>
      <c r="F57" s="187"/>
      <c r="G57" s="187"/>
      <c r="I57" s="191"/>
      <c r="K57" s="299">
        <v>0</v>
      </c>
      <c r="L57" s="187" t="s">
        <v>456</v>
      </c>
      <c r="M57"/>
      <c r="N57"/>
    </row>
    <row r="58" spans="1:16">
      <c r="A58" s="3">
        <v>31</v>
      </c>
      <c r="B58" s="184"/>
      <c r="C58" s="187"/>
      <c r="D58" s="193" t="s">
        <v>457</v>
      </c>
      <c r="E58" s="187"/>
      <c r="F58" s="187"/>
      <c r="G58" s="187"/>
      <c r="I58" s="191"/>
      <c r="K58" s="299">
        <v>633285046</v>
      </c>
      <c r="L58" s="187" t="s">
        <v>514</v>
      </c>
      <c r="M58"/>
      <c r="N58"/>
    </row>
    <row r="59" spans="1:16">
      <c r="A59" s="3">
        <v>32</v>
      </c>
      <c r="B59" s="184"/>
      <c r="C59" s="187"/>
      <c r="D59" s="187"/>
      <c r="E59" s="187" t="s">
        <v>458</v>
      </c>
      <c r="F59" s="187"/>
      <c r="G59" s="187"/>
      <c r="I59" s="191"/>
      <c r="K59" s="299">
        <v>0</v>
      </c>
      <c r="L59" s="187" t="s">
        <v>459</v>
      </c>
      <c r="M59"/>
      <c r="N59"/>
    </row>
    <row r="60" spans="1:16">
      <c r="A60" s="3">
        <v>33</v>
      </c>
      <c r="B60" s="184"/>
      <c r="C60" s="187"/>
      <c r="D60" s="187"/>
      <c r="E60" s="187" t="s">
        <v>460</v>
      </c>
      <c r="F60" s="187"/>
      <c r="G60" s="187"/>
      <c r="I60" s="191"/>
      <c r="K60" s="299">
        <v>-5087900</v>
      </c>
      <c r="L60" s="187" t="s">
        <v>461</v>
      </c>
      <c r="M60"/>
      <c r="N60"/>
      <c r="P60" s="284"/>
    </row>
    <row r="61" spans="1:16">
      <c r="A61" s="3">
        <v>34</v>
      </c>
      <c r="B61" s="184"/>
      <c r="C61" s="187"/>
      <c r="D61" s="187"/>
      <c r="E61" s="187" t="s">
        <v>462</v>
      </c>
      <c r="F61" s="187"/>
      <c r="G61" s="187"/>
      <c r="I61" s="191"/>
      <c r="K61" s="299">
        <v>0</v>
      </c>
      <c r="L61" s="187" t="s">
        <v>463</v>
      </c>
      <c r="M61"/>
      <c r="N61"/>
    </row>
    <row r="62" spans="1:16">
      <c r="A62" s="3">
        <v>35</v>
      </c>
      <c r="B62" s="184"/>
      <c r="C62" s="187"/>
      <c r="D62" s="187"/>
      <c r="E62" s="187" t="s">
        <v>464</v>
      </c>
      <c r="F62" s="187"/>
      <c r="G62" s="187"/>
      <c r="I62" s="191"/>
      <c r="K62" s="299">
        <v>0</v>
      </c>
      <c r="L62" s="187" t="s">
        <v>465</v>
      </c>
      <c r="M62"/>
      <c r="N62"/>
    </row>
    <row r="63" spans="1:16">
      <c r="A63" s="3">
        <v>36</v>
      </c>
      <c r="B63" s="184"/>
      <c r="C63" s="187"/>
      <c r="D63" s="187"/>
      <c r="E63" s="187" t="s">
        <v>466</v>
      </c>
      <c r="F63" s="187"/>
      <c r="G63" s="187"/>
      <c r="I63" s="191"/>
      <c r="K63" s="299">
        <v>0</v>
      </c>
      <c r="L63" s="187" t="s">
        <v>467</v>
      </c>
      <c r="M63"/>
      <c r="N63"/>
    </row>
    <row r="64" spans="1:16">
      <c r="A64" s="3">
        <v>37</v>
      </c>
      <c r="B64" s="184"/>
      <c r="C64" s="187"/>
      <c r="D64" s="193" t="s">
        <v>468</v>
      </c>
      <c r="E64" s="187"/>
      <c r="F64" s="187"/>
      <c r="G64" s="187"/>
      <c r="I64" s="191"/>
      <c r="K64" s="300">
        <f>SUM(K58:K63)</f>
        <v>628197146</v>
      </c>
      <c r="L64" s="187" t="s">
        <v>515</v>
      </c>
      <c r="M64"/>
      <c r="N64"/>
    </row>
    <row r="65" spans="1:18">
      <c r="A65" s="3">
        <v>38</v>
      </c>
      <c r="B65" s="184"/>
      <c r="C65" s="184" t="s">
        <v>469</v>
      </c>
      <c r="D65" s="187"/>
      <c r="E65" s="187"/>
      <c r="F65" s="187"/>
      <c r="G65" s="187"/>
      <c r="I65" s="191"/>
      <c r="K65" s="301"/>
      <c r="L65" s="190"/>
    </row>
    <row r="66" spans="1:18">
      <c r="A66" s="3">
        <v>39</v>
      </c>
      <c r="B66" s="184"/>
      <c r="C66" s="187"/>
      <c r="D66" s="187" t="s">
        <v>470</v>
      </c>
      <c r="E66" s="187"/>
      <c r="F66" s="187"/>
      <c r="G66" s="187"/>
      <c r="I66" s="191"/>
      <c r="K66" s="299">
        <v>34439832</v>
      </c>
      <c r="L66" s="187" t="s">
        <v>471</v>
      </c>
    </row>
    <row r="67" spans="1:18">
      <c r="A67" s="3">
        <v>40</v>
      </c>
      <c r="B67" s="184"/>
      <c r="C67" s="187"/>
      <c r="D67" s="187" t="s">
        <v>472</v>
      </c>
      <c r="E67" s="187"/>
      <c r="F67" s="187"/>
      <c r="G67" s="187"/>
      <c r="I67" s="191"/>
      <c r="K67" s="299">
        <v>463398</v>
      </c>
      <c r="L67" s="187" t="s">
        <v>473</v>
      </c>
    </row>
    <row r="68" spans="1:18">
      <c r="A68" s="3">
        <v>41</v>
      </c>
      <c r="B68" s="184"/>
      <c r="C68" s="187"/>
      <c r="D68" s="187" t="s">
        <v>474</v>
      </c>
      <c r="E68" s="187"/>
      <c r="F68" s="187"/>
      <c r="G68" s="187"/>
      <c r="I68" s="191"/>
      <c r="K68" s="299">
        <v>0</v>
      </c>
      <c r="L68" s="187" t="s">
        <v>475</v>
      </c>
    </row>
    <row r="69" spans="1:18">
      <c r="A69" s="3">
        <v>42</v>
      </c>
      <c r="B69" s="184"/>
      <c r="C69" s="187"/>
      <c r="D69" s="187"/>
      <c r="E69" s="187" t="s">
        <v>476</v>
      </c>
      <c r="F69" s="187"/>
      <c r="G69" s="187"/>
      <c r="I69" s="191"/>
      <c r="K69" s="299">
        <v>0</v>
      </c>
      <c r="L69" s="187" t="s">
        <v>477</v>
      </c>
    </row>
    <row r="70" spans="1:18">
      <c r="A70" s="3">
        <v>43</v>
      </c>
      <c r="B70" s="184"/>
      <c r="C70" s="187"/>
      <c r="D70" s="187"/>
      <c r="E70" s="187" t="s">
        <v>478</v>
      </c>
      <c r="F70" s="187"/>
      <c r="G70" s="187"/>
      <c r="I70" s="191"/>
      <c r="K70" s="299">
        <v>0</v>
      </c>
      <c r="L70" s="187" t="s">
        <v>479</v>
      </c>
    </row>
    <row r="71" spans="1:18">
      <c r="A71" s="3">
        <v>44</v>
      </c>
      <c r="B71" s="184"/>
      <c r="C71" s="187"/>
      <c r="D71" s="187"/>
      <c r="E71" s="187"/>
      <c r="F71" s="187" t="s">
        <v>480</v>
      </c>
      <c r="G71" s="187"/>
      <c r="I71" s="191"/>
      <c r="K71" s="300">
        <f>SUM(K66:K70)</f>
        <v>34903230</v>
      </c>
      <c r="L71" s="190" t="s">
        <v>516</v>
      </c>
    </row>
    <row r="72" spans="1:18">
      <c r="A72" s="3">
        <v>45</v>
      </c>
      <c r="B72" s="184"/>
      <c r="C72" s="184" t="s">
        <v>481</v>
      </c>
      <c r="D72" s="184"/>
      <c r="E72" s="184"/>
      <c r="F72" s="184"/>
      <c r="G72" s="187"/>
      <c r="I72" s="191"/>
      <c r="K72" s="302"/>
      <c r="L72" s="187"/>
    </row>
    <row r="73" spans="1:18">
      <c r="A73" s="3">
        <v>46</v>
      </c>
      <c r="B73" s="184"/>
      <c r="C73" s="187"/>
      <c r="D73" s="187" t="s">
        <v>482</v>
      </c>
      <c r="E73" s="187"/>
      <c r="F73" s="187"/>
      <c r="G73" s="187"/>
      <c r="I73" s="191"/>
      <c r="K73" s="299">
        <v>0</v>
      </c>
      <c r="L73" s="187" t="s">
        <v>483</v>
      </c>
      <c r="P73" s="284"/>
    </row>
    <row r="74" spans="1:18">
      <c r="A74" s="3">
        <v>47</v>
      </c>
      <c r="B74" s="184"/>
      <c r="C74" s="187"/>
      <c r="D74" s="187" t="s">
        <v>484</v>
      </c>
      <c r="E74" s="187"/>
      <c r="F74" s="187"/>
      <c r="G74" s="187"/>
      <c r="I74" s="191"/>
      <c r="K74" s="299">
        <v>0</v>
      </c>
      <c r="L74" s="187" t="s">
        <v>485</v>
      </c>
    </row>
    <row r="75" spans="1:18">
      <c r="A75" s="3">
        <v>48</v>
      </c>
      <c r="B75" s="184"/>
      <c r="C75" s="187"/>
      <c r="D75" s="187" t="s">
        <v>486</v>
      </c>
      <c r="E75" s="187"/>
      <c r="F75" s="187"/>
      <c r="G75" s="187"/>
      <c r="I75" s="191"/>
      <c r="K75" s="299">
        <v>0</v>
      </c>
      <c r="L75" s="187" t="s">
        <v>487</v>
      </c>
    </row>
    <row r="76" spans="1:18">
      <c r="A76" s="3">
        <v>49</v>
      </c>
      <c r="B76" s="184"/>
      <c r="C76" s="187"/>
      <c r="D76" s="187" t="s">
        <v>488</v>
      </c>
      <c r="E76" s="187"/>
      <c r="F76" s="187"/>
      <c r="G76" s="187"/>
      <c r="I76" s="191"/>
      <c r="K76" s="299">
        <v>0</v>
      </c>
      <c r="L76" s="187" t="s">
        <v>489</v>
      </c>
      <c r="Q76" s="284"/>
      <c r="R76" s="284"/>
    </row>
    <row r="77" spans="1:18">
      <c r="A77" s="3">
        <v>50</v>
      </c>
      <c r="B77" s="184"/>
      <c r="C77" s="187"/>
      <c r="D77" s="187" t="s">
        <v>490</v>
      </c>
      <c r="E77" s="187"/>
      <c r="F77" s="187"/>
      <c r="G77" s="187"/>
      <c r="I77" s="191"/>
      <c r="K77" s="299">
        <v>0</v>
      </c>
      <c r="L77" s="187" t="s">
        <v>491</v>
      </c>
    </row>
    <row r="78" spans="1:18">
      <c r="A78" s="3">
        <v>51</v>
      </c>
      <c r="B78" s="184"/>
      <c r="C78" s="187"/>
      <c r="D78" s="187" t="s">
        <v>492</v>
      </c>
      <c r="E78" s="187"/>
      <c r="F78" s="187"/>
      <c r="G78" s="187"/>
      <c r="I78" s="191"/>
      <c r="K78" s="299">
        <v>0</v>
      </c>
      <c r="L78" s="187" t="s">
        <v>493</v>
      </c>
    </row>
    <row r="79" spans="1:18">
      <c r="A79" s="3">
        <v>52</v>
      </c>
      <c r="B79" s="184"/>
      <c r="C79" s="187"/>
      <c r="D79" s="187"/>
      <c r="E79" s="187" t="s">
        <v>494</v>
      </c>
      <c r="F79" s="187"/>
      <c r="G79" s="187"/>
      <c r="I79" s="187"/>
      <c r="K79" s="303">
        <f>SUM(K73:K78)</f>
        <v>0</v>
      </c>
      <c r="L79" s="207" t="s">
        <v>517</v>
      </c>
    </row>
    <row r="80" spans="1:18">
      <c r="A80" s="3">
        <v>53</v>
      </c>
      <c r="B80" s="184"/>
      <c r="C80" s="187"/>
      <c r="D80" s="187" t="s">
        <v>495</v>
      </c>
      <c r="E80" s="187"/>
      <c r="F80" s="187"/>
      <c r="G80" s="187"/>
      <c r="I80" s="191"/>
      <c r="K80" s="299">
        <v>0</v>
      </c>
      <c r="L80" s="187" t="s">
        <v>496</v>
      </c>
    </row>
    <row r="81" spans="1:18">
      <c r="A81" s="3">
        <v>54</v>
      </c>
      <c r="B81" s="184"/>
      <c r="C81" s="184" t="s">
        <v>497</v>
      </c>
      <c r="D81" s="184"/>
      <c r="E81" s="184"/>
      <c r="F81" s="184"/>
      <c r="G81" s="187"/>
      <c r="I81" s="191"/>
      <c r="K81" s="302"/>
      <c r="L81" s="187"/>
      <c r="M81"/>
      <c r="N81"/>
    </row>
    <row r="82" spans="1:18">
      <c r="A82" s="3">
        <v>55</v>
      </c>
      <c r="B82" s="184"/>
      <c r="C82" s="187"/>
      <c r="D82" s="187" t="s">
        <v>498</v>
      </c>
      <c r="E82" s="187"/>
      <c r="F82" s="187"/>
      <c r="G82" s="187"/>
      <c r="I82" s="191"/>
      <c r="K82" s="299">
        <v>704206705.5</v>
      </c>
      <c r="L82" s="187" t="s">
        <v>499</v>
      </c>
      <c r="M82"/>
      <c r="N82"/>
      <c r="R82" s="287"/>
    </row>
    <row r="83" spans="1:18">
      <c r="A83" s="3">
        <v>56</v>
      </c>
      <c r="B83" s="184"/>
      <c r="C83" s="187"/>
      <c r="D83" s="187"/>
      <c r="E83" s="187" t="s">
        <v>500</v>
      </c>
      <c r="F83" s="187"/>
      <c r="G83" s="187"/>
      <c r="I83" s="191"/>
      <c r="K83" s="299">
        <v>0</v>
      </c>
      <c r="L83" s="187" t="s">
        <v>501</v>
      </c>
      <c r="M83"/>
      <c r="N83"/>
      <c r="R83" s="287"/>
    </row>
    <row r="84" spans="1:18">
      <c r="A84" s="3">
        <v>57</v>
      </c>
      <c r="B84" s="184"/>
      <c r="C84" s="187"/>
      <c r="D84" s="187"/>
      <c r="E84" s="187" t="s">
        <v>502</v>
      </c>
      <c r="F84" s="187"/>
      <c r="G84" s="187"/>
      <c r="I84" s="191"/>
      <c r="K84" s="299">
        <v>96844424</v>
      </c>
      <c r="L84" s="187" t="s">
        <v>503</v>
      </c>
      <c r="M84"/>
      <c r="N84"/>
    </row>
    <row r="85" spans="1:18">
      <c r="A85" s="3">
        <v>58</v>
      </c>
      <c r="B85" s="184"/>
      <c r="C85" s="187"/>
      <c r="D85" s="187"/>
      <c r="E85" s="187" t="s">
        <v>504</v>
      </c>
      <c r="F85" s="187"/>
      <c r="G85" s="187"/>
      <c r="I85" s="191"/>
      <c r="K85" s="299">
        <f>AVERAGE(0,0)</f>
        <v>0</v>
      </c>
      <c r="L85" s="190" t="s">
        <v>505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506</v>
      </c>
      <c r="G86" s="187"/>
      <c r="I86" s="194"/>
      <c r="J86" s="96"/>
      <c r="K86" s="304">
        <f>K82-K83-K84+K85</f>
        <v>607362281.5</v>
      </c>
      <c r="L86" s="208" t="s">
        <v>518</v>
      </c>
      <c r="M86" s="208"/>
      <c r="N86" s="7"/>
    </row>
    <row r="87" spans="1:18">
      <c r="A87" s="3">
        <v>60</v>
      </c>
      <c r="B87" s="184"/>
      <c r="C87" s="201" t="s">
        <v>507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576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577</v>
      </c>
      <c r="G89" s="199"/>
      <c r="H89" s="202"/>
      <c r="I89" s="202"/>
      <c r="J89"/>
      <c r="K89"/>
      <c r="M89" s="204" t="s">
        <v>513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508</v>
      </c>
      <c r="G90"/>
      <c r="H90"/>
      <c r="I90" s="205">
        <v>0.1057</v>
      </c>
      <c r="J90" s="202"/>
      <c r="K90" s="284"/>
      <c r="L90"/>
      <c r="M90"/>
      <c r="N90"/>
    </row>
    <row r="91" spans="1:18">
      <c r="A91" s="3">
        <v>64</v>
      </c>
      <c r="B91" s="187"/>
      <c r="C91" s="187" t="s">
        <v>524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3" t="s">
        <v>523</v>
      </c>
    </row>
  </sheetData>
  <phoneticPr fontId="0" type="noConversion"/>
  <pageMargins left="0.41" right="0" top="0.5" bottom="0" header="0.5" footer="0.25"/>
  <pageSetup scale="45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topLeftCell="C1" zoomScale="80" zoomScaleNormal="80" workbookViewId="0">
      <selection activeCell="C31" sqref="C31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100</v>
      </c>
    </row>
    <row r="6" spans="1:15">
      <c r="A6" s="2"/>
      <c r="B6" s="23" t="s">
        <v>206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101</v>
      </c>
    </row>
    <row r="7" spans="1:15">
      <c r="B7" s="98" t="str">
        <f>+'5 alloc.'!B6</f>
        <v>Actual</v>
      </c>
      <c r="M7" s="5" t="s">
        <v>341</v>
      </c>
    </row>
    <row r="8" spans="1:15">
      <c r="B8" s="198">
        <f>+'5 alloc.'!B7</f>
        <v>2016</v>
      </c>
      <c r="C8" s="206"/>
      <c r="M8" s="5" t="s">
        <v>596</v>
      </c>
    </row>
    <row r="9" spans="1:15">
      <c r="A9" s="96"/>
      <c r="B9" s="206"/>
      <c r="C9" s="206"/>
    </row>
    <row r="10" spans="1:15">
      <c r="A10" s="5"/>
      <c r="C10" s="25" t="s">
        <v>65</v>
      </c>
      <c r="D10" s="25" t="s">
        <v>61</v>
      </c>
      <c r="F10" s="29" t="s">
        <v>63</v>
      </c>
      <c r="G10" s="25" t="s">
        <v>190</v>
      </c>
      <c r="I10" s="29" t="s">
        <v>191</v>
      </c>
      <c r="J10" s="25" t="s">
        <v>192</v>
      </c>
      <c r="L10" s="29" t="s">
        <v>193</v>
      </c>
    </row>
    <row r="11" spans="1:15">
      <c r="A11" s="12"/>
      <c r="D11" s="23" t="s">
        <v>62</v>
      </c>
      <c r="E11" s="7"/>
      <c r="F11" s="23" t="s">
        <v>186</v>
      </c>
      <c r="G11" s="23" t="s">
        <v>62</v>
      </c>
      <c r="H11" s="7"/>
      <c r="I11" s="23" t="s">
        <v>122</v>
      </c>
      <c r="J11" s="23" t="s">
        <v>62</v>
      </c>
      <c r="K11" s="7"/>
      <c r="L11" s="23" t="s">
        <v>123</v>
      </c>
      <c r="M11" s="7"/>
      <c r="N11" s="7"/>
      <c r="O11" s="7"/>
    </row>
    <row r="12" spans="1:15">
      <c r="A12" s="5" t="s">
        <v>64</v>
      </c>
      <c r="D12" s="23" t="s">
        <v>66</v>
      </c>
      <c r="F12" s="30" t="s">
        <v>156</v>
      </c>
      <c r="G12" s="23" t="s">
        <v>66</v>
      </c>
      <c r="I12" s="30" t="s">
        <v>156</v>
      </c>
      <c r="J12" s="23" t="s">
        <v>66</v>
      </c>
      <c r="L12" s="30" t="s">
        <v>156</v>
      </c>
      <c r="M12" s="30" t="s">
        <v>67</v>
      </c>
    </row>
    <row r="13" spans="1:15">
      <c r="A13" s="6" t="s">
        <v>68</v>
      </c>
      <c r="C13" s="31" t="s">
        <v>69</v>
      </c>
      <c r="D13" s="31" t="s">
        <v>70</v>
      </c>
      <c r="F13" s="31" t="s">
        <v>71</v>
      </c>
      <c r="G13" s="31" t="s">
        <v>70</v>
      </c>
      <c r="I13" s="31" t="s">
        <v>71</v>
      </c>
      <c r="J13" s="31" t="s">
        <v>70</v>
      </c>
      <c r="L13" s="31" t="s">
        <v>71</v>
      </c>
      <c r="M13" s="31" t="s">
        <v>72</v>
      </c>
    </row>
    <row r="14" spans="1:15">
      <c r="B14" s="13" t="s">
        <v>160</v>
      </c>
    </row>
    <row r="15" spans="1:15">
      <c r="A15" s="3">
        <v>1</v>
      </c>
      <c r="B15" s="3" t="s">
        <v>160</v>
      </c>
      <c r="C15" s="38">
        <f>+'6 Dist alloc.'!C65</f>
        <v>777425740</v>
      </c>
      <c r="D15" s="32">
        <f>+'6 Dist alloc.'!D$69</f>
        <v>0.16168795877532946</v>
      </c>
      <c r="E15" s="96" t="s">
        <v>179</v>
      </c>
      <c r="F15" s="111">
        <f>+C15*D15</f>
        <v>125700381</v>
      </c>
      <c r="G15" s="32">
        <f>+'6 Dist alloc.'!E$69</f>
        <v>0.54412068604777608</v>
      </c>
      <c r="H15" s="96" t="s">
        <v>188</v>
      </c>
      <c r="I15" s="111">
        <f>+C15*G15</f>
        <v>423013427</v>
      </c>
      <c r="J15" s="32">
        <f>+'6 Dist alloc.'!F$69</f>
        <v>5.0975291865175444E-2</v>
      </c>
      <c r="K15" s="96" t="s">
        <v>189</v>
      </c>
      <c r="L15" s="111">
        <f>+C15*J15</f>
        <v>39629504</v>
      </c>
      <c r="M15" s="3" t="s">
        <v>568</v>
      </c>
    </row>
    <row r="16" spans="1:15">
      <c r="A16" s="3">
        <f>1+A15</f>
        <v>2</v>
      </c>
      <c r="B16" s="3" t="s">
        <v>169</v>
      </c>
      <c r="C16" s="99">
        <f>+'5 alloc.'!D43</f>
        <v>116024379.41615383</v>
      </c>
      <c r="D16" s="32">
        <f>+'5 alloc.'!D$24</f>
        <v>7.9469875492097247E-2</v>
      </c>
      <c r="E16" s="3" t="s">
        <v>1</v>
      </c>
      <c r="F16" s="33">
        <f>ROUND(C16*D16,0)</f>
        <v>9220443</v>
      </c>
      <c r="G16" s="32">
        <f>+'5 alloc.'!E$24</f>
        <v>0.48858516144183822</v>
      </c>
      <c r="H16" s="3" t="s">
        <v>1</v>
      </c>
      <c r="I16" s="33">
        <f>ROUND(C16*G16,0)</f>
        <v>56687790</v>
      </c>
      <c r="J16" s="32">
        <f>+'5 alloc.'!F$24</f>
        <v>1.2645569302982574E-2</v>
      </c>
      <c r="K16" s="3" t="s">
        <v>1</v>
      </c>
      <c r="L16" s="33">
        <f>ROUND(C16*J16,0)</f>
        <v>1467194</v>
      </c>
      <c r="M16" s="3" t="s">
        <v>570</v>
      </c>
    </row>
    <row r="17" spans="1:13" ht="15.75" thickBot="1">
      <c r="A17" s="3">
        <f t="shared" ref="A17:A49" si="0">1+A16</f>
        <v>3</v>
      </c>
      <c r="B17" s="3" t="s">
        <v>73</v>
      </c>
      <c r="C17" s="18"/>
      <c r="D17" s="8"/>
      <c r="F17" s="112">
        <f>F15+F16</f>
        <v>134920824</v>
      </c>
      <c r="G17" s="8"/>
      <c r="I17" s="112">
        <f>I15+I16</f>
        <v>479701217</v>
      </c>
      <c r="J17" s="8"/>
      <c r="L17" s="112">
        <f>L15+L16</f>
        <v>41096698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161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162</v>
      </c>
      <c r="C20" s="239">
        <f>+'12   13 mo avg accu dep'!C29</f>
        <v>282574664.35153848</v>
      </c>
      <c r="D20" s="32">
        <f>+'6 Dist alloc.'!D$69</f>
        <v>0.16168795877532946</v>
      </c>
      <c r="E20" s="96" t="s">
        <v>179</v>
      </c>
      <c r="F20" s="18">
        <f>ROUND(C20*D20,0)</f>
        <v>45688921</v>
      </c>
      <c r="G20" s="32">
        <f>+'6 Dist alloc.'!E$69</f>
        <v>0.54412068604777608</v>
      </c>
      <c r="H20" s="96" t="s">
        <v>188</v>
      </c>
      <c r="I20" s="18">
        <f>ROUND(C20*G20,0)</f>
        <v>153754720</v>
      </c>
      <c r="J20" s="32">
        <f>+'6 Dist alloc.'!F$69</f>
        <v>5.0975291865175444E-2</v>
      </c>
      <c r="K20" s="96" t="s">
        <v>189</v>
      </c>
      <c r="L20" s="18">
        <f>ROUND(C20*J20,0)</f>
        <v>14404326</v>
      </c>
      <c r="M20" s="3" t="s">
        <v>571</v>
      </c>
    </row>
    <row r="21" spans="1:13">
      <c r="A21" s="3">
        <f t="shared" si="0"/>
        <v>6</v>
      </c>
      <c r="B21" s="3" t="s">
        <v>573</v>
      </c>
      <c r="C21" s="239">
        <f>+'12   13 mo avg accu dep'!C46</f>
        <v>30242973.016923074</v>
      </c>
      <c r="D21" s="32">
        <f>+'5 alloc.'!D$24</f>
        <v>7.9469875492097247E-2</v>
      </c>
      <c r="E21" s="3" t="s">
        <v>1</v>
      </c>
      <c r="F21" s="33">
        <f>ROUND(C21*D21,0)</f>
        <v>2403405</v>
      </c>
      <c r="G21" s="32">
        <f>+'5 alloc.'!E$24</f>
        <v>0.48858516144183822</v>
      </c>
      <c r="H21" s="3" t="s">
        <v>1</v>
      </c>
      <c r="I21" s="33">
        <f>ROUND(C21*G21,0)</f>
        <v>14776268</v>
      </c>
      <c r="J21" s="32">
        <f>+'5 alloc.'!F$24</f>
        <v>1.2645569302982574E-2</v>
      </c>
      <c r="K21" s="3" t="s">
        <v>1</v>
      </c>
      <c r="L21" s="33">
        <f>ROUND(C21*J21,0)</f>
        <v>382440</v>
      </c>
      <c r="M21" s="3" t="s">
        <v>572</v>
      </c>
    </row>
    <row r="22" spans="1:13" ht="15.75" thickBot="1">
      <c r="A22" s="3">
        <f t="shared" si="0"/>
        <v>7</v>
      </c>
      <c r="B22" s="3" t="s">
        <v>373</v>
      </c>
      <c r="C22" s="95"/>
      <c r="D22" s="32"/>
      <c r="F22" s="112">
        <f>F20+F21</f>
        <v>48092326</v>
      </c>
      <c r="G22" s="32"/>
      <c r="I22" s="112">
        <f>I20+I21</f>
        <v>168530988</v>
      </c>
      <c r="J22" s="32"/>
      <c r="L22" s="112">
        <f>L20+L21</f>
        <v>14786766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163</v>
      </c>
      <c r="C24" s="238"/>
      <c r="F24" s="17"/>
      <c r="I24" s="17"/>
      <c r="L24" s="17"/>
    </row>
    <row r="25" spans="1:13">
      <c r="A25" s="3">
        <f t="shared" si="0"/>
        <v>9</v>
      </c>
      <c r="B25" s="96" t="s">
        <v>613</v>
      </c>
      <c r="C25" s="291"/>
      <c r="D25" s="240"/>
      <c r="E25" s="96"/>
      <c r="F25" s="241"/>
      <c r="G25" s="240"/>
      <c r="H25" s="96"/>
      <c r="I25" s="241"/>
      <c r="J25" s="240"/>
      <c r="K25" s="96"/>
      <c r="L25" s="241"/>
      <c r="M25" s="96"/>
    </row>
    <row r="26" spans="1:13">
      <c r="A26" s="3">
        <f t="shared" si="0"/>
        <v>10</v>
      </c>
      <c r="B26" s="26" t="s">
        <v>310</v>
      </c>
      <c r="C26" s="310">
        <f>-'13 ADIT '!E20</f>
        <v>275808369</v>
      </c>
      <c r="D26" s="32">
        <f>+'5 alloc.'!D$38</f>
        <v>8.1328719888073164E-2</v>
      </c>
      <c r="E26" s="3" t="s">
        <v>2</v>
      </c>
      <c r="F26" s="18">
        <f>ROUND(C26*D26,0)</f>
        <v>22431142</v>
      </c>
      <c r="G26" s="32">
        <f>+'5 alloc.'!E$38</f>
        <v>0.27369161684065924</v>
      </c>
      <c r="H26" s="3" t="s">
        <v>2</v>
      </c>
      <c r="I26" s="18">
        <f>ROUND(C26*G26,0)</f>
        <v>75486438</v>
      </c>
      <c r="J26" s="32">
        <f>+'5 alloc.'!F$38</f>
        <v>2.5640469857599515E-2</v>
      </c>
      <c r="K26" s="3" t="s">
        <v>2</v>
      </c>
      <c r="L26" s="18">
        <f>ROUND(C26*J26,0)</f>
        <v>7071856</v>
      </c>
      <c r="M26" s="3" t="s">
        <v>652</v>
      </c>
    </row>
    <row r="27" spans="1:13">
      <c r="A27" s="3">
        <f t="shared" si="0"/>
        <v>11</v>
      </c>
      <c r="B27" s="26" t="s">
        <v>311</v>
      </c>
      <c r="C27" s="138">
        <f>+-'13 ADIT '!E28</f>
        <v>169677601</v>
      </c>
      <c r="D27" s="32">
        <f>+'5 alloc.'!D$38</f>
        <v>8.1328719888073164E-2</v>
      </c>
      <c r="E27" s="3" t="s">
        <v>2</v>
      </c>
      <c r="F27" s="18">
        <f>ROUND(C27*D27,0)</f>
        <v>13799662</v>
      </c>
      <c r="G27" s="32">
        <f>+'5 alloc.'!E$38</f>
        <v>0.27369161684065924</v>
      </c>
      <c r="H27" s="3" t="s">
        <v>2</v>
      </c>
      <c r="I27" s="18">
        <f>ROUND(C27*G27,0)</f>
        <v>46439337</v>
      </c>
      <c r="J27" s="32">
        <f>+'5 alloc.'!F$38</f>
        <v>2.5640469857599515E-2</v>
      </c>
      <c r="K27" s="3" t="s">
        <v>2</v>
      </c>
      <c r="L27" s="18">
        <f>ROUND(C27*J27,0)</f>
        <v>4350613</v>
      </c>
      <c r="M27" s="3" t="s">
        <v>653</v>
      </c>
    </row>
    <row r="28" spans="1:13">
      <c r="A28" s="3">
        <f t="shared" si="0"/>
        <v>12</v>
      </c>
      <c r="B28" s="3" t="s">
        <v>74</v>
      </c>
      <c r="C28" s="138">
        <f>+-'13 ADIT '!E36</f>
        <v>-129924303</v>
      </c>
      <c r="D28" s="32">
        <f>+'5 alloc.'!D$38</f>
        <v>8.1328719888073164E-2</v>
      </c>
      <c r="E28" s="3" t="s">
        <v>2</v>
      </c>
      <c r="F28" s="74">
        <f>ROUND(C28*D28,0)</f>
        <v>-10566577</v>
      </c>
      <c r="G28" s="32">
        <f>+'5 alloc.'!E$38</f>
        <v>0.27369161684065924</v>
      </c>
      <c r="H28" s="3" t="s">
        <v>2</v>
      </c>
      <c r="I28" s="74">
        <f>ROUND(C28*G28,0)</f>
        <v>-35559193</v>
      </c>
      <c r="J28" s="32">
        <f>+'5 alloc.'!F$38</f>
        <v>2.5640469857599515E-2</v>
      </c>
      <c r="K28" s="3" t="s">
        <v>2</v>
      </c>
      <c r="L28" s="74">
        <f>ROUND(C28*J28,0)</f>
        <v>-3331320</v>
      </c>
      <c r="M28" s="3" t="s">
        <v>654</v>
      </c>
    </row>
    <row r="29" spans="1:13" ht="15.75" thickBot="1">
      <c r="A29" s="3">
        <f t="shared" si="0"/>
        <v>13</v>
      </c>
      <c r="B29" s="3" t="s">
        <v>374</v>
      </c>
      <c r="C29" s="311">
        <f>SUM(C25:C28)</f>
        <v>315561667</v>
      </c>
      <c r="F29" s="113">
        <f>+C29*D28</f>
        <v>25664226.42285642</v>
      </c>
      <c r="I29" s="113">
        <f>+C29*G28</f>
        <v>86366582.854163706</v>
      </c>
      <c r="L29" s="113">
        <f>+C29*J28</f>
        <v>8091149.4109273553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164</v>
      </c>
      <c r="C31" s="239">
        <f>+'14 165 Prepayments'!E28</f>
        <v>7867997.8999999994</v>
      </c>
      <c r="D31" s="32">
        <f>+'5 alloc.'!D$24</f>
        <v>7.9469875492097247E-2</v>
      </c>
      <c r="E31" s="3" t="s">
        <v>1</v>
      </c>
      <c r="F31" s="17">
        <f>ROUND(C31*D31,0)</f>
        <v>625269</v>
      </c>
      <c r="G31" s="32">
        <f>+'5 alloc.'!E$24</f>
        <v>0.48858516144183822</v>
      </c>
      <c r="H31" s="3" t="s">
        <v>1</v>
      </c>
      <c r="I31" s="17">
        <f>ROUND(C31*G31,0)</f>
        <v>3844187</v>
      </c>
      <c r="J31" s="32">
        <f>+'5 alloc.'!F$24</f>
        <v>1.2645569302982574E-2</v>
      </c>
      <c r="K31" s="3" t="s">
        <v>1</v>
      </c>
      <c r="L31" s="17">
        <f>ROUND(C31*J31,0)</f>
        <v>99495</v>
      </c>
      <c r="M31" s="3" t="s">
        <v>650</v>
      </c>
    </row>
    <row r="32" spans="1:13">
      <c r="C32" s="18"/>
    </row>
    <row r="33" spans="1:13">
      <c r="A33" s="3">
        <v>15</v>
      </c>
      <c r="B33" s="34" t="s">
        <v>165</v>
      </c>
      <c r="C33" s="313">
        <f>AVERAGE(100067,70000)</f>
        <v>85033.5</v>
      </c>
      <c r="D33" s="32">
        <f>+'6 Dist alloc.'!D$69</f>
        <v>0.16168795877532946</v>
      </c>
      <c r="E33" s="96" t="s">
        <v>179</v>
      </c>
      <c r="F33" s="18">
        <f>ROUND(C33*D33,0)</f>
        <v>13749</v>
      </c>
      <c r="G33" s="32">
        <f>+'6 Dist alloc.'!E$69</f>
        <v>0.54412068604777608</v>
      </c>
      <c r="H33" s="96" t="s">
        <v>188</v>
      </c>
      <c r="I33" s="18">
        <f>ROUND(C33*G33,0)</f>
        <v>46268</v>
      </c>
      <c r="J33" s="32">
        <f>+'6 Dist alloc.'!F$69</f>
        <v>5.0975291865175444E-2</v>
      </c>
      <c r="K33" s="96" t="s">
        <v>189</v>
      </c>
      <c r="L33" s="18">
        <f>ROUND(C33*J33,0)</f>
        <v>4335</v>
      </c>
      <c r="M33" s="3" t="s">
        <v>655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17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30</v>
      </c>
      <c r="F36" s="17">
        <f>+'1 Rev Req'!E38</f>
        <v>4712923.0440290002</v>
      </c>
      <c r="I36" s="99">
        <f>+'1 Rev Req'!G38</f>
        <v>28975309.852584999</v>
      </c>
      <c r="J36" s="96"/>
      <c r="K36" s="96"/>
      <c r="L36" s="99">
        <f>+'1 Rev Req'!I38</f>
        <v>749939.45320600003</v>
      </c>
      <c r="M36" s="96" t="s">
        <v>334</v>
      </c>
    </row>
    <row r="37" spans="1:13">
      <c r="A37" s="3">
        <f t="shared" si="0"/>
        <v>18</v>
      </c>
      <c r="B37" s="36" t="s">
        <v>32</v>
      </c>
      <c r="C37" s="22"/>
      <c r="D37" s="135"/>
      <c r="E37" s="135"/>
      <c r="F37" s="17">
        <f>+'1 Rev Req'!E39</f>
        <v>3276707</v>
      </c>
      <c r="G37" s="135"/>
      <c r="H37" s="135"/>
      <c r="I37" s="99">
        <f>+'1 Rev Req'!G39</f>
        <v>20145372</v>
      </c>
      <c r="J37" s="138"/>
      <c r="K37" s="138"/>
      <c r="L37" s="99">
        <f>+'1 Rev Req'!I39</f>
        <v>521403</v>
      </c>
      <c r="M37" s="96" t="s">
        <v>335</v>
      </c>
    </row>
    <row r="38" spans="1:13">
      <c r="A38" s="3">
        <f t="shared" si="0"/>
        <v>19</v>
      </c>
      <c r="B38" s="3" t="s">
        <v>375</v>
      </c>
      <c r="F38" s="114">
        <f>SUM(F36:F37)</f>
        <v>7989630.0440290002</v>
      </c>
      <c r="I38" s="114">
        <f>SUM(I36:I37)</f>
        <v>49120681.852585003</v>
      </c>
      <c r="J38" s="96"/>
      <c r="K38" s="96"/>
      <c r="L38" s="114">
        <f>SUM(L36:L37)</f>
        <v>1271342.4532059999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617</v>
      </c>
    </row>
    <row r="40" spans="1:13">
      <c r="A40" s="3">
        <v>21</v>
      </c>
      <c r="B40" s="3" t="s">
        <v>376</v>
      </c>
      <c r="C40" s="17"/>
      <c r="F40" s="114">
        <f>ROUND(+F38*F39,4)</f>
        <v>998703.75549999997</v>
      </c>
      <c r="I40" s="114">
        <f>ROUND(+I38*I39,4)</f>
        <v>6140085.2315999996</v>
      </c>
      <c r="L40" s="114">
        <f>ROUND(+L38*L39,4)</f>
        <v>158917.80669999999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103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59" orientation="landscape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A12" zoomScale="80" zoomScaleNormal="80" zoomScaleSheetLayoutView="100" workbookViewId="0">
      <selection activeCell="M30" sqref="M30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100</v>
      </c>
    </row>
    <row r="6" spans="1:15">
      <c r="B6" s="23" t="s">
        <v>205</v>
      </c>
    </row>
    <row r="7" spans="1:15">
      <c r="A7" s="2"/>
      <c r="B7" s="98" t="str">
        <f>+'5 alloc.'!B6</f>
        <v>Actual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>
        <f>+'5 alloc.'!B7</f>
        <v>2016</v>
      </c>
      <c r="C8" s="206"/>
      <c r="E8" s="96"/>
      <c r="F8" s="96"/>
      <c r="G8" s="96"/>
      <c r="H8" s="96"/>
      <c r="I8" s="96"/>
      <c r="J8" s="96"/>
      <c r="K8" s="96"/>
      <c r="L8" s="96"/>
      <c r="M8" s="5" t="s">
        <v>101</v>
      </c>
    </row>
    <row r="9" spans="1:15">
      <c r="A9" s="2"/>
      <c r="B9" s="198"/>
      <c r="C9" s="206"/>
      <c r="E9" s="96"/>
      <c r="F9" s="96"/>
      <c r="G9" s="96"/>
      <c r="H9" s="96"/>
      <c r="I9" s="96"/>
      <c r="J9" s="96"/>
      <c r="K9" s="96"/>
      <c r="L9" s="96"/>
      <c r="M9" s="5" t="s">
        <v>341</v>
      </c>
    </row>
    <row r="10" spans="1:15">
      <c r="M10" s="5" t="s">
        <v>595</v>
      </c>
    </row>
    <row r="11" spans="1:15">
      <c r="A11" s="5"/>
      <c r="D11" s="25"/>
    </row>
    <row r="12" spans="1:15">
      <c r="A12" s="5"/>
      <c r="C12" s="25" t="s">
        <v>65</v>
      </c>
      <c r="D12" s="25" t="s">
        <v>61</v>
      </c>
      <c r="F12" s="29" t="s">
        <v>63</v>
      </c>
      <c r="G12" s="25" t="s">
        <v>190</v>
      </c>
      <c r="I12" s="29" t="s">
        <v>191</v>
      </c>
      <c r="J12" s="25" t="s">
        <v>192</v>
      </c>
      <c r="L12" s="29" t="s">
        <v>193</v>
      </c>
    </row>
    <row r="13" spans="1:15">
      <c r="A13" s="12"/>
      <c r="D13" s="23" t="s">
        <v>62</v>
      </c>
      <c r="E13" s="7"/>
      <c r="F13" s="23" t="s">
        <v>186</v>
      </c>
      <c r="G13" s="23" t="s">
        <v>62</v>
      </c>
      <c r="H13" s="7"/>
      <c r="I13" s="23" t="s">
        <v>122</v>
      </c>
      <c r="J13" s="23" t="s">
        <v>62</v>
      </c>
      <c r="K13" s="7"/>
      <c r="L13" s="23" t="s">
        <v>123</v>
      </c>
      <c r="M13" s="7"/>
      <c r="N13" s="7"/>
      <c r="O13" s="7"/>
    </row>
    <row r="14" spans="1:15">
      <c r="A14" s="5" t="s">
        <v>64</v>
      </c>
      <c r="C14" s="25"/>
      <c r="D14" s="23" t="s">
        <v>66</v>
      </c>
      <c r="F14" s="30" t="s">
        <v>156</v>
      </c>
      <c r="G14" s="23" t="s">
        <v>66</v>
      </c>
      <c r="I14" s="30" t="s">
        <v>156</v>
      </c>
      <c r="J14" s="23" t="s">
        <v>66</v>
      </c>
      <c r="L14" s="30" t="s">
        <v>156</v>
      </c>
      <c r="M14" s="30" t="s">
        <v>67</v>
      </c>
    </row>
    <row r="15" spans="1:15">
      <c r="A15" s="6" t="s">
        <v>68</v>
      </c>
      <c r="C15" s="31" t="s">
        <v>69</v>
      </c>
      <c r="D15" s="31" t="s">
        <v>70</v>
      </c>
      <c r="F15" s="31" t="s">
        <v>71</v>
      </c>
      <c r="G15" s="31" t="s">
        <v>70</v>
      </c>
      <c r="I15" s="31" t="s">
        <v>71</v>
      </c>
      <c r="J15" s="31" t="s">
        <v>70</v>
      </c>
      <c r="L15" s="31" t="s">
        <v>71</v>
      </c>
      <c r="M15" s="31" t="s">
        <v>72</v>
      </c>
    </row>
    <row r="16" spans="1:15">
      <c r="B16" s="13" t="s">
        <v>22</v>
      </c>
    </row>
    <row r="17" spans="1:13">
      <c r="A17" s="3">
        <v>1</v>
      </c>
      <c r="B17" s="3" t="s">
        <v>443</v>
      </c>
      <c r="C17" s="236">
        <v>15845489</v>
      </c>
      <c r="D17" s="32">
        <f>+'6 Dist alloc.'!D$69</f>
        <v>0.16168795877532946</v>
      </c>
      <c r="E17" s="96" t="s">
        <v>179</v>
      </c>
      <c r="F17" s="100">
        <f>ROUND(C17*D17,0)</f>
        <v>2562025</v>
      </c>
      <c r="G17" s="32">
        <f>+'6 Dist alloc.'!E$69</f>
        <v>0.54412068604777608</v>
      </c>
      <c r="H17" s="96" t="s">
        <v>188</v>
      </c>
      <c r="I17" s="100">
        <f>ROUND(C17*G17,0)</f>
        <v>8621858</v>
      </c>
      <c r="J17" s="32">
        <f>+'6 Dist alloc.'!F$69</f>
        <v>5.0975291865175444E-2</v>
      </c>
      <c r="K17" s="96" t="s">
        <v>189</v>
      </c>
      <c r="L17" s="100">
        <f>ROUND(C17*J17,0)</f>
        <v>807728</v>
      </c>
      <c r="M17" s="3" t="s">
        <v>170</v>
      </c>
    </row>
    <row r="18" spans="1:13">
      <c r="A18" s="3">
        <f>1+A17</f>
        <v>2</v>
      </c>
      <c r="B18" s="3" t="s">
        <v>75</v>
      </c>
      <c r="C18" s="235">
        <v>4791119</v>
      </c>
      <c r="D18" s="32">
        <f>+'5 alloc.'!$D$24</f>
        <v>7.9469875492097247E-2</v>
      </c>
      <c r="E18" s="3" t="s">
        <v>1</v>
      </c>
      <c r="F18" s="33">
        <f>ROUND(C18*D18,0)</f>
        <v>380750</v>
      </c>
      <c r="G18" s="32">
        <f>+'5 alloc.'!E$24</f>
        <v>0.48858516144183822</v>
      </c>
      <c r="H18" s="3" t="s">
        <v>1</v>
      </c>
      <c r="I18" s="33">
        <f>ROUND(C18*G18,0)</f>
        <v>2340870</v>
      </c>
      <c r="J18" s="32">
        <f>+'5 alloc.'!F$24</f>
        <v>1.2645569302982574E-2</v>
      </c>
      <c r="K18" s="3" t="s">
        <v>1</v>
      </c>
      <c r="L18" s="33">
        <f>ROUND(C18*J18,0)</f>
        <v>60586</v>
      </c>
      <c r="M18" s="3" t="s">
        <v>98</v>
      </c>
    </row>
    <row r="19" spans="1:13">
      <c r="A19" s="3">
        <f t="shared" ref="A19:A65" si="0">1+A18</f>
        <v>3</v>
      </c>
      <c r="B19" s="3" t="s">
        <v>73</v>
      </c>
      <c r="C19" s="18"/>
      <c r="D19" s="8"/>
      <c r="F19" s="100">
        <f>F17+F18</f>
        <v>2942775</v>
      </c>
      <c r="G19" s="8"/>
      <c r="I19" s="100">
        <f>I17+I18</f>
        <v>10962728</v>
      </c>
      <c r="J19" s="8"/>
      <c r="L19" s="100">
        <f>L17+L18</f>
        <v>868314</v>
      </c>
    </row>
    <row r="20" spans="1:13">
      <c r="F20" s="17"/>
      <c r="I20" s="17"/>
      <c r="L20" s="17"/>
    </row>
    <row r="21" spans="1:13">
      <c r="A21" s="3">
        <v>4</v>
      </c>
      <c r="B21" s="34" t="s">
        <v>76</v>
      </c>
      <c r="C21" s="237">
        <v>187137</v>
      </c>
      <c r="D21" s="32">
        <f>+'5 alloc.'!D$38</f>
        <v>8.1328719888073164E-2</v>
      </c>
      <c r="E21" s="3" t="s">
        <v>2</v>
      </c>
      <c r="F21" s="17">
        <f>ROUND(C21*D21,0)</f>
        <v>15220</v>
      </c>
      <c r="G21" s="32">
        <f>+'5 alloc.'!E$38</f>
        <v>0.27369161684065924</v>
      </c>
      <c r="H21" s="3" t="s">
        <v>2</v>
      </c>
      <c r="I21" s="17">
        <f>ROUND(C21*G21,0)</f>
        <v>51218</v>
      </c>
      <c r="J21" s="32">
        <f>+'5 alloc.'!F$38</f>
        <v>2.5640469857599515E-2</v>
      </c>
      <c r="K21" s="3" t="s">
        <v>2</v>
      </c>
      <c r="L21" s="17">
        <f>ROUND(C21*J21,0)</f>
        <v>4798</v>
      </c>
      <c r="M21" s="3" t="s">
        <v>77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102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157</v>
      </c>
      <c r="C24" s="99">
        <f>+C62</f>
        <v>26943545</v>
      </c>
      <c r="D24" s="32">
        <f>+'5 alloc.'!D$38</f>
        <v>8.1328719888073164E-2</v>
      </c>
      <c r="E24" s="3" t="s">
        <v>2</v>
      </c>
      <c r="F24" s="17">
        <f>ROUND(C24*D24,0)</f>
        <v>2191284</v>
      </c>
      <c r="G24" s="32">
        <f>+'5 alloc.'!E$38</f>
        <v>0.27369161684065924</v>
      </c>
      <c r="H24" s="3" t="s">
        <v>2</v>
      </c>
      <c r="I24" s="17">
        <f>ROUND(C24*G24,0)</f>
        <v>7374222</v>
      </c>
      <c r="J24" s="32">
        <f>+'5 alloc.'!F$38</f>
        <v>2.5640469857599515E-2</v>
      </c>
      <c r="K24" s="3" t="s">
        <v>2</v>
      </c>
      <c r="L24" s="17">
        <f>ROUND(C24*J24,0)</f>
        <v>690845</v>
      </c>
      <c r="M24" s="3" t="s">
        <v>330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158</v>
      </c>
      <c r="C26" s="114"/>
      <c r="D26" s="22"/>
      <c r="F26" s="112">
        <f>+'6 Dist alloc.'!D43</f>
        <v>4712923.0440290002</v>
      </c>
      <c r="G26" s="22"/>
      <c r="I26" s="112">
        <f>+'6 Dist alloc.'!E43</f>
        <v>28975309.852584999</v>
      </c>
      <c r="J26" s="22"/>
      <c r="L26" s="112">
        <f>+'6 Dist alloc.'!F43</f>
        <v>749939.45320600003</v>
      </c>
      <c r="M26" s="3" t="s">
        <v>372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159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78</v>
      </c>
      <c r="C29" s="235">
        <v>39113007</v>
      </c>
      <c r="M29" s="3" t="s">
        <v>93</v>
      </c>
    </row>
    <row r="30" spans="1:13">
      <c r="A30" s="3">
        <f t="shared" si="0"/>
        <v>10</v>
      </c>
      <c r="B30" s="2" t="s">
        <v>212</v>
      </c>
      <c r="C30" s="235">
        <v>-256000</v>
      </c>
      <c r="M30" s="2" t="s">
        <v>687</v>
      </c>
    </row>
    <row r="31" spans="1:13">
      <c r="A31" s="3">
        <f t="shared" si="0"/>
        <v>11</v>
      </c>
      <c r="B31" s="2" t="s">
        <v>79</v>
      </c>
      <c r="C31" s="235">
        <v>235263</v>
      </c>
      <c r="M31" s="2" t="s">
        <v>94</v>
      </c>
    </row>
    <row r="32" spans="1:13">
      <c r="A32" s="3">
        <f t="shared" si="0"/>
        <v>12</v>
      </c>
      <c r="B32" s="35" t="s">
        <v>80</v>
      </c>
      <c r="C32" s="263">
        <v>82515</v>
      </c>
      <c r="M32" s="2" t="s">
        <v>95</v>
      </c>
    </row>
    <row r="33" spans="1:19">
      <c r="A33" s="3">
        <f t="shared" si="0"/>
        <v>13</v>
      </c>
      <c r="B33" s="2" t="s">
        <v>370</v>
      </c>
      <c r="C33" s="100">
        <f>+C29-C30-C31-C32</f>
        <v>39051229</v>
      </c>
      <c r="D33" s="32">
        <f>+'5 alloc.'!D$24</f>
        <v>7.9469875492097247E-2</v>
      </c>
      <c r="E33" s="3" t="s">
        <v>1</v>
      </c>
      <c r="F33" s="33">
        <f>ROUND(C33*D33,0)</f>
        <v>3103396</v>
      </c>
      <c r="G33" s="32">
        <f>+'5 alloc.'!E$24</f>
        <v>0.48858516144183822</v>
      </c>
      <c r="H33" s="3" t="s">
        <v>1</v>
      </c>
      <c r="I33" s="33">
        <f>ROUND(C33*G33,0)</f>
        <v>19079851</v>
      </c>
      <c r="J33" s="32">
        <f>+'5 alloc.'!F$24</f>
        <v>1.2645569302982574E-2</v>
      </c>
      <c r="K33" s="3" t="s">
        <v>1</v>
      </c>
      <c r="L33" s="33">
        <f>ROUND(C33*J33,0)</f>
        <v>493825</v>
      </c>
    </row>
    <row r="34" spans="1:19">
      <c r="A34" s="3">
        <f t="shared" si="0"/>
        <v>14</v>
      </c>
      <c r="B34" s="2" t="s">
        <v>567</v>
      </c>
      <c r="C34" s="309">
        <v>2180830</v>
      </c>
      <c r="D34" s="282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371</v>
      </c>
      <c r="C35" s="113">
        <f>+C33+C34</f>
        <v>41232059</v>
      </c>
      <c r="D35" s="32">
        <f>+'5 alloc.'!D$24</f>
        <v>7.9469875492097247E-2</v>
      </c>
      <c r="E35" s="3" t="s">
        <v>1</v>
      </c>
      <c r="F35" s="113">
        <f>ROUND(D35*C35,0)</f>
        <v>3276707</v>
      </c>
      <c r="G35" s="32">
        <f>+'5 alloc.'!E$24</f>
        <v>0.48858516144183822</v>
      </c>
      <c r="H35" s="3" t="s">
        <v>1</v>
      </c>
      <c r="I35" s="113">
        <f>ROUND(G35*C35,0)</f>
        <v>20145372</v>
      </c>
      <c r="J35" s="32">
        <f>+'5 alloc.'!F$24</f>
        <v>1.2645569302982574E-2</v>
      </c>
      <c r="K35" s="3" t="s">
        <v>1</v>
      </c>
      <c r="L35" s="113">
        <f>ROUND(J35*C35,0)</f>
        <v>521403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29</v>
      </c>
      <c r="C37" s="17">
        <f>+C53</f>
        <v>2600054</v>
      </c>
      <c r="D37" s="32">
        <f>+'5 alloc.'!D$24</f>
        <v>7.9469875492097247E-2</v>
      </c>
      <c r="E37" s="3" t="s">
        <v>1</v>
      </c>
      <c r="F37" s="112">
        <f>ROUND(C37*D37,0)</f>
        <v>206626</v>
      </c>
      <c r="G37" s="32">
        <f>+'5 alloc.'!E$24</f>
        <v>0.48858516144183822</v>
      </c>
      <c r="H37" s="3" t="s">
        <v>1</v>
      </c>
      <c r="I37" s="112">
        <f>ROUND(C37*G37,0)</f>
        <v>1270348</v>
      </c>
      <c r="J37" s="32">
        <f>+'5 alloc.'!F$24</f>
        <v>1.2645569302982574E-2</v>
      </c>
      <c r="K37" s="3" t="s">
        <v>1</v>
      </c>
      <c r="L37" s="112">
        <f>ROUND(C37*J37,0)</f>
        <v>32879</v>
      </c>
      <c r="M37" s="3" t="s">
        <v>521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103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634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81</v>
      </c>
      <c r="C49" s="305">
        <v>0</v>
      </c>
      <c r="D49" s="308"/>
      <c r="F49" s="3" t="s">
        <v>626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82</v>
      </c>
      <c r="C50" s="275">
        <v>2600054</v>
      </c>
      <c r="D50" s="26"/>
      <c r="F50" s="3" t="s">
        <v>625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83</v>
      </c>
      <c r="C51" s="305">
        <v>0</v>
      </c>
      <c r="D51" s="308"/>
      <c r="F51" s="3" t="s">
        <v>627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104</v>
      </c>
      <c r="C52" s="276">
        <v>0</v>
      </c>
      <c r="D52" s="26"/>
      <c r="F52" s="3" t="s">
        <v>624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84</v>
      </c>
      <c r="C53" s="178">
        <f>SUM(C49:C52)</f>
        <v>2600054</v>
      </c>
      <c r="D53" s="3" t="s">
        <v>387</v>
      </c>
      <c r="F53" s="261"/>
      <c r="G53" s="17"/>
      <c r="H53" s="17"/>
      <c r="I53" s="17"/>
      <c r="J53" s="17"/>
      <c r="K53" s="17"/>
      <c r="L53" s="17"/>
    </row>
    <row r="54" spans="1:12">
      <c r="D54" s="26"/>
      <c r="F54" s="261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202</v>
      </c>
      <c r="C55" s="106"/>
      <c r="D55" s="26"/>
      <c r="F55" s="261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107</v>
      </c>
      <c r="C56" s="306">
        <v>236607</v>
      </c>
      <c r="D56" s="26"/>
      <c r="F56" s="3" t="s">
        <v>628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108</v>
      </c>
      <c r="C57" s="306">
        <v>42414</v>
      </c>
      <c r="F57" s="3" t="s">
        <v>629</v>
      </c>
    </row>
    <row r="58" spans="1:12">
      <c r="A58" s="3">
        <f t="shared" si="0"/>
        <v>34</v>
      </c>
      <c r="B58" s="3" t="s">
        <v>109</v>
      </c>
      <c r="C58" s="307">
        <v>154102</v>
      </c>
      <c r="D58" s="26"/>
      <c r="F58" s="3" t="s">
        <v>630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340</v>
      </c>
      <c r="C59" s="307">
        <v>64298</v>
      </c>
      <c r="D59" s="26"/>
      <c r="F59" s="3" t="s">
        <v>631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110</v>
      </c>
      <c r="C60" s="307">
        <v>54087</v>
      </c>
      <c r="D60" s="26"/>
      <c r="F60" s="3" t="s">
        <v>632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111</v>
      </c>
      <c r="C61" s="276">
        <v>26392037</v>
      </c>
      <c r="D61" s="134"/>
      <c r="E61" s="134"/>
      <c r="F61" s="3" t="s">
        <v>633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112</v>
      </c>
      <c r="C62" s="178">
        <f>SUM(C56:C61)</f>
        <v>26943545</v>
      </c>
      <c r="D62" s="3" t="s">
        <v>344</v>
      </c>
      <c r="F62" s="262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445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83" t="s">
        <v>566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54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54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57" orientation="landscape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opLeftCell="A4" zoomScale="80" zoomScaleNormal="80" workbookViewId="0">
      <selection activeCell="D17" sqref="D17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100</v>
      </c>
    </row>
    <row r="5" spans="1:10">
      <c r="B5" s="23" t="s">
        <v>105</v>
      </c>
    </row>
    <row r="6" spans="1:10">
      <c r="B6" s="215" t="s">
        <v>619</v>
      </c>
    </row>
    <row r="7" spans="1:10">
      <c r="B7" s="215">
        <v>2016</v>
      </c>
      <c r="G7" s="5" t="s">
        <v>101</v>
      </c>
    </row>
    <row r="8" spans="1:10">
      <c r="B8" s="206"/>
      <c r="C8" s="206"/>
      <c r="G8" s="5" t="s">
        <v>341</v>
      </c>
    </row>
    <row r="9" spans="1:10">
      <c r="B9" s="206"/>
      <c r="C9" s="206"/>
      <c r="G9" s="5" t="s">
        <v>594</v>
      </c>
    </row>
    <row r="11" spans="1:10">
      <c r="A11" s="36" t="s">
        <v>64</v>
      </c>
    </row>
    <row r="12" spans="1:10">
      <c r="A12" s="81" t="s">
        <v>68</v>
      </c>
      <c r="C12" s="8"/>
      <c r="D12" s="8"/>
      <c r="E12" s="8"/>
      <c r="F12" s="8"/>
      <c r="H12" s="11"/>
      <c r="I12" s="9"/>
    </row>
    <row r="13" spans="1:10">
      <c r="A13" s="12"/>
      <c r="G13" s="3" t="s">
        <v>85</v>
      </c>
      <c r="H13" s="7"/>
      <c r="I13" s="7"/>
    </row>
    <row r="14" spans="1:10">
      <c r="A14" s="23">
        <v>1</v>
      </c>
      <c r="B14" s="13" t="s">
        <v>117</v>
      </c>
      <c r="D14" s="123" t="s">
        <v>186</v>
      </c>
      <c r="E14" s="123" t="s">
        <v>122</v>
      </c>
      <c r="F14" s="123" t="s">
        <v>123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118</v>
      </c>
      <c r="D16" s="232">
        <v>13100369</v>
      </c>
      <c r="E16" s="139"/>
      <c r="F16" s="139"/>
      <c r="G16" s="3" t="s">
        <v>153</v>
      </c>
      <c r="H16" s="7"/>
      <c r="I16" s="16"/>
      <c r="J16" s="260"/>
    </row>
    <row r="17" spans="1:10">
      <c r="A17" s="23"/>
      <c r="D17" s="231"/>
      <c r="E17" s="99"/>
      <c r="F17" s="99"/>
      <c r="H17" s="7"/>
      <c r="I17" s="19"/>
      <c r="J17" s="259"/>
    </row>
    <row r="18" spans="1:10">
      <c r="A18" s="23">
        <v>3</v>
      </c>
      <c r="B18" s="3" t="s">
        <v>86</v>
      </c>
      <c r="D18" s="233">
        <v>34646317</v>
      </c>
      <c r="E18" s="107"/>
      <c r="F18" s="107"/>
      <c r="G18" s="3" t="s">
        <v>96</v>
      </c>
      <c r="H18" s="7"/>
      <c r="I18" s="16"/>
      <c r="J18" s="260"/>
    </row>
    <row r="19" spans="1:10">
      <c r="A19" s="23">
        <f>1+A18</f>
        <v>4</v>
      </c>
      <c r="B19" s="3" t="s">
        <v>87</v>
      </c>
      <c r="C19" s="7"/>
      <c r="D19" s="234">
        <v>12549453</v>
      </c>
      <c r="E19" s="106"/>
      <c r="F19" s="106"/>
      <c r="G19" s="3" t="s">
        <v>97</v>
      </c>
      <c r="H19" s="7"/>
      <c r="I19" s="16"/>
      <c r="J19" s="260"/>
    </row>
    <row r="20" spans="1:10">
      <c r="A20" s="23">
        <f>1+A19</f>
        <v>5</v>
      </c>
      <c r="B20" s="3" t="s">
        <v>106</v>
      </c>
      <c r="C20" s="23"/>
      <c r="D20" s="17">
        <f>D18-D19</f>
        <v>22096864</v>
      </c>
      <c r="E20" s="99"/>
      <c r="F20" s="99"/>
      <c r="G20" s="3" t="s">
        <v>362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207</v>
      </c>
      <c r="D22" s="20">
        <f>+D16/D20</f>
        <v>0.59286100507293704</v>
      </c>
      <c r="E22" s="20">
        <f>+D22</f>
        <v>0.59286100507293704</v>
      </c>
      <c r="F22" s="20">
        <f>+D22</f>
        <v>0.59286100507293704</v>
      </c>
      <c r="G22" s="3" t="s">
        <v>363</v>
      </c>
      <c r="H22" s="7"/>
      <c r="I22" s="21"/>
    </row>
    <row r="23" spans="1:10">
      <c r="A23" s="23">
        <f>1+A22</f>
        <v>7</v>
      </c>
      <c r="B23" s="96" t="s">
        <v>208</v>
      </c>
      <c r="D23" s="174">
        <f>+'6 Dist alloc.'!D45</f>
        <v>0.13404469987416431</v>
      </c>
      <c r="E23" s="174">
        <f>+'6 Dist alloc.'!E45</f>
        <v>0.82411418066150222</v>
      </c>
      <c r="F23" s="174">
        <f>+'6 Dist alloc.'!F45</f>
        <v>2.1329736978445472E-2</v>
      </c>
      <c r="G23" s="3" t="s">
        <v>185</v>
      </c>
      <c r="H23" s="7"/>
      <c r="I23" s="21"/>
    </row>
    <row r="24" spans="1:10" ht="16.5" thickBot="1">
      <c r="A24" s="23">
        <f>1+A23</f>
        <v>8</v>
      </c>
      <c r="B24" s="116" t="s">
        <v>213</v>
      </c>
      <c r="D24" s="129">
        <f>+D22*D23</f>
        <v>7.9469875492097247E-2</v>
      </c>
      <c r="E24" s="129">
        <f>+E22*E23</f>
        <v>0.48858516144183822</v>
      </c>
      <c r="F24" s="129">
        <f>+F22*F23</f>
        <v>1.2645569302982574E-2</v>
      </c>
      <c r="G24" s="3" t="s">
        <v>364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172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120</v>
      </c>
      <c r="D29" s="102">
        <f>+'11 13 mo avg plant'!C29</f>
        <v>755734126.69846153</v>
      </c>
      <c r="E29" s="102"/>
      <c r="F29" s="102"/>
      <c r="G29" s="3" t="s">
        <v>568</v>
      </c>
      <c r="H29" s="7"/>
      <c r="I29" s="19"/>
    </row>
    <row r="30" spans="1:10">
      <c r="A30" s="23">
        <f>1+A29</f>
        <v>11</v>
      </c>
      <c r="B30" s="2" t="s">
        <v>168</v>
      </c>
      <c r="D30" s="27">
        <f>+D45</f>
        <v>68786330.19362475</v>
      </c>
      <c r="E30" s="24"/>
      <c r="F30" s="24"/>
      <c r="G30" s="101" t="s">
        <v>614</v>
      </c>
      <c r="H30" s="7"/>
      <c r="I30" s="26"/>
    </row>
    <row r="31" spans="1:10">
      <c r="A31" s="23">
        <f>1+A30</f>
        <v>12</v>
      </c>
      <c r="B31" s="36" t="s">
        <v>389</v>
      </c>
      <c r="C31" s="25"/>
      <c r="D31" s="100">
        <f>+D29+D30</f>
        <v>824520456.89208627</v>
      </c>
      <c r="E31" s="100"/>
      <c r="F31" s="100"/>
      <c r="G31" s="3" t="s">
        <v>365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88</v>
      </c>
      <c r="D33" s="225">
        <f>+'11 13 mo avg plant'!C63</f>
        <v>1639212705.7838464</v>
      </c>
      <c r="E33" s="139"/>
      <c r="F33" s="139"/>
      <c r="G33" s="3" t="s">
        <v>569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171</v>
      </c>
      <c r="D35" s="130">
        <f>ROUND(D31/D33,6)</f>
        <v>0.50299799999999995</v>
      </c>
      <c r="E35" s="130">
        <f>+D35</f>
        <v>0.50299799999999995</v>
      </c>
      <c r="F35" s="130">
        <f>+D35</f>
        <v>0.50299799999999995</v>
      </c>
      <c r="G35" s="3" t="s">
        <v>366</v>
      </c>
      <c r="H35" s="7"/>
      <c r="I35" s="20"/>
      <c r="K35" s="96"/>
    </row>
    <row r="36" spans="1:11" ht="15.75">
      <c r="A36" s="23">
        <f>1+A35</f>
        <v>15</v>
      </c>
      <c r="B36" s="117" t="s">
        <v>211</v>
      </c>
      <c r="C36" s="96"/>
      <c r="D36" s="131">
        <f>+'6 Dist alloc.'!D69</f>
        <v>0.16168795877532946</v>
      </c>
      <c r="E36" s="131">
        <f>+'6 Dist alloc.'!E69</f>
        <v>0.54412068604777608</v>
      </c>
      <c r="F36" s="131">
        <f>+'6 Dist alloc.'!F69</f>
        <v>5.0975291865175444E-2</v>
      </c>
      <c r="G36" s="96" t="s">
        <v>201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210</v>
      </c>
      <c r="C38" s="96"/>
      <c r="D38" s="115">
        <f>+D35*D36</f>
        <v>8.1328719888073164E-2</v>
      </c>
      <c r="E38" s="115">
        <f>+E35*E36</f>
        <v>0.27369161684065924</v>
      </c>
      <c r="F38" s="115">
        <f>+F35*F36</f>
        <v>2.5640469857599515E-2</v>
      </c>
      <c r="G38" s="96" t="s">
        <v>367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612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9</v>
      </c>
      <c r="D43" s="225">
        <f>+'11 13 mo avg plant'!C46</f>
        <v>116024379.41615383</v>
      </c>
      <c r="E43" s="107"/>
      <c r="F43" s="107"/>
      <c r="G43" s="3" t="s">
        <v>570</v>
      </c>
      <c r="I43" s="18"/>
    </row>
    <row r="44" spans="1:11" ht="15.75">
      <c r="A44" s="23">
        <f>1+A43</f>
        <v>19</v>
      </c>
      <c r="B44" s="116" t="s">
        <v>119</v>
      </c>
      <c r="D44" s="174">
        <f>+D22</f>
        <v>0.59286100507293704</v>
      </c>
      <c r="E44" s="137"/>
      <c r="F44" s="137"/>
      <c r="G44" s="3" t="s">
        <v>368</v>
      </c>
      <c r="H44" s="7"/>
      <c r="I44" s="19"/>
    </row>
    <row r="45" spans="1:11">
      <c r="A45" s="23">
        <f>1+A44</f>
        <v>20</v>
      </c>
      <c r="B45" s="36" t="s">
        <v>167</v>
      </c>
      <c r="D45" s="100">
        <f>+D43*D44</f>
        <v>68786330.19362475</v>
      </c>
      <c r="E45" s="100"/>
      <c r="F45" s="100"/>
      <c r="G45" s="96" t="s">
        <v>369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181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180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182</v>
      </c>
    </row>
    <row r="52" spans="1:10">
      <c r="A52" s="23">
        <f>1+A51</f>
        <v>24</v>
      </c>
      <c r="B52" s="3" t="s">
        <v>183</v>
      </c>
    </row>
    <row r="53" spans="1:10">
      <c r="A53" s="23">
        <f>1+A52</f>
        <v>25</v>
      </c>
      <c r="B53" s="3" t="s">
        <v>184</v>
      </c>
    </row>
    <row r="54" spans="1:10">
      <c r="A54" s="23">
        <f>1+A53</f>
        <v>26</v>
      </c>
      <c r="B54" s="3" t="s">
        <v>187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89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C28" zoomScale="90" zoomScaleNormal="90" workbookViewId="0">
      <selection activeCell="D49" sqref="D49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 t="s">
        <v>618</v>
      </c>
    </row>
    <row r="3" spans="2:9">
      <c r="B3" s="274"/>
    </row>
    <row r="6" spans="2:9" ht="19.5">
      <c r="C6" s="97" t="s">
        <v>100</v>
      </c>
    </row>
    <row r="7" spans="2:9">
      <c r="C7" s="23" t="s">
        <v>105</v>
      </c>
    </row>
    <row r="8" spans="2:9">
      <c r="B8" s="196"/>
      <c r="C8" s="198" t="str">
        <f>+'5 alloc.'!B6</f>
        <v>Actual</v>
      </c>
      <c r="E8" s="96"/>
      <c r="F8" s="96"/>
      <c r="G8" s="96"/>
    </row>
    <row r="9" spans="2:9">
      <c r="B9" s="196"/>
      <c r="C9" s="198">
        <f>+'5 alloc.'!B7</f>
        <v>2016</v>
      </c>
      <c r="E9" s="96"/>
      <c r="F9" s="96"/>
      <c r="G9" s="5" t="s">
        <v>101</v>
      </c>
      <c r="H9" s="5"/>
    </row>
    <row r="10" spans="2:9">
      <c r="B10" s="2"/>
      <c r="E10" s="96"/>
      <c r="F10" s="96"/>
      <c r="G10" s="5" t="s">
        <v>341</v>
      </c>
    </row>
    <row r="11" spans="2:9">
      <c r="G11" s="5" t="s">
        <v>593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121</v>
      </c>
      <c r="E15" s="123" t="s">
        <v>122</v>
      </c>
      <c r="F15" s="123" t="s">
        <v>123</v>
      </c>
      <c r="G15" s="123" t="s">
        <v>124</v>
      </c>
      <c r="H15" s="316"/>
      <c r="I15" s="96"/>
    </row>
    <row r="16" spans="2:9">
      <c r="B16" s="13" t="s">
        <v>125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126</v>
      </c>
      <c r="D17" s="126"/>
      <c r="H17" s="96"/>
      <c r="I17" s="96"/>
    </row>
    <row r="18" spans="1:11">
      <c r="A18" s="3">
        <f>1+A17</f>
        <v>2</v>
      </c>
      <c r="B18" s="3" t="s">
        <v>127</v>
      </c>
      <c r="C18" s="243">
        <v>667728</v>
      </c>
      <c r="D18" s="126">
        <f>ROUND(ROUND((+D65-D49)/(C65-C49),6)*C18,0)</f>
        <v>109543</v>
      </c>
      <c r="E18" s="126">
        <f>ROUND(ROUND((+E65-E49)/(C65-C49),6)*C18,0)</f>
        <v>357362</v>
      </c>
      <c r="F18" s="126">
        <f>ROUND(ROUND((+F65-F49)/(C65-C49),6)*C18,0)</f>
        <v>34797</v>
      </c>
      <c r="G18" s="126">
        <f>ROUND(ROUND((+G65-G49)/(C65-C49),6)*C18,0)</f>
        <v>166026</v>
      </c>
      <c r="H18" s="317"/>
      <c r="I18" s="224"/>
      <c r="J18" s="121"/>
      <c r="K18" s="136"/>
    </row>
    <row r="19" spans="1:11">
      <c r="A19" s="3">
        <f t="shared" ref="A19:A63" si="0">1+A18</f>
        <v>3</v>
      </c>
      <c r="B19" s="3" t="s">
        <v>128</v>
      </c>
      <c r="C19" s="243">
        <v>112927</v>
      </c>
      <c r="D19" s="70">
        <f>ROUND(ROUND((+D65-D49)/(C65-C49),6)*C19,0)</f>
        <v>18526</v>
      </c>
      <c r="E19" s="70">
        <f>ROUND(ROUND((+E65-E49)/(C65-C49),6)*C19,0)</f>
        <v>60438</v>
      </c>
      <c r="F19" s="70">
        <f>ROUND(ROUND((+F65-F49)/(C65-C49),6)*C19,0)</f>
        <v>5885</v>
      </c>
      <c r="G19" s="70">
        <f>ROUND(ROUND((+G65-G49)/(C65-C49),6)*C19,0)</f>
        <v>28079</v>
      </c>
      <c r="H19" s="317"/>
      <c r="I19" s="224"/>
      <c r="J19" s="122"/>
      <c r="K19" s="152"/>
    </row>
    <row r="20" spans="1:11">
      <c r="A20" s="3">
        <f t="shared" si="0"/>
        <v>4</v>
      </c>
      <c r="B20" s="3" t="s">
        <v>129</v>
      </c>
      <c r="C20" s="243">
        <v>242349</v>
      </c>
      <c r="D20" s="70">
        <f>C20</f>
        <v>242349</v>
      </c>
      <c r="E20" s="70"/>
      <c r="F20" s="70"/>
      <c r="G20" s="70"/>
      <c r="H20" s="317"/>
      <c r="I20" s="224"/>
      <c r="J20" s="122"/>
      <c r="K20" s="152"/>
    </row>
    <row r="21" spans="1:11">
      <c r="A21" s="3">
        <f t="shared" si="0"/>
        <v>5</v>
      </c>
      <c r="B21" s="3" t="s">
        <v>130</v>
      </c>
      <c r="C21" s="243">
        <v>458682</v>
      </c>
      <c r="D21" s="70"/>
      <c r="E21" s="70">
        <f>C21</f>
        <v>458682</v>
      </c>
      <c r="F21" s="70"/>
      <c r="G21" s="70"/>
      <c r="H21" s="317"/>
      <c r="I21" s="224"/>
      <c r="J21" s="122"/>
      <c r="K21" s="152"/>
    </row>
    <row r="22" spans="1:11">
      <c r="A22" s="3">
        <f t="shared" si="0"/>
        <v>6</v>
      </c>
      <c r="B22" s="3" t="s">
        <v>131</v>
      </c>
      <c r="C22" s="243">
        <v>53119</v>
      </c>
      <c r="D22" s="70"/>
      <c r="E22" s="70">
        <f>C22</f>
        <v>53119</v>
      </c>
      <c r="F22" s="70"/>
      <c r="G22" s="70"/>
      <c r="H22" s="317"/>
      <c r="I22" s="224"/>
      <c r="J22" s="122"/>
      <c r="K22" s="152"/>
    </row>
    <row r="23" spans="1:11">
      <c r="A23" s="3">
        <f t="shared" si="0"/>
        <v>7</v>
      </c>
      <c r="B23" s="3" t="s">
        <v>132</v>
      </c>
      <c r="C23" s="243">
        <v>0</v>
      </c>
      <c r="D23" s="70"/>
      <c r="E23" s="70"/>
      <c r="F23" s="70"/>
      <c r="G23" s="70">
        <f>C23</f>
        <v>0</v>
      </c>
      <c r="H23" s="317"/>
      <c r="I23" s="224"/>
      <c r="J23" s="122"/>
      <c r="K23" s="152"/>
    </row>
    <row r="24" spans="1:11">
      <c r="A24" s="3">
        <f t="shared" si="0"/>
        <v>8</v>
      </c>
      <c r="B24" s="3" t="s">
        <v>133</v>
      </c>
      <c r="C24" s="243">
        <v>338323</v>
      </c>
      <c r="D24" s="70"/>
      <c r="E24" s="70"/>
      <c r="F24" s="70">
        <f>C24</f>
        <v>338323</v>
      </c>
      <c r="G24" s="70"/>
      <c r="H24" s="317"/>
      <c r="I24" s="224"/>
      <c r="J24" s="122"/>
      <c r="K24" s="152"/>
    </row>
    <row r="25" spans="1:11">
      <c r="A25" s="3">
        <f t="shared" si="0"/>
        <v>9</v>
      </c>
      <c r="B25" s="3" t="s">
        <v>134</v>
      </c>
      <c r="C25" s="243">
        <v>45863</v>
      </c>
      <c r="E25" s="70">
        <f>C25</f>
        <v>45863</v>
      </c>
      <c r="F25" s="70"/>
      <c r="H25" s="317"/>
      <c r="I25" s="224"/>
      <c r="J25"/>
      <c r="K25" s="152"/>
    </row>
    <row r="26" spans="1:11">
      <c r="A26" s="3">
        <f t="shared" si="0"/>
        <v>10</v>
      </c>
      <c r="B26" s="3" t="s">
        <v>135</v>
      </c>
      <c r="C26" s="243">
        <v>1591937</v>
      </c>
      <c r="D26" s="70">
        <f>ROUND(+D65/C65*C26,6)</f>
        <v>257397.04402900001</v>
      </c>
      <c r="E26" s="70">
        <f>ROUND(+E65/C65*C26,6)</f>
        <v>866205.85258499999</v>
      </c>
      <c r="F26" s="70">
        <f>ROUND(+F65/C65*C26,6)</f>
        <v>81149.453206000006</v>
      </c>
      <c r="G26" s="70">
        <f>ROUND(+G65/C65*C26,6)</f>
        <v>387184.64813300001</v>
      </c>
      <c r="H26" s="317"/>
      <c r="I26" s="224"/>
      <c r="J26" s="122"/>
      <c r="K26" s="152"/>
    </row>
    <row r="27" spans="1:11">
      <c r="A27" s="3">
        <f t="shared" si="0"/>
        <v>11</v>
      </c>
      <c r="B27" s="3" t="s">
        <v>136</v>
      </c>
      <c r="C27" s="243">
        <v>2317594</v>
      </c>
      <c r="D27" s="70">
        <f>C27-E27</f>
        <v>2317594</v>
      </c>
      <c r="E27" s="315">
        <v>0</v>
      </c>
      <c r="F27" s="70"/>
      <c r="H27" s="317"/>
      <c r="I27" s="224"/>
      <c r="J27"/>
      <c r="K27" s="152"/>
    </row>
    <row r="28" spans="1:11">
      <c r="C28" s="70"/>
      <c r="D28" s="70"/>
      <c r="E28" s="127"/>
      <c r="F28" s="70"/>
      <c r="H28" s="318"/>
      <c r="I28" s="224"/>
      <c r="J28"/>
      <c r="K28" s="152"/>
    </row>
    <row r="29" spans="1:11">
      <c r="C29" s="70"/>
      <c r="D29" s="70"/>
      <c r="E29" s="127"/>
      <c r="F29" s="70"/>
      <c r="H29" s="318"/>
      <c r="I29" s="224"/>
      <c r="J29"/>
      <c r="K29" s="152"/>
    </row>
    <row r="30" spans="1:11">
      <c r="A30" s="3">
        <v>12</v>
      </c>
      <c r="B30" s="13" t="s">
        <v>137</v>
      </c>
      <c r="C30" s="70"/>
      <c r="D30" s="70"/>
      <c r="E30" s="127"/>
      <c r="F30" s="70"/>
      <c r="H30" s="318"/>
      <c r="I30" s="224"/>
      <c r="J30"/>
      <c r="K30" s="152"/>
    </row>
    <row r="31" spans="1:11">
      <c r="C31" s="70"/>
      <c r="E31" s="70"/>
      <c r="F31" s="70"/>
      <c r="H31" s="318"/>
      <c r="I31" s="224"/>
      <c r="J31"/>
      <c r="K31" s="152"/>
    </row>
    <row r="32" spans="1:11">
      <c r="A32" s="3">
        <v>13</v>
      </c>
      <c r="B32" s="3" t="s">
        <v>126</v>
      </c>
      <c r="C32" s="70"/>
      <c r="D32" s="126"/>
      <c r="E32" s="126"/>
      <c r="F32" s="70"/>
      <c r="H32" s="318"/>
      <c r="I32" s="224"/>
      <c r="J32"/>
      <c r="K32" s="152"/>
    </row>
    <row r="33" spans="1:11">
      <c r="A33" s="3">
        <f t="shared" si="0"/>
        <v>14</v>
      </c>
      <c r="B33" s="3" t="s">
        <v>138</v>
      </c>
      <c r="C33" s="243">
        <v>145531</v>
      </c>
      <c r="D33" s="70">
        <f>ROUND(ROUND((SUM(D50:D62))/(SUM(C50:C62)),6)*C33,0)</f>
        <v>23875</v>
      </c>
      <c r="E33" s="70">
        <f>ROUND(ROUND((SUM(E50:E62))/(SUM(C50:C62)),6)*C33,0)</f>
        <v>77887</v>
      </c>
      <c r="F33" s="70">
        <f>ROUND(ROUND((SUM(F50:F62))/(SUM(C50:C62)),6)*C33,0)</f>
        <v>7584</v>
      </c>
      <c r="G33" s="70">
        <f>ROUND(ROUND((SUM(G50:G62))/(SUM(C50:C62)),6)*C33,0)</f>
        <v>36185</v>
      </c>
      <c r="H33" s="317"/>
      <c r="I33" s="318"/>
      <c r="J33" s="122"/>
      <c r="K33" s="152"/>
    </row>
    <row r="34" spans="1:11">
      <c r="A34" s="3">
        <f t="shared" si="0"/>
        <v>15</v>
      </c>
      <c r="B34" s="3" t="s">
        <v>139</v>
      </c>
      <c r="C34" s="243">
        <v>0</v>
      </c>
      <c r="D34" s="70">
        <f>C34</f>
        <v>0</v>
      </c>
      <c r="E34" s="70"/>
      <c r="F34" s="70"/>
      <c r="G34" s="70"/>
      <c r="H34" s="317"/>
      <c r="I34" s="224"/>
      <c r="J34" s="122"/>
      <c r="K34" s="152"/>
    </row>
    <row r="35" spans="1:11">
      <c r="A35" s="3">
        <f t="shared" si="0"/>
        <v>16</v>
      </c>
      <c r="B35" s="3" t="s">
        <v>140</v>
      </c>
      <c r="C35" s="243">
        <v>1716424</v>
      </c>
      <c r="D35" s="70">
        <f>C35</f>
        <v>1716424</v>
      </c>
      <c r="E35" s="70"/>
      <c r="F35" s="70"/>
      <c r="G35" s="70"/>
      <c r="H35" s="317"/>
      <c r="I35" s="224"/>
      <c r="J35" s="122"/>
      <c r="K35" s="152"/>
    </row>
    <row r="36" spans="1:11">
      <c r="A36" s="3">
        <f t="shared" si="0"/>
        <v>17</v>
      </c>
      <c r="B36" s="3" t="s">
        <v>141</v>
      </c>
      <c r="C36" s="243">
        <v>26350531</v>
      </c>
      <c r="D36" s="70"/>
      <c r="E36" s="70">
        <f>C36</f>
        <v>26350531</v>
      </c>
      <c r="F36" s="70"/>
      <c r="G36" s="70"/>
      <c r="H36" s="317"/>
      <c r="I36" s="224"/>
      <c r="J36" s="122"/>
      <c r="K36" s="152"/>
    </row>
    <row r="37" spans="1:11">
      <c r="A37" s="3">
        <f t="shared" si="0"/>
        <v>18</v>
      </c>
      <c r="B37" s="3" t="s">
        <v>142</v>
      </c>
      <c r="C37" s="243">
        <v>613638</v>
      </c>
      <c r="D37" s="70"/>
      <c r="E37" s="70">
        <f>C37</f>
        <v>613638</v>
      </c>
      <c r="F37" s="70"/>
      <c r="G37" s="70"/>
      <c r="H37" s="317"/>
      <c r="I37" s="224"/>
      <c r="J37" s="122"/>
      <c r="K37" s="152"/>
    </row>
    <row r="38" spans="1:11">
      <c r="A38" s="3">
        <f t="shared" si="0"/>
        <v>19</v>
      </c>
      <c r="B38" s="3" t="s">
        <v>143</v>
      </c>
      <c r="C38" s="243">
        <v>1176</v>
      </c>
      <c r="D38" s="70"/>
      <c r="E38" s="70"/>
      <c r="F38" s="70"/>
      <c r="G38" s="70">
        <f>C38</f>
        <v>1176</v>
      </c>
      <c r="H38" s="317"/>
      <c r="I38" s="224"/>
      <c r="J38" s="122"/>
      <c r="K38" s="152"/>
    </row>
    <row r="39" spans="1:11">
      <c r="A39" s="3">
        <f t="shared" si="0"/>
        <v>20</v>
      </c>
      <c r="B39" s="3" t="s">
        <v>144</v>
      </c>
      <c r="C39" s="243">
        <v>61581</v>
      </c>
      <c r="D39" s="70"/>
      <c r="E39" s="70"/>
      <c r="F39" s="70"/>
      <c r="G39" s="70">
        <f>C39</f>
        <v>61581</v>
      </c>
      <c r="H39" s="317"/>
      <c r="I39" s="224"/>
      <c r="J39" s="122"/>
      <c r="K39" s="152"/>
    </row>
    <row r="40" spans="1:11">
      <c r="A40" s="3">
        <f t="shared" si="0"/>
        <v>21</v>
      </c>
      <c r="B40" s="3" t="s">
        <v>145</v>
      </c>
      <c r="C40" s="243">
        <v>273621</v>
      </c>
      <c r="D40" s="70"/>
      <c r="E40" s="70"/>
      <c r="F40" s="70">
        <f>C40</f>
        <v>273621</v>
      </c>
      <c r="G40" s="178"/>
      <c r="H40" s="317"/>
      <c r="I40" s="224"/>
      <c r="J40" s="122"/>
      <c r="K40" s="152"/>
    </row>
    <row r="41" spans="1:11">
      <c r="A41" s="3">
        <f t="shared" si="0"/>
        <v>22</v>
      </c>
      <c r="B41" s="3" t="s">
        <v>146</v>
      </c>
      <c r="C41" s="243">
        <v>168315</v>
      </c>
      <c r="D41" s="70">
        <f>ROUND(ROUND(+D65/C65,6)*C41,0)</f>
        <v>27215</v>
      </c>
      <c r="E41" s="70">
        <f>ROUND(ROUND(+E65/C65,6)*C41,0)</f>
        <v>91584</v>
      </c>
      <c r="F41" s="70">
        <f>ROUND(ROUND(+F65/C65,6)*C41,0)</f>
        <v>8580</v>
      </c>
      <c r="G41" s="70">
        <f>ROUND(ROUND(+G65/C65,6)*C41,0)</f>
        <v>40937</v>
      </c>
      <c r="H41" s="317"/>
      <c r="I41" s="224"/>
      <c r="J41" s="122"/>
      <c r="K41" s="152"/>
    </row>
    <row r="42" spans="1:11">
      <c r="C42" s="128" t="s">
        <v>147</v>
      </c>
      <c r="D42" s="128" t="s">
        <v>148</v>
      </c>
      <c r="E42" s="128" t="s">
        <v>147</v>
      </c>
      <c r="F42" s="128" t="s">
        <v>147</v>
      </c>
      <c r="G42" s="128" t="s">
        <v>148</v>
      </c>
      <c r="H42" s="96"/>
      <c r="I42" s="96"/>
      <c r="K42" s="153"/>
    </row>
    <row r="43" spans="1:11">
      <c r="A43" s="3">
        <v>23</v>
      </c>
      <c r="B43" s="3" t="s">
        <v>149</v>
      </c>
      <c r="C43" s="277">
        <f>SUM(C18:C42)</f>
        <v>35159339</v>
      </c>
      <c r="D43" s="126">
        <f>SUM(D18:D41)</f>
        <v>4712923.0440290002</v>
      </c>
      <c r="E43" s="126">
        <f>SUM(E18:E41)</f>
        <v>28975309.852584999</v>
      </c>
      <c r="F43" s="126">
        <f>SUM(F18:F41)</f>
        <v>749939.45320600003</v>
      </c>
      <c r="G43" s="126">
        <f>SUM(G18:G41)</f>
        <v>721168.64813300001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209</v>
      </c>
      <c r="C45" s="32">
        <f>SUM(D45:G45)</f>
        <v>1.0000000568256702</v>
      </c>
      <c r="D45" s="173">
        <f>+D43/$C43</f>
        <v>0.13404469987416431</v>
      </c>
      <c r="E45" s="173">
        <f>+E43/$C43</f>
        <v>0.82411418066150222</v>
      </c>
      <c r="F45" s="173">
        <f>+F43/$C43</f>
        <v>2.1329736978445472E-2</v>
      </c>
      <c r="G45" s="173">
        <f>+G43/$C43</f>
        <v>2.0511439311558161E-2</v>
      </c>
      <c r="H45" s="96"/>
      <c r="I45" s="96"/>
      <c r="K45" s="154"/>
    </row>
    <row r="46" spans="1:11">
      <c r="A46" s="3">
        <v>25</v>
      </c>
      <c r="C46" s="126"/>
      <c r="D46" s="132" t="s">
        <v>173</v>
      </c>
      <c r="E46" s="132" t="s">
        <v>174</v>
      </c>
      <c r="F46" s="132" t="s">
        <v>175</v>
      </c>
      <c r="H46" s="96"/>
      <c r="I46" s="96"/>
      <c r="K46" s="136"/>
    </row>
    <row r="47" spans="1:11">
      <c r="A47" s="3">
        <v>26</v>
      </c>
      <c r="B47" s="3" t="s">
        <v>155</v>
      </c>
      <c r="F47" s="70"/>
      <c r="H47" s="96"/>
      <c r="I47" s="96"/>
      <c r="K47" s="96"/>
    </row>
    <row r="48" spans="1:11">
      <c r="C48" s="126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686</v>
      </c>
      <c r="C49" s="229">
        <v>16969386</v>
      </c>
      <c r="D49" s="320">
        <v>945085</v>
      </c>
      <c r="E49" s="126">
        <f>+C49-D49</f>
        <v>16024301</v>
      </c>
      <c r="F49" s="70"/>
      <c r="H49" s="96"/>
      <c r="I49" s="319"/>
      <c r="K49" s="136"/>
    </row>
    <row r="50" spans="1:11">
      <c r="A50" s="3">
        <f t="shared" si="0"/>
        <v>28</v>
      </c>
      <c r="B50" s="3" t="s">
        <v>345</v>
      </c>
      <c r="C50" s="230">
        <v>26923468</v>
      </c>
      <c r="D50" s="70">
        <f>+C50</f>
        <v>26923468</v>
      </c>
      <c r="E50" s="70"/>
      <c r="F50" s="70"/>
      <c r="H50" s="96"/>
      <c r="I50" s="319"/>
      <c r="K50" s="152"/>
    </row>
    <row r="51" spans="1:11">
      <c r="A51" s="3">
        <f t="shared" si="0"/>
        <v>29</v>
      </c>
      <c r="B51" s="3" t="s">
        <v>346</v>
      </c>
      <c r="C51" s="230">
        <v>97775934</v>
      </c>
      <c r="D51" s="70">
        <f>+C51</f>
        <v>97775934</v>
      </c>
      <c r="E51" s="70"/>
      <c r="F51" s="70"/>
      <c r="H51" s="96"/>
      <c r="I51" s="319"/>
      <c r="K51" s="152"/>
    </row>
    <row r="52" spans="1:11">
      <c r="A52" s="3">
        <f t="shared" si="0"/>
        <v>30</v>
      </c>
      <c r="B52" s="3" t="s">
        <v>347</v>
      </c>
      <c r="C52" s="230">
        <v>0</v>
      </c>
      <c r="D52" s="70">
        <f>+C52</f>
        <v>0</v>
      </c>
      <c r="E52" s="70"/>
      <c r="F52" s="70"/>
      <c r="H52" s="96"/>
      <c r="I52" s="319"/>
      <c r="K52" s="152"/>
    </row>
    <row r="53" spans="1:11">
      <c r="A53" s="3">
        <f t="shared" si="0"/>
        <v>31</v>
      </c>
      <c r="B53" s="3" t="s">
        <v>348</v>
      </c>
      <c r="C53" s="230">
        <v>168448933</v>
      </c>
      <c r="D53" s="70"/>
      <c r="E53" s="70">
        <f>+C53</f>
        <v>168448933</v>
      </c>
      <c r="F53" s="70"/>
      <c r="H53" s="96"/>
      <c r="I53" s="319"/>
      <c r="K53" s="152"/>
    </row>
    <row r="54" spans="1:11">
      <c r="A54" s="3">
        <f t="shared" si="0"/>
        <v>32</v>
      </c>
      <c r="B54" s="3" t="s">
        <v>349</v>
      </c>
      <c r="C54" s="230">
        <v>184397801</v>
      </c>
      <c r="D54" s="70"/>
      <c r="E54" s="70">
        <f>+C54</f>
        <v>184397801</v>
      </c>
      <c r="F54" s="70"/>
      <c r="H54" s="96"/>
      <c r="I54" s="319"/>
      <c r="K54" s="152"/>
    </row>
    <row r="55" spans="1:11">
      <c r="A55" s="3">
        <f t="shared" si="0"/>
        <v>33</v>
      </c>
      <c r="B55" s="3" t="s">
        <v>350</v>
      </c>
      <c r="C55" s="230">
        <v>18125020</v>
      </c>
      <c r="D55" s="70"/>
      <c r="E55" s="70">
        <f>+C55</f>
        <v>18125020</v>
      </c>
      <c r="F55" s="70"/>
      <c r="H55" s="96"/>
      <c r="I55" s="319"/>
      <c r="K55" s="152"/>
    </row>
    <row r="56" spans="1:11">
      <c r="A56" s="3">
        <f t="shared" si="0"/>
        <v>34</v>
      </c>
      <c r="B56" s="3" t="s">
        <v>351</v>
      </c>
      <c r="C56" s="230">
        <v>35835028</v>
      </c>
      <c r="D56" s="70"/>
      <c r="E56" s="70">
        <f>+C56</f>
        <v>35835028</v>
      </c>
      <c r="F56" s="70"/>
      <c r="H56" s="96"/>
      <c r="I56" s="319"/>
      <c r="K56" s="152"/>
    </row>
    <row r="57" spans="1:11">
      <c r="A57" s="3">
        <f t="shared" si="0"/>
        <v>35</v>
      </c>
      <c r="B57" s="3" t="s">
        <v>352</v>
      </c>
      <c r="C57" s="230">
        <v>126518016</v>
      </c>
      <c r="D57" s="70"/>
      <c r="E57" s="70"/>
      <c r="F57" s="70"/>
      <c r="G57" s="126">
        <f>+C57</f>
        <v>126518016</v>
      </c>
      <c r="H57" s="96"/>
      <c r="I57" s="319"/>
      <c r="K57" s="152"/>
    </row>
    <row r="58" spans="1:11">
      <c r="A58" s="3">
        <f t="shared" si="0"/>
        <v>36</v>
      </c>
      <c r="B58" s="3" t="s">
        <v>353</v>
      </c>
      <c r="C58" s="230">
        <v>45075881</v>
      </c>
      <c r="D58" s="70"/>
      <c r="E58" s="70"/>
      <c r="F58" s="70"/>
      <c r="G58" s="70">
        <f>+C58</f>
        <v>45075881</v>
      </c>
      <c r="H58" s="96"/>
      <c r="I58" s="319"/>
      <c r="K58" s="152"/>
    </row>
    <row r="59" spans="1:11">
      <c r="A59" s="3">
        <f t="shared" si="0"/>
        <v>37</v>
      </c>
      <c r="B59" s="3" t="s">
        <v>354</v>
      </c>
      <c r="C59" s="230">
        <v>39611749</v>
      </c>
      <c r="D59" s="70"/>
      <c r="E59" s="70"/>
      <c r="F59" s="126">
        <f>+C59</f>
        <v>39611749</v>
      </c>
      <c r="G59" s="70"/>
      <c r="H59" s="96"/>
      <c r="I59" s="319"/>
      <c r="K59" s="152"/>
    </row>
    <row r="60" spans="1:11">
      <c r="A60" s="3">
        <f t="shared" si="0"/>
        <v>38</v>
      </c>
      <c r="B60" s="3" t="s">
        <v>355</v>
      </c>
      <c r="C60" s="230">
        <v>1183423</v>
      </c>
      <c r="D60" s="70"/>
      <c r="E60" s="70"/>
      <c r="F60" s="70"/>
      <c r="G60" s="70">
        <f>+C60</f>
        <v>1183423</v>
      </c>
      <c r="H60" s="96"/>
      <c r="I60" s="319"/>
      <c r="K60" s="152"/>
    </row>
    <row r="61" spans="1:11">
      <c r="A61" s="3">
        <f t="shared" si="0"/>
        <v>39</v>
      </c>
      <c r="B61" s="3" t="s">
        <v>356</v>
      </c>
      <c r="C61" s="230">
        <v>0</v>
      </c>
      <c r="D61" s="70"/>
      <c r="E61" s="70"/>
      <c r="F61" s="70"/>
      <c r="G61" s="70">
        <f>+C61</f>
        <v>0</v>
      </c>
      <c r="H61" s="96"/>
      <c r="I61" s="319"/>
      <c r="K61" s="152"/>
    </row>
    <row r="62" spans="1:11">
      <c r="A62" s="3">
        <f t="shared" si="0"/>
        <v>40</v>
      </c>
      <c r="B62" s="3" t="s">
        <v>357</v>
      </c>
      <c r="C62" s="230">
        <v>16220392</v>
      </c>
      <c r="D62" s="70"/>
      <c r="E62" s="70"/>
      <c r="F62" s="70"/>
      <c r="G62" s="70">
        <f>+C62</f>
        <v>16220392</v>
      </c>
      <c r="H62" s="96"/>
      <c r="I62" s="319"/>
      <c r="K62" s="152"/>
    </row>
    <row r="63" spans="1:11">
      <c r="A63" s="3">
        <f t="shared" si="0"/>
        <v>41</v>
      </c>
      <c r="B63" s="3" t="s">
        <v>358</v>
      </c>
      <c r="C63" s="230">
        <v>340709</v>
      </c>
      <c r="D63" s="70">
        <f>ROUND(ROUND((SUM(D50:D62))/(SUM(C50:C62)),6)*C63,0)</f>
        <v>55894</v>
      </c>
      <c r="E63" s="70">
        <f>ROUND(ROUND((SUM(E50:E62))/(SUM(C50:C62)),6)*C63,0)</f>
        <v>182344</v>
      </c>
      <c r="F63" s="70">
        <f>ROUND(ROUND((SUM(F50:F62))/(SUM(C50:C62)),6)*C63,0)</f>
        <v>17755</v>
      </c>
      <c r="G63" s="70">
        <f>ROUND(ROUND((SUM(G50:G62))/(SUM(C50:C62)),6)*C63,0)</f>
        <v>84715</v>
      </c>
      <c r="H63" s="96"/>
      <c r="I63" s="319"/>
      <c r="K63" s="152"/>
    </row>
    <row r="64" spans="1:11">
      <c r="C64" s="5" t="s">
        <v>150</v>
      </c>
      <c r="D64" s="5" t="s">
        <v>147</v>
      </c>
      <c r="E64" s="5" t="s">
        <v>147</v>
      </c>
      <c r="F64" s="5" t="s">
        <v>147</v>
      </c>
      <c r="G64" s="5" t="s">
        <v>147</v>
      </c>
      <c r="H64" s="96"/>
      <c r="I64" s="96"/>
    </row>
    <row r="65" spans="1:8">
      <c r="A65" s="3">
        <v>41</v>
      </c>
      <c r="B65" s="3" t="s">
        <v>154</v>
      </c>
      <c r="C65" s="178">
        <f>SUM(C49:C64)</f>
        <v>777425740</v>
      </c>
      <c r="D65" s="126">
        <f>SUM(D49:D63)</f>
        <v>125700381</v>
      </c>
      <c r="E65" s="126">
        <f>SUM(E49:E63)</f>
        <v>423013427</v>
      </c>
      <c r="F65" s="126">
        <f>SUM(F49:F63)</f>
        <v>39629504</v>
      </c>
      <c r="G65" s="126">
        <f>SUM(G49:G63)</f>
        <v>189082427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166</v>
      </c>
      <c r="C69" s="32">
        <f>SUM(D69:G69)</f>
        <v>0.9999999987137036</v>
      </c>
      <c r="D69" s="32">
        <f>+D65/$C65</f>
        <v>0.16168795877532946</v>
      </c>
      <c r="E69" s="32">
        <f>+E65/$C65</f>
        <v>0.54412068604777608</v>
      </c>
      <c r="F69" s="32">
        <f>+F65/$C65</f>
        <v>5.0975291865175444E-2</v>
      </c>
      <c r="G69" s="32">
        <f>+G65/$C65</f>
        <v>0.24321606202542251</v>
      </c>
    </row>
    <row r="70" spans="1:8">
      <c r="A70" s="3">
        <f>1+A69</f>
        <v>43</v>
      </c>
      <c r="D70" s="132" t="s">
        <v>176</v>
      </c>
      <c r="E70" s="132" t="s">
        <v>177</v>
      </c>
      <c r="F70" s="132" t="s">
        <v>178</v>
      </c>
    </row>
    <row r="71" spans="1:8">
      <c r="A71" s="3">
        <f t="shared" ref="A71:A76" si="1">1+A70</f>
        <v>44</v>
      </c>
      <c r="B71" s="96" t="s">
        <v>613</v>
      </c>
    </row>
    <row r="72" spans="1:8">
      <c r="A72" s="3">
        <f t="shared" si="1"/>
        <v>45</v>
      </c>
      <c r="B72" s="26" t="s">
        <v>151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777425740</v>
      </c>
      <c r="D73" s="100">
        <f t="shared" si="2"/>
        <v>125700381</v>
      </c>
      <c r="E73" s="100">
        <f t="shared" si="2"/>
        <v>423013427</v>
      </c>
      <c r="F73" s="100">
        <f t="shared" si="2"/>
        <v>39629504</v>
      </c>
      <c r="G73" s="100">
        <f t="shared" si="2"/>
        <v>189082427</v>
      </c>
    </row>
    <row r="74" spans="1:8">
      <c r="A74" s="3">
        <f t="shared" si="1"/>
        <v>47</v>
      </c>
      <c r="B74" s="96" t="str">
        <f t="shared" ref="B74:G74" si="3">+B49</f>
        <v>Land and Land Rights (p.207.60.g) ****</v>
      </c>
      <c r="C74" s="100">
        <f t="shared" si="3"/>
        <v>16969386</v>
      </c>
      <c r="D74" s="100">
        <f t="shared" si="3"/>
        <v>945085</v>
      </c>
      <c r="E74" s="100">
        <f t="shared" si="3"/>
        <v>16024301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359</v>
      </c>
      <c r="C75" s="100">
        <f>+C73-C74</f>
        <v>760456354</v>
      </c>
      <c r="D75" s="100">
        <f>+D73-D74</f>
        <v>124755296</v>
      </c>
      <c r="E75" s="100">
        <f>+E73-E74</f>
        <v>406989126</v>
      </c>
      <c r="F75" s="100">
        <f>+F73-F74</f>
        <v>39629504</v>
      </c>
      <c r="G75" s="100">
        <f>+G73-G74</f>
        <v>189082427</v>
      </c>
    </row>
    <row r="76" spans="1:8">
      <c r="A76" s="3">
        <f t="shared" si="1"/>
        <v>49</v>
      </c>
      <c r="B76" s="3" t="s">
        <v>360</v>
      </c>
      <c r="D76" s="173">
        <f>+D75/$C75</f>
        <v>0.16405319693074719</v>
      </c>
      <c r="E76" s="173">
        <f>+E75/$C75</f>
        <v>0.53519064422203511</v>
      </c>
      <c r="F76" s="173">
        <f>+F75/$C75</f>
        <v>5.2112792261579291E-2</v>
      </c>
      <c r="G76" s="173">
        <f>+G75/$C75</f>
        <v>0.24864336527063852</v>
      </c>
    </row>
    <row r="77" spans="1:8">
      <c r="D77" s="46"/>
      <c r="E77" s="46"/>
      <c r="F77" s="46"/>
    </row>
    <row r="78" spans="1:8">
      <c r="A78" s="3">
        <v>50</v>
      </c>
      <c r="B78" s="26" t="s">
        <v>152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777425740</v>
      </c>
      <c r="D79" s="100">
        <f t="shared" si="4"/>
        <v>125700381</v>
      </c>
      <c r="E79" s="100">
        <f t="shared" si="4"/>
        <v>423013427</v>
      </c>
      <c r="F79" s="100">
        <f t="shared" si="4"/>
        <v>39629504</v>
      </c>
      <c r="G79" s="100">
        <f t="shared" si="4"/>
        <v>189082427</v>
      </c>
    </row>
    <row r="80" spans="1:8">
      <c r="A80" s="3">
        <f>1+A79</f>
        <v>52</v>
      </c>
      <c r="B80" s="3" t="s">
        <v>360</v>
      </c>
      <c r="D80" s="173">
        <f>+D79/$C79</f>
        <v>0.16168795877532946</v>
      </c>
      <c r="E80" s="173">
        <f>+E79/$C79</f>
        <v>0.54412068604777608</v>
      </c>
      <c r="F80" s="173">
        <f>+F79/$C79</f>
        <v>5.0975291865175444E-2</v>
      </c>
      <c r="G80" s="173">
        <f>+G79/$C79</f>
        <v>0.24321606202542251</v>
      </c>
    </row>
    <row r="81" spans="1:6">
      <c r="D81" s="46"/>
      <c r="E81" s="46"/>
      <c r="F81" s="46"/>
    </row>
    <row r="82" spans="1:6">
      <c r="A82" s="3">
        <v>53</v>
      </c>
      <c r="B82" s="26" t="s">
        <v>361</v>
      </c>
    </row>
    <row r="83" spans="1:6">
      <c r="B83" s="26"/>
    </row>
    <row r="84" spans="1:6">
      <c r="A84" s="3">
        <v>54</v>
      </c>
      <c r="B84" s="26" t="s">
        <v>616</v>
      </c>
    </row>
    <row r="85" spans="1:6">
      <c r="B85" s="314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topLeftCell="C4" zoomScale="90" zoomScaleNormal="90" workbookViewId="0">
      <selection activeCell="E40" sqref="E40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47.42578125" style="213" customWidth="1"/>
    <col min="4" max="4" width="17.5703125" style="213" customWidth="1"/>
    <col min="5" max="5" width="20.85546875" style="213" bestFit="1" customWidth="1"/>
    <col min="6" max="7" width="18.28515625" style="213" customWidth="1"/>
    <col min="8" max="8" width="14.28515625" style="213" bestFit="1" customWidth="1"/>
    <col min="9" max="9" width="18.28515625" style="213" bestFit="1" customWidth="1"/>
    <col min="10" max="10" width="14.140625" style="213" customWidth="1"/>
    <col min="11" max="11" width="4.28515625" style="213" customWidth="1"/>
    <col min="12" max="12" width="18.28515625" style="213" bestFit="1" customWidth="1"/>
    <col min="13" max="16384" width="9.140625" style="213"/>
  </cols>
  <sheetData>
    <row r="3" spans="1:11" ht="15">
      <c r="A3" s="3"/>
      <c r="B3" s="3"/>
      <c r="C3" s="284"/>
      <c r="D3" s="3"/>
      <c r="E3" s="7"/>
      <c r="F3" s="7"/>
      <c r="G3" s="7"/>
      <c r="H3" s="7"/>
      <c r="I3" s="7"/>
      <c r="J3" s="5" t="s">
        <v>101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341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592</v>
      </c>
    </row>
    <row r="6" spans="1:11" ht="19.5">
      <c r="A6" s="3"/>
      <c r="B6" s="3"/>
      <c r="C6" s="78"/>
      <c r="D6" s="97" t="s">
        <v>100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197</v>
      </c>
      <c r="E7" s="7"/>
      <c r="F7" s="7"/>
      <c r="G7" s="7"/>
      <c r="H7" s="7"/>
      <c r="I7" s="7"/>
      <c r="J7" s="7"/>
    </row>
    <row r="8" spans="1:11" ht="15">
      <c r="A8" s="3"/>
      <c r="B8" s="206"/>
      <c r="C8" s="197"/>
      <c r="D8" s="23" t="s">
        <v>258</v>
      </c>
      <c r="E8" s="7"/>
      <c r="F8" s="7"/>
      <c r="G8" s="7"/>
      <c r="H8" s="7"/>
      <c r="I8" s="7"/>
      <c r="J8" s="7"/>
    </row>
    <row r="9" spans="1:11" ht="15">
      <c r="A9" s="3"/>
      <c r="B9" s="206"/>
      <c r="C9" s="206"/>
      <c r="D9" s="23" t="str">
        <f>+'1 Rev Req'!D5</f>
        <v>Actual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>
        <f>+'1 Rev Req'!D6</f>
        <v>2016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 t="s">
        <v>342</v>
      </c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601</v>
      </c>
      <c r="K12" s="219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250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217</v>
      </c>
      <c r="D15" s="30" t="s">
        <v>121</v>
      </c>
      <c r="E15" s="30" t="s">
        <v>248</v>
      </c>
      <c r="F15" s="30" t="s">
        <v>248</v>
      </c>
      <c r="G15" s="3"/>
      <c r="H15" s="30" t="s">
        <v>253</v>
      </c>
      <c r="I15" s="30" t="s">
        <v>255</v>
      </c>
      <c r="J15" s="30" t="s">
        <v>257</v>
      </c>
    </row>
    <row r="16" spans="1:11" ht="15">
      <c r="A16" s="3"/>
      <c r="B16" s="3"/>
      <c r="C16" s="3" t="s">
        <v>218</v>
      </c>
      <c r="D16" s="30" t="s">
        <v>247</v>
      </c>
      <c r="E16" s="30" t="s">
        <v>249</v>
      </c>
      <c r="F16" s="30" t="s">
        <v>66</v>
      </c>
      <c r="G16" s="19"/>
      <c r="H16" s="30" t="s">
        <v>66</v>
      </c>
      <c r="I16" s="30" t="s">
        <v>186</v>
      </c>
      <c r="J16" s="30" t="s">
        <v>186</v>
      </c>
    </row>
    <row r="17" spans="1:10" ht="15">
      <c r="A17" s="3"/>
      <c r="B17" s="3"/>
      <c r="C17" s="3" t="s">
        <v>220</v>
      </c>
      <c r="D17" s="30" t="s">
        <v>246</v>
      </c>
      <c r="E17" s="30" t="s">
        <v>251</v>
      </c>
      <c r="F17" s="30" t="s">
        <v>252</v>
      </c>
      <c r="G17" s="30" t="s">
        <v>253</v>
      </c>
      <c r="H17" s="30" t="s">
        <v>252</v>
      </c>
      <c r="I17" s="30" t="s">
        <v>256</v>
      </c>
      <c r="J17" s="30" t="s">
        <v>256</v>
      </c>
    </row>
    <row r="18" spans="1:10" ht="15">
      <c r="A18" s="3"/>
      <c r="B18" s="3"/>
      <c r="C18" s="3" t="s">
        <v>221</v>
      </c>
      <c r="D18" s="7" t="s">
        <v>222</v>
      </c>
      <c r="E18" s="7" t="s">
        <v>223</v>
      </c>
      <c r="F18" s="7" t="s">
        <v>222</v>
      </c>
      <c r="G18" s="7" t="s">
        <v>222</v>
      </c>
      <c r="H18" s="25" t="s">
        <v>241</v>
      </c>
      <c r="I18" s="25" t="s">
        <v>241</v>
      </c>
      <c r="J18" s="25" t="s">
        <v>241</v>
      </c>
    </row>
    <row r="19" spans="1:10" ht="16.5">
      <c r="A19" s="3"/>
      <c r="B19" s="140" t="s">
        <v>243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225</v>
      </c>
      <c r="D20" s="251">
        <v>4768</v>
      </c>
      <c r="E20" s="251">
        <v>1457</v>
      </c>
      <c r="F20" s="226">
        <f>+E20/D20</f>
        <v>0.30557885906040266</v>
      </c>
      <c r="G20" s="227">
        <f>+G39</f>
        <v>242433</v>
      </c>
      <c r="H20" s="39">
        <f>+G20/D$45</f>
        <v>1.9286576386749377E-3</v>
      </c>
      <c r="I20" s="111">
        <f>ROUND(+H20*G20,0)</f>
        <v>468</v>
      </c>
      <c r="J20" s="111"/>
    </row>
    <row r="21" spans="1:10" ht="15.75">
      <c r="A21" s="3">
        <f>1+A20</f>
        <v>2</v>
      </c>
      <c r="B21" s="3"/>
      <c r="C21" s="3" t="s">
        <v>226</v>
      </c>
      <c r="D21" s="251">
        <v>4457</v>
      </c>
      <c r="E21" s="251">
        <v>755</v>
      </c>
      <c r="F21" s="226">
        <f>+E21/D21</f>
        <v>0.16939645501458381</v>
      </c>
      <c r="G21" s="228">
        <f>+G36</f>
        <v>368591</v>
      </c>
      <c r="H21" s="39">
        <f>+G21/D$45</f>
        <v>2.9322981924772367E-3</v>
      </c>
      <c r="I21" s="74">
        <f>ROUND(+H21*G21,0)</f>
        <v>1081</v>
      </c>
      <c r="J21" s="74"/>
    </row>
    <row r="22" spans="1:10" ht="15.75">
      <c r="A22" s="3">
        <f>1+A21</f>
        <v>3</v>
      </c>
      <c r="B22" s="3"/>
      <c r="C22" s="3" t="s">
        <v>227</v>
      </c>
      <c r="D22" s="251">
        <v>9450</v>
      </c>
      <c r="E22" s="251">
        <v>1059</v>
      </c>
      <c r="F22" s="226">
        <f>+E22/D22</f>
        <v>0.11206349206349206</v>
      </c>
      <c r="G22" s="228">
        <f>+G40</f>
        <v>425971</v>
      </c>
      <c r="H22" s="39">
        <f>+G22/D$45</f>
        <v>3.3887805001959381E-3</v>
      </c>
      <c r="I22" s="74">
        <f>ROUND(+H22*G22,0)</f>
        <v>1444</v>
      </c>
      <c r="J22" s="74"/>
    </row>
    <row r="23" spans="1:10" ht="15">
      <c r="A23" s="3"/>
      <c r="B23" s="3"/>
      <c r="C23" s="3"/>
      <c r="D23" s="178" t="s">
        <v>222</v>
      </c>
      <c r="E23" s="176" t="s">
        <v>222</v>
      </c>
      <c r="F23" s="177"/>
      <c r="G23" s="176" t="s">
        <v>222</v>
      </c>
      <c r="H23" s="74"/>
      <c r="I23" s="146" t="s">
        <v>224</v>
      </c>
      <c r="J23" s="144"/>
    </row>
    <row r="24" spans="1:10" ht="15.75">
      <c r="A24" s="3">
        <v>4</v>
      </c>
      <c r="B24" s="3"/>
      <c r="C24" s="3" t="s">
        <v>228</v>
      </c>
      <c r="D24" s="178">
        <f>SUM(D20:D22)</f>
        <v>18675</v>
      </c>
      <c r="E24" s="178">
        <f>SUM(E20:E22)</f>
        <v>3271</v>
      </c>
      <c r="F24" s="177"/>
      <c r="G24" s="178">
        <f>SUM(G20:G22)</f>
        <v>1036995</v>
      </c>
      <c r="H24" s="74"/>
      <c r="I24" s="126">
        <f>SUM(I20:I22)</f>
        <v>2993</v>
      </c>
      <c r="J24" s="142">
        <f>ROUND(I24/12,0)</f>
        <v>249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244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229</v>
      </c>
      <c r="D28" s="248">
        <v>5772</v>
      </c>
      <c r="E28" s="252">
        <v>2903</v>
      </c>
      <c r="F28" s="226">
        <f>+E28/D28</f>
        <v>0.50294525294525294</v>
      </c>
      <c r="G28" s="247">
        <v>269257</v>
      </c>
      <c r="H28" s="39">
        <f>+G28/D$45</f>
        <v>2.1420539687942554E-3</v>
      </c>
      <c r="I28" s="111">
        <f>ROUND(+H28*G28,0)</f>
        <v>577</v>
      </c>
      <c r="J28" s="111"/>
    </row>
    <row r="29" spans="1:10" ht="15.75">
      <c r="A29" s="3">
        <f>1+A28</f>
        <v>7</v>
      </c>
      <c r="B29" s="3"/>
      <c r="C29" s="3" t="s">
        <v>230</v>
      </c>
      <c r="D29" s="248">
        <v>5478</v>
      </c>
      <c r="E29" s="248">
        <v>1307</v>
      </c>
      <c r="F29" s="226">
        <f>+E29/D29</f>
        <v>0.23859072654253377</v>
      </c>
      <c r="G29" s="252">
        <v>234484</v>
      </c>
      <c r="H29" s="39">
        <f>+G29/D$45</f>
        <v>1.8654199624104561E-3</v>
      </c>
      <c r="I29" s="74">
        <f>ROUND(+H29*G29,0)</f>
        <v>437</v>
      </c>
      <c r="J29" s="74"/>
    </row>
    <row r="30" spans="1:10" ht="15">
      <c r="A30" s="3"/>
      <c r="B30" s="3"/>
      <c r="C30" s="3"/>
      <c r="D30" s="178" t="s">
        <v>222</v>
      </c>
      <c r="E30" s="176" t="s">
        <v>222</v>
      </c>
      <c r="F30" s="177"/>
      <c r="G30" s="176" t="s">
        <v>222</v>
      </c>
      <c r="H30" s="74"/>
      <c r="I30" s="144" t="s">
        <v>224</v>
      </c>
      <c r="J30" s="144"/>
    </row>
    <row r="31" spans="1:10" ht="15.75">
      <c r="A31" s="3">
        <v>8</v>
      </c>
      <c r="B31" s="3"/>
      <c r="C31" s="3" t="s">
        <v>231</v>
      </c>
      <c r="D31" s="178">
        <f>SUM(D28:D29)</f>
        <v>11250</v>
      </c>
      <c r="E31" s="178">
        <f>SUM(E28:E29)</f>
        <v>4210</v>
      </c>
      <c r="F31" s="177"/>
      <c r="G31" s="178">
        <f>SUM(G28:G29)</f>
        <v>503741</v>
      </c>
      <c r="H31" s="74"/>
      <c r="I31" s="111">
        <f>SUM(I28:I29)</f>
        <v>1014</v>
      </c>
      <c r="J31" s="142">
        <f>ROUND(I31/12,0)</f>
        <v>85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245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232</v>
      </c>
      <c r="D35" s="352">
        <v>1076</v>
      </c>
      <c r="E35" s="297">
        <f>+D35</f>
        <v>1076</v>
      </c>
      <c r="F35" s="226">
        <f t="shared" ref="F35:F40" si="1">+E35/D35</f>
        <v>1</v>
      </c>
      <c r="G35" s="245">
        <v>227364</v>
      </c>
      <c r="H35" s="39">
        <f t="shared" ref="H35:H40" si="2">+G35/D$45</f>
        <v>1.8087773337775324E-3</v>
      </c>
      <c r="I35" s="111">
        <f t="shared" ref="I35:I40" si="3">ROUND(+H35*G35,0)</f>
        <v>411</v>
      </c>
      <c r="J35" s="111"/>
    </row>
    <row r="36" spans="1:10" ht="15.75">
      <c r="A36" s="3">
        <f t="shared" si="0"/>
        <v>11</v>
      </c>
      <c r="B36" s="3"/>
      <c r="C36" s="3" t="s">
        <v>226</v>
      </c>
      <c r="D36" s="352">
        <v>4457</v>
      </c>
      <c r="E36" s="249">
        <v>2818</v>
      </c>
      <c r="F36" s="226">
        <f t="shared" si="1"/>
        <v>0.63226385461072465</v>
      </c>
      <c r="G36" s="244">
        <v>368591</v>
      </c>
      <c r="H36" s="39">
        <f t="shared" si="2"/>
        <v>2.9322981924772367E-3</v>
      </c>
      <c r="I36" s="74">
        <f t="shared" si="3"/>
        <v>1081</v>
      </c>
      <c r="J36" s="74"/>
    </row>
    <row r="37" spans="1:10" ht="15.75">
      <c r="A37" s="3">
        <f t="shared" si="0"/>
        <v>12</v>
      </c>
      <c r="B37" s="3"/>
      <c r="C37" s="3" t="s">
        <v>233</v>
      </c>
      <c r="D37" s="352">
        <v>3764</v>
      </c>
      <c r="E37" s="249">
        <v>165</v>
      </c>
      <c r="F37" s="226">
        <f t="shared" si="1"/>
        <v>4.3836344314558982E-2</v>
      </c>
      <c r="G37" s="246">
        <v>149218</v>
      </c>
      <c r="H37" s="39">
        <f t="shared" si="2"/>
        <v>1.1870926628297174E-3</v>
      </c>
      <c r="I37" s="74">
        <f t="shared" si="3"/>
        <v>177</v>
      </c>
      <c r="J37" s="74"/>
    </row>
    <row r="38" spans="1:10" ht="15.75">
      <c r="A38" s="3">
        <f t="shared" si="0"/>
        <v>13</v>
      </c>
      <c r="B38" s="3"/>
      <c r="C38" s="3" t="s">
        <v>234</v>
      </c>
      <c r="D38" s="352">
        <v>3535</v>
      </c>
      <c r="E38" s="249">
        <v>811</v>
      </c>
      <c r="F38" s="226">
        <f t="shared" si="1"/>
        <v>0.22942008486562943</v>
      </c>
      <c r="G38" s="246">
        <v>200039</v>
      </c>
      <c r="H38" s="39">
        <f t="shared" si="2"/>
        <v>1.5913953355479488E-3</v>
      </c>
      <c r="I38" s="74">
        <f t="shared" si="3"/>
        <v>318</v>
      </c>
      <c r="J38" s="74"/>
    </row>
    <row r="39" spans="1:10" ht="15.75">
      <c r="A39" s="3">
        <f t="shared" si="0"/>
        <v>14</v>
      </c>
      <c r="B39" s="3"/>
      <c r="C39" s="3" t="s">
        <v>225</v>
      </c>
      <c r="D39" s="352">
        <v>4768</v>
      </c>
      <c r="E39" s="249">
        <v>1316</v>
      </c>
      <c r="F39" s="226">
        <f t="shared" si="1"/>
        <v>0.27600671140939598</v>
      </c>
      <c r="G39" s="244">
        <v>242433</v>
      </c>
      <c r="H39" s="39">
        <f t="shared" si="2"/>
        <v>1.9286576386749377E-3</v>
      </c>
      <c r="I39" s="74">
        <f t="shared" si="3"/>
        <v>468</v>
      </c>
      <c r="J39" s="74"/>
    </row>
    <row r="40" spans="1:10" ht="15.75">
      <c r="A40" s="3">
        <f t="shared" si="0"/>
        <v>15</v>
      </c>
      <c r="B40" s="3"/>
      <c r="C40" s="3" t="s">
        <v>227</v>
      </c>
      <c r="D40" s="352">
        <v>9450</v>
      </c>
      <c r="E40" s="249">
        <v>913</v>
      </c>
      <c r="F40" s="226">
        <f t="shared" si="1"/>
        <v>9.661375661375661E-2</v>
      </c>
      <c r="G40" s="244">
        <v>425971</v>
      </c>
      <c r="H40" s="39">
        <f t="shared" si="2"/>
        <v>3.3887805001959381E-3</v>
      </c>
      <c r="I40" s="74">
        <f t="shared" si="3"/>
        <v>1444</v>
      </c>
      <c r="J40" s="74"/>
    </row>
    <row r="41" spans="1:10" ht="15">
      <c r="A41" s="3"/>
      <c r="B41" s="3"/>
      <c r="C41" s="3"/>
      <c r="D41" s="70" t="s">
        <v>222</v>
      </c>
      <c r="E41" s="3" t="s">
        <v>222</v>
      </c>
      <c r="F41" s="70"/>
      <c r="G41" s="3" t="s">
        <v>222</v>
      </c>
      <c r="H41" s="74"/>
      <c r="I41" s="144" t="s">
        <v>224</v>
      </c>
      <c r="J41" s="144"/>
    </row>
    <row r="42" spans="1:10" ht="15.75">
      <c r="A42" s="3">
        <v>16</v>
      </c>
      <c r="B42" s="3"/>
      <c r="C42" s="3" t="s">
        <v>235</v>
      </c>
      <c r="D42" s="178">
        <f>SUM(D35:D40)</f>
        <v>27050</v>
      </c>
      <c r="E42" s="178">
        <f>SUM(E35:E40)</f>
        <v>7099</v>
      </c>
      <c r="F42" s="70"/>
      <c r="G42" s="178">
        <f>SUM(G35:G40)</f>
        <v>1613616</v>
      </c>
      <c r="H42" s="74"/>
      <c r="I42" s="126">
        <f>SUM(I35:I40)</f>
        <v>3899</v>
      </c>
      <c r="J42" s="142">
        <f>ROUND(I42/12,0)</f>
        <v>325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254</v>
      </c>
      <c r="C45" s="3"/>
      <c r="D45" s="111">
        <f>+'1 Rev Req'!E14</f>
        <v>125700381</v>
      </c>
      <c r="E45" s="36" t="s">
        <v>333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 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 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Ryan, Bill</cp:lastModifiedBy>
  <cp:lastPrinted>2017-05-31T21:31:54Z</cp:lastPrinted>
  <dcterms:created xsi:type="dcterms:W3CDTF">1996-11-14T19:03:55Z</dcterms:created>
  <dcterms:modified xsi:type="dcterms:W3CDTF">2017-06-01T12:55:23Z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