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6750" windowWidth="26145" windowHeight="667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6 Projection" sheetId="100" r:id="rId13"/>
    <sheet name="Att 9a1-2015 Actual" sheetId="113" r:id="rId14"/>
    <sheet name="Att 9a2 - 2014 actual" sheetId="101" r:id="rId15"/>
    <sheet name="Att 9a3 - 2013 actual" sheetId="102" r:id="rId16"/>
    <sheet name="Att 9b - 2015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localSheetId="13" hidden="1">#REF!</definedName>
    <definedName name="_Fill" hidden="1">#REF!</definedName>
    <definedName name="_xlnm._FilterDatabase" localSheetId="3" hidden="1">'Att 1 - ADIT'!$I$276:$I$403</definedName>
    <definedName name="_xlnm._FilterDatabase" localSheetId="18" hidden="1">'Att 11 - Prepayments'!$B$6:$L$53</definedName>
    <definedName name="_xlnm._FilterDatabase" localSheetId="23" hidden="1">'Att 16 - Unfunded Reserves'!$AA$1:$AA$165</definedName>
    <definedName name="_xlnm._FilterDatabase" localSheetId="4" hidden="1">'Att 1a - ADIT'!$J$1:$J$890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1" hidden="1">#REF!</definedName>
    <definedName name="_Key2" localSheetId="3"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_Sort"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A'!$A$1:$P$332</definedName>
    <definedName name="_xlnm.Print_Area" localSheetId="1">'Appendix B'!$B$1:$E$30</definedName>
    <definedName name="_xlnm.Print_Area" localSheetId="17">'Att 10 - Acc Amort of PIS'!$B$1:$E$13</definedName>
    <definedName name="_xlnm.Print_Area" localSheetId="18">'Att 11 - Prepayments'!$B$1:$L$59</definedName>
    <definedName name="_xlnm.Print_Area" localSheetId="19">'Att 12 - Plant Held Future Use'!$B$1:$E$20</definedName>
    <definedName name="_xlnm.Print_Area" localSheetId="20">'Att 13 - Revenue Credit Detail'!$A$1:$H$54</definedName>
    <definedName name="_xlnm.Print_Area" localSheetId="22">'Att 15 - GSU and Assoc''d Equip'!$A$1:$C$27</definedName>
    <definedName name="_xlnm.Print_Area" localSheetId="5">'Att 2 - Other Taxes'!$A$1:$G$58</definedName>
    <definedName name="_xlnm.Print_Area" localSheetId="6">'Att 3 - Revenue Credits'!$A$1:$E$50</definedName>
    <definedName name="_xlnm.Print_Area" localSheetId="8">'Att 5 - Cost Support'!$A$1:$M$304</definedName>
    <definedName name="_xlnm.Print_Area" localSheetId="10">'Att 7 - Trans Enhance Charge'!$A$1:$T$71</definedName>
    <definedName name="_xlnm.Print_Area" localSheetId="13">'Att 9a1-2015 Actual'!$A$1:$S$43</definedName>
    <definedName name="_xlnm.Print_Area" localSheetId="14">'Att 9a2 - 2014 actual'!$A$1:$R$43</definedName>
    <definedName name="_xlnm.Print_Area" localSheetId="15">'Att 9a3 - 2013 actual'!$A$1:$R$43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7">Inputs!$1:$1</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"Projection"</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ADIT'!$A$1:$I$432</definedName>
    <definedName name="Z_28948E05_8F34_4F1E_96FB_A80A6A844600_.wvu.PrintArea" localSheetId="4" hidden="1">'Att 1a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ADIT'!$A$1:$I$432</definedName>
    <definedName name="Z_63011E91_4609_4523_98FE_FD252E915668_.wvu.PrintArea" localSheetId="4" hidden="1">'Att 1a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ADIT'!$A$1:$I$432</definedName>
    <definedName name="Z_6928E596_79BD_4CEC_9F0D_07E62D69B2A5_.wvu.PrintArea" localSheetId="4" hidden="1">'Att 1a - ADIT'!$A$1:$I$493</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ADIT'!$A$1:$I$432</definedName>
    <definedName name="Z_71B42B22_A376_44B5_B0C1_23FC1AA3DBA2_.wvu.PrintArea" localSheetId="4" hidden="1">'Att 1a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ADIT'!$A$1:$I$432</definedName>
    <definedName name="Z_8FBB4DC9_2D51_4AB9_80D8_F8474B404C29_.wvu.PrintArea" localSheetId="4" hidden="1">'Att 1a - ADIT'!$A$1:$I$493</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ADIT'!$A$1:$I$432</definedName>
    <definedName name="Z_B647CB7F_C846_4278_B6B1_1EF7F3C004F5_.wvu.PrintArea" localSheetId="4" hidden="1">'Att 1a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ADIT'!$A$1:$I$432</definedName>
    <definedName name="Z_DC91DEF3_837B_4BB9_A81E_3B78C5914E6C_.wvu.PrintArea" localSheetId="4" hidden="1">'Att 1a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ADIT'!$A$1:$I$432</definedName>
    <definedName name="Z_FAAD9AAC_1337_43AB_BF1F_CCF9DFCF5B78_.wvu.PrintArea" localSheetId="4" hidden="1">'Att 1a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M106" i="97" l="1"/>
  <c r="S38" i="100" l="1"/>
  <c r="S34" i="100"/>
  <c r="S30" i="100"/>
  <c r="Q22" i="100" l="1"/>
  <c r="Q23" i="100" s="1"/>
  <c r="R22" i="100"/>
  <c r="R23" i="100" s="1"/>
  <c r="S33" i="100"/>
  <c r="S37" i="100"/>
  <c r="S41" i="100"/>
  <c r="S31" i="100"/>
  <c r="S35" i="100"/>
  <c r="S39" i="100"/>
  <c r="S32" i="100"/>
  <c r="S36" i="100"/>
  <c r="S40" i="100"/>
  <c r="R42" i="100" l="1"/>
  <c r="R43" i="100" s="1"/>
  <c r="Q42" i="100"/>
  <c r="Q43" i="100" s="1"/>
  <c r="Q42" i="104" l="1"/>
  <c r="Q43" i="104" s="1"/>
  <c r="S42" i="100" l="1"/>
  <c r="S43" i="100" s="1"/>
  <c r="H29" i="113" l="1"/>
  <c r="I29" i="113"/>
  <c r="G28" i="113"/>
  <c r="I28" i="113"/>
  <c r="I30" i="113" l="1"/>
  <c r="H30" i="113"/>
  <c r="G30" i="113"/>
  <c r="F30" i="113"/>
  <c r="E30" i="113"/>
  <c r="G29" i="113"/>
  <c r="F29" i="113"/>
  <c r="E29" i="113"/>
  <c r="F28" i="113"/>
  <c r="E28" i="113"/>
  <c r="R9" i="113"/>
  <c r="Q9" i="113"/>
  <c r="P9" i="113"/>
  <c r="O9" i="113"/>
  <c r="N9" i="113"/>
  <c r="M9" i="113"/>
  <c r="L9" i="113"/>
  <c r="K9" i="113"/>
  <c r="J9" i="113"/>
  <c r="I9" i="113"/>
  <c r="H9" i="113"/>
  <c r="G9" i="113"/>
  <c r="F9" i="113"/>
  <c r="E9" i="113"/>
  <c r="R8" i="113"/>
  <c r="Q8" i="113"/>
  <c r="P8" i="113"/>
  <c r="O8" i="113"/>
  <c r="N8" i="113"/>
  <c r="M8" i="113"/>
  <c r="L8" i="113"/>
  <c r="K8" i="113"/>
  <c r="J8" i="113"/>
  <c r="I8" i="113"/>
  <c r="H8" i="113"/>
  <c r="G8" i="113"/>
  <c r="F8" i="113"/>
  <c r="E8" i="113"/>
  <c r="R7" i="113"/>
  <c r="Q7" i="113"/>
  <c r="P7" i="113"/>
  <c r="O7" i="113"/>
  <c r="N7" i="113"/>
  <c r="M7" i="113"/>
  <c r="L7" i="113"/>
  <c r="K7" i="113"/>
  <c r="J7" i="113"/>
  <c r="I7" i="113"/>
  <c r="H7" i="113"/>
  <c r="G7" i="113"/>
  <c r="F7" i="113"/>
  <c r="E7" i="113"/>
  <c r="T42" i="104"/>
  <c r="T43" i="104" s="1"/>
  <c r="P42" i="100"/>
  <c r="P43" i="100" s="1"/>
  <c r="I42" i="113"/>
  <c r="H42" i="113"/>
  <c r="G42" i="113"/>
  <c r="F42" i="113"/>
  <c r="E42" i="113"/>
  <c r="I41" i="113"/>
  <c r="H41" i="113"/>
  <c r="G41" i="113"/>
  <c r="F41" i="113"/>
  <c r="E41" i="113"/>
  <c r="I40" i="113"/>
  <c r="H40" i="113"/>
  <c r="G40" i="113"/>
  <c r="F40" i="113"/>
  <c r="E40" i="113"/>
  <c r="I39" i="113"/>
  <c r="H39" i="113"/>
  <c r="G39" i="113"/>
  <c r="F39" i="113"/>
  <c r="E39" i="113"/>
  <c r="I38" i="113"/>
  <c r="H38" i="113"/>
  <c r="G38" i="113"/>
  <c r="F38" i="113"/>
  <c r="E38" i="113"/>
  <c r="I37" i="113"/>
  <c r="H37" i="113"/>
  <c r="G37" i="113"/>
  <c r="F37" i="113"/>
  <c r="E37" i="113"/>
  <c r="I36" i="113"/>
  <c r="H36" i="113"/>
  <c r="G36" i="113"/>
  <c r="F36" i="113"/>
  <c r="E36" i="113"/>
  <c r="I35" i="113"/>
  <c r="H35" i="113"/>
  <c r="G35" i="113"/>
  <c r="F35" i="113"/>
  <c r="E35" i="113"/>
  <c r="I34" i="113"/>
  <c r="H34" i="113"/>
  <c r="G34" i="113"/>
  <c r="F34" i="113"/>
  <c r="E34" i="113"/>
  <c r="I33" i="113"/>
  <c r="H33" i="113"/>
  <c r="G33" i="113"/>
  <c r="F33" i="113"/>
  <c r="E33" i="113"/>
  <c r="I32" i="113"/>
  <c r="H32" i="113"/>
  <c r="G32" i="113"/>
  <c r="F32" i="113"/>
  <c r="E32" i="113"/>
  <c r="I31" i="113"/>
  <c r="H31" i="113"/>
  <c r="G31" i="113"/>
  <c r="F31" i="113"/>
  <c r="E31" i="113"/>
  <c r="R21" i="113"/>
  <c r="P21" i="100" s="1"/>
  <c r="Q21" i="113"/>
  <c r="P21" i="113"/>
  <c r="O21" i="113"/>
  <c r="N21" i="113"/>
  <c r="M21" i="113"/>
  <c r="L21" i="113"/>
  <c r="K21" i="113"/>
  <c r="J21" i="113"/>
  <c r="I21" i="113"/>
  <c r="H21" i="113"/>
  <c r="G21" i="113"/>
  <c r="F21" i="113"/>
  <c r="E21" i="113"/>
  <c r="D21" i="113"/>
  <c r="D42" i="113" s="1"/>
  <c r="C21" i="113"/>
  <c r="C42" i="113" s="1"/>
  <c r="R20" i="113"/>
  <c r="P20" i="100" s="1"/>
  <c r="Q20" i="113"/>
  <c r="P20" i="113"/>
  <c r="O20" i="113"/>
  <c r="N20" i="113"/>
  <c r="M20" i="113"/>
  <c r="L20" i="113"/>
  <c r="K20" i="113"/>
  <c r="J20" i="113"/>
  <c r="I20" i="113"/>
  <c r="H20" i="113"/>
  <c r="G20" i="113"/>
  <c r="F20" i="113"/>
  <c r="E20" i="113"/>
  <c r="D20" i="113"/>
  <c r="D41" i="113" s="1"/>
  <c r="C20" i="113"/>
  <c r="C41" i="113" s="1"/>
  <c r="R19" i="113"/>
  <c r="P19" i="100" s="1"/>
  <c r="Q19" i="113"/>
  <c r="P19" i="113"/>
  <c r="O19" i="113"/>
  <c r="N19" i="113"/>
  <c r="M19" i="113"/>
  <c r="L19" i="113"/>
  <c r="K19" i="113"/>
  <c r="J19" i="113"/>
  <c r="I19" i="113"/>
  <c r="H19" i="113"/>
  <c r="G19" i="113"/>
  <c r="F19" i="113"/>
  <c r="E19" i="113"/>
  <c r="D19" i="113"/>
  <c r="D40" i="113" s="1"/>
  <c r="C19" i="113"/>
  <c r="C40" i="113" s="1"/>
  <c r="R18" i="113"/>
  <c r="P18" i="100" s="1"/>
  <c r="Q18" i="113"/>
  <c r="P18" i="113"/>
  <c r="O18" i="113"/>
  <c r="N18" i="113"/>
  <c r="M18" i="113"/>
  <c r="L18" i="113"/>
  <c r="K18" i="113"/>
  <c r="J18" i="113"/>
  <c r="I18" i="113"/>
  <c r="H18" i="113"/>
  <c r="G18" i="113"/>
  <c r="F18" i="113"/>
  <c r="E18" i="113"/>
  <c r="D18" i="113"/>
  <c r="D39" i="113" s="1"/>
  <c r="C18" i="113"/>
  <c r="C39" i="113" s="1"/>
  <c r="R17" i="113"/>
  <c r="P17" i="100" s="1"/>
  <c r="Q17" i="113"/>
  <c r="P17" i="113"/>
  <c r="O17" i="113"/>
  <c r="N17" i="113"/>
  <c r="M17" i="113"/>
  <c r="L17" i="113"/>
  <c r="K17" i="113"/>
  <c r="J17" i="113"/>
  <c r="I17" i="113"/>
  <c r="H17" i="113"/>
  <c r="G17" i="113"/>
  <c r="F17" i="113"/>
  <c r="E17" i="113"/>
  <c r="D17" i="113"/>
  <c r="D38" i="113" s="1"/>
  <c r="C17" i="113"/>
  <c r="C38" i="113" s="1"/>
  <c r="R16" i="113"/>
  <c r="P16" i="100" s="1"/>
  <c r="Q16" i="113"/>
  <c r="P16" i="113"/>
  <c r="O16" i="113"/>
  <c r="N16" i="113"/>
  <c r="M16" i="113"/>
  <c r="L16" i="113"/>
  <c r="K16" i="113"/>
  <c r="J16" i="113"/>
  <c r="I16" i="113"/>
  <c r="H16" i="113"/>
  <c r="G16" i="113"/>
  <c r="F16" i="113"/>
  <c r="E16" i="113"/>
  <c r="D16" i="113"/>
  <c r="D37" i="113" s="1"/>
  <c r="C16" i="113"/>
  <c r="C37" i="113" s="1"/>
  <c r="R15" i="113"/>
  <c r="P15" i="100" s="1"/>
  <c r="Q15" i="113"/>
  <c r="P15" i="113"/>
  <c r="O15" i="113"/>
  <c r="N15" i="113"/>
  <c r="M15" i="113"/>
  <c r="L15" i="113"/>
  <c r="K15" i="113"/>
  <c r="J15" i="113"/>
  <c r="I15" i="113"/>
  <c r="H15" i="113"/>
  <c r="G15" i="113"/>
  <c r="F15" i="113"/>
  <c r="E15" i="113"/>
  <c r="D15" i="113"/>
  <c r="D36" i="113" s="1"/>
  <c r="C15" i="113"/>
  <c r="C36" i="113" s="1"/>
  <c r="R14" i="113"/>
  <c r="P14" i="100" s="1"/>
  <c r="Q14" i="113"/>
  <c r="O14" i="100" s="1"/>
  <c r="P14" i="113"/>
  <c r="O14" i="113"/>
  <c r="N14" i="113"/>
  <c r="M14" i="113"/>
  <c r="L14" i="113"/>
  <c r="K14" i="113"/>
  <c r="J14" i="113"/>
  <c r="I14" i="113"/>
  <c r="H14" i="113"/>
  <c r="G14" i="113"/>
  <c r="F14" i="113"/>
  <c r="E14" i="113"/>
  <c r="D14" i="113"/>
  <c r="D35" i="113" s="1"/>
  <c r="C14" i="113"/>
  <c r="C35" i="113" s="1"/>
  <c r="R13" i="113"/>
  <c r="P13" i="100" s="1"/>
  <c r="Q13" i="113"/>
  <c r="O13" i="100" s="1"/>
  <c r="P13" i="113"/>
  <c r="O13" i="113"/>
  <c r="N13" i="113"/>
  <c r="M13" i="113"/>
  <c r="L13" i="113"/>
  <c r="K13" i="113"/>
  <c r="J13" i="113"/>
  <c r="I13" i="113"/>
  <c r="H13" i="113"/>
  <c r="G13" i="113"/>
  <c r="F13" i="113"/>
  <c r="E13" i="113"/>
  <c r="D13" i="113"/>
  <c r="D34" i="113" s="1"/>
  <c r="C13" i="113"/>
  <c r="C34" i="113" s="1"/>
  <c r="R12" i="113"/>
  <c r="P12" i="100" s="1"/>
  <c r="Q12" i="113"/>
  <c r="O12" i="100" s="1"/>
  <c r="P12" i="113"/>
  <c r="O12" i="113"/>
  <c r="N12" i="113"/>
  <c r="M12" i="113"/>
  <c r="L12" i="113"/>
  <c r="K12" i="113"/>
  <c r="J12" i="113"/>
  <c r="I12" i="113"/>
  <c r="H12" i="113"/>
  <c r="G12" i="113"/>
  <c r="F12" i="113"/>
  <c r="E12" i="113"/>
  <c r="D12" i="113"/>
  <c r="D33" i="113" s="1"/>
  <c r="C12" i="113"/>
  <c r="C33" i="113" s="1"/>
  <c r="R11" i="113"/>
  <c r="P11" i="100" s="1"/>
  <c r="Q11" i="113"/>
  <c r="O11" i="100" s="1"/>
  <c r="P11" i="113"/>
  <c r="O11" i="113"/>
  <c r="N11" i="113"/>
  <c r="M11" i="113"/>
  <c r="L11" i="113"/>
  <c r="K11" i="113"/>
  <c r="J11" i="113"/>
  <c r="I11" i="113"/>
  <c r="H11" i="113"/>
  <c r="G11" i="113"/>
  <c r="F11" i="113"/>
  <c r="E11" i="113"/>
  <c r="D11" i="113"/>
  <c r="D32" i="113" s="1"/>
  <c r="C11" i="113"/>
  <c r="C32" i="113" s="1"/>
  <c r="R10" i="113"/>
  <c r="P10" i="100" s="1"/>
  <c r="Q10" i="113"/>
  <c r="P22" i="104"/>
  <c r="P23" i="104" s="1"/>
  <c r="O22" i="104"/>
  <c r="N10" i="113"/>
  <c r="M22" i="104"/>
  <c r="L22" i="104"/>
  <c r="K22" i="104"/>
  <c r="J10" i="113"/>
  <c r="I22" i="104"/>
  <c r="H22" i="104"/>
  <c r="G10" i="113"/>
  <c r="F10" i="113"/>
  <c r="D10" i="113"/>
  <c r="D31" i="113" s="1"/>
  <c r="C10" i="113"/>
  <c r="C31" i="113" s="1"/>
  <c r="E10" i="113" l="1"/>
  <c r="E22" i="113" s="1"/>
  <c r="Q22" i="113"/>
  <c r="O10" i="100"/>
  <c r="J22" i="113"/>
  <c r="N22" i="113"/>
  <c r="G22" i="113"/>
  <c r="O42" i="100"/>
  <c r="O43" i="100" s="1"/>
  <c r="M10" i="113"/>
  <c r="M22" i="113" s="1"/>
  <c r="Q22" i="104"/>
  <c r="Q23" i="104" s="1"/>
  <c r="S42" i="104"/>
  <c r="S43" i="104" s="1"/>
  <c r="J42" i="104"/>
  <c r="U42" i="104"/>
  <c r="U43" i="104" s="1"/>
  <c r="L42" i="104"/>
  <c r="K10" i="113"/>
  <c r="Y42" i="104"/>
  <c r="Y43" i="104" s="1"/>
  <c r="P42" i="104"/>
  <c r="P43" i="104" s="1"/>
  <c r="H42" i="104"/>
  <c r="O10" i="113"/>
  <c r="W42" i="104"/>
  <c r="W43" i="104" s="1"/>
  <c r="N42" i="104"/>
  <c r="N43" i="104" s="1"/>
  <c r="I10" i="113"/>
  <c r="R22" i="113"/>
  <c r="N22" i="104"/>
  <c r="X42" i="104"/>
  <c r="X43" i="104" s="1"/>
  <c r="O42" i="104"/>
  <c r="O43" i="104" s="1"/>
  <c r="K42" i="104"/>
  <c r="G42" i="104"/>
  <c r="H10" i="113"/>
  <c r="L10" i="113"/>
  <c r="P10" i="113"/>
  <c r="J22" i="104"/>
  <c r="S12" i="104"/>
  <c r="S13" i="104"/>
  <c r="S16" i="104"/>
  <c r="S17" i="104"/>
  <c r="S20" i="104"/>
  <c r="S21" i="104"/>
  <c r="R22" i="104"/>
  <c r="R23" i="104" s="1"/>
  <c r="V42" i="104"/>
  <c r="V43" i="104" s="1"/>
  <c r="R42" i="104"/>
  <c r="R43" i="104" s="1"/>
  <c r="M42" i="104"/>
  <c r="M43" i="104" s="1"/>
  <c r="I42" i="104"/>
  <c r="S15" i="113"/>
  <c r="E43" i="113"/>
  <c r="J39" i="113"/>
  <c r="J33" i="113"/>
  <c r="H43" i="113"/>
  <c r="J37" i="113"/>
  <c r="J41" i="113"/>
  <c r="J34" i="113"/>
  <c r="J32" i="113"/>
  <c r="G43" i="113"/>
  <c r="F43" i="113"/>
  <c r="J36" i="113"/>
  <c r="J40" i="113"/>
  <c r="S11" i="113"/>
  <c r="S12" i="113"/>
  <c r="S13" i="113"/>
  <c r="S14" i="113"/>
  <c r="S16" i="113"/>
  <c r="S17" i="113"/>
  <c r="S18" i="113"/>
  <c r="S19" i="113"/>
  <c r="S20" i="113"/>
  <c r="S21" i="113"/>
  <c r="I43" i="113"/>
  <c r="J35" i="113"/>
  <c r="J38" i="113"/>
  <c r="J42" i="113"/>
  <c r="F22" i="113"/>
  <c r="J31" i="113"/>
  <c r="S10" i="104"/>
  <c r="S11" i="104"/>
  <c r="S14" i="104"/>
  <c r="S15" i="104"/>
  <c r="S18" i="104"/>
  <c r="S19" i="104"/>
  <c r="L22" i="113" l="1"/>
  <c r="I22" i="113"/>
  <c r="H22" i="113"/>
  <c r="P22" i="113"/>
  <c r="O22" i="113"/>
  <c r="K22" i="113"/>
  <c r="S10" i="113"/>
  <c r="J43" i="113"/>
  <c r="S22" i="113" l="1"/>
  <c r="A100" i="31" l="1"/>
  <c r="A101" i="31" s="1"/>
  <c r="E18" i="105" l="1"/>
  <c r="H164" i="7" l="1"/>
  <c r="H163" i="7"/>
  <c r="D33" i="31" l="1"/>
  <c r="C33" i="31"/>
  <c r="G19" i="44"/>
  <c r="B20" i="44"/>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19" i="44"/>
  <c r="B18" i="44"/>
  <c r="E33" i="31" l="1"/>
  <c r="G462" i="108" l="1"/>
  <c r="H462" i="108"/>
  <c r="I462" i="108"/>
  <c r="E462" i="108"/>
  <c r="F456" i="108"/>
  <c r="F455" i="108"/>
  <c r="F454" i="108"/>
  <c r="I453" i="108"/>
  <c r="F452" i="108"/>
  <c r="F451" i="108"/>
  <c r="F450" i="108"/>
  <c r="F449" i="108"/>
  <c r="F448" i="108"/>
  <c r="H447" i="108"/>
  <c r="F446" i="108"/>
  <c r="F445" i="108"/>
  <c r="F444" i="108"/>
  <c r="F443" i="108"/>
  <c r="I442" i="108"/>
  <c r="F441" i="108"/>
  <c r="F440" i="108"/>
  <c r="I439" i="108"/>
  <c r="F438" i="108"/>
  <c r="F437" i="108"/>
  <c r="F436" i="108"/>
  <c r="F435" i="108"/>
  <c r="F434" i="108"/>
  <c r="F433" i="108"/>
  <c r="F432" i="108"/>
  <c r="I431" i="108"/>
  <c r="F429" i="108"/>
  <c r="F428" i="108"/>
  <c r="F427" i="108"/>
  <c r="F426" i="108"/>
  <c r="F425" i="108"/>
  <c r="F424" i="108"/>
  <c r="F423" i="108"/>
  <c r="F422" i="108"/>
  <c r="F421" i="108"/>
  <c r="F420" i="108"/>
  <c r="F419" i="108"/>
  <c r="F418" i="108"/>
  <c r="F417" i="108"/>
  <c r="F416" i="108"/>
  <c r="F415" i="108"/>
  <c r="F414" i="108"/>
  <c r="F413" i="108"/>
  <c r="F412" i="108"/>
  <c r="F411" i="108"/>
  <c r="F410" i="108"/>
  <c r="F409" i="108"/>
  <c r="F408" i="108"/>
  <c r="F407" i="108"/>
  <c r="F406" i="108"/>
  <c r="F405" i="108"/>
  <c r="F404" i="108"/>
  <c r="F403" i="108"/>
  <c r="F402" i="108"/>
  <c r="F401" i="108"/>
  <c r="F400" i="108"/>
  <c r="F399" i="108"/>
  <c r="F398" i="108"/>
  <c r="F397" i="108"/>
  <c r="F396" i="108"/>
  <c r="F395" i="108"/>
  <c r="F394" i="108"/>
  <c r="F393" i="108"/>
  <c r="F392" i="108"/>
  <c r="F391" i="108"/>
  <c r="F390" i="108"/>
  <c r="I389" i="108"/>
  <c r="F388" i="108"/>
  <c r="F387" i="108"/>
  <c r="F386" i="108"/>
  <c r="F385" i="108"/>
  <c r="F384" i="108"/>
  <c r="F383" i="108"/>
  <c r="F382" i="108"/>
  <c r="F381" i="108"/>
  <c r="F380" i="108"/>
  <c r="F379" i="108"/>
  <c r="F378" i="108"/>
  <c r="F377" i="108"/>
  <c r="F376" i="108"/>
  <c r="F375" i="108"/>
  <c r="F374" i="108"/>
  <c r="F373" i="108"/>
  <c r="F372" i="108"/>
  <c r="F371" i="108"/>
  <c r="F370" i="108"/>
  <c r="F369" i="108"/>
  <c r="F368" i="108"/>
  <c r="F367" i="108"/>
  <c r="F366" i="108"/>
  <c r="F365" i="108"/>
  <c r="F462" i="108" s="1"/>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F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G297" i="108"/>
  <c r="H297" i="108"/>
  <c r="I297" i="108"/>
  <c r="E297" i="108"/>
  <c r="F295" i="108"/>
  <c r="F294" i="108"/>
  <c r="F293" i="108"/>
  <c r="F292" i="108"/>
  <c r="F291" i="108"/>
  <c r="F290" i="108"/>
  <c r="F289" i="108"/>
  <c r="F288" i="108"/>
  <c r="F287" i="108"/>
  <c r="F286" i="108"/>
  <c r="F285" i="108"/>
  <c r="F284" i="108"/>
  <c r="F283" i="108"/>
  <c r="G282" i="108"/>
  <c r="F281" i="108"/>
  <c r="F280" i="108"/>
  <c r="F297" i="108" s="1"/>
  <c r="F279" i="108"/>
  <c r="F278" i="108"/>
  <c r="F277" i="108"/>
  <c r="F276" i="108"/>
  <c r="H275" i="108"/>
  <c r="F274" i="108"/>
  <c r="F273" i="108"/>
  <c r="F272" i="108"/>
  <c r="F271" i="108"/>
  <c r="F270" i="108"/>
  <c r="F269" i="108"/>
  <c r="F268" i="108"/>
  <c r="F267" i="108"/>
  <c r="F266" i="108"/>
  <c r="F265" i="108"/>
  <c r="F264" i="108"/>
  <c r="F263" i="108"/>
  <c r="F262" i="108"/>
  <c r="F261" i="108"/>
  <c r="H260" i="108"/>
  <c r="H259" i="108"/>
  <c r="I258" i="108"/>
  <c r="E258" i="108" s="1"/>
  <c r="I257" i="108"/>
  <c r="E257" i="108" s="1"/>
  <c r="G256" i="108"/>
  <c r="E256" i="108" s="1"/>
  <c r="F255" i="108"/>
  <c r="F254" i="108"/>
  <c r="F253" i="108"/>
  <c r="F252" i="108"/>
  <c r="F251" i="108"/>
  <c r="F250" i="108"/>
  <c r="F249" i="108"/>
  <c r="H248" i="108"/>
  <c r="F247" i="108"/>
  <c r="F246" i="108"/>
  <c r="F245" i="108"/>
  <c r="F244" i="108"/>
  <c r="F243" i="108"/>
  <c r="F198" i="108"/>
  <c r="G198" i="108"/>
  <c r="H198" i="108"/>
  <c r="E198" i="108"/>
  <c r="G197" i="108"/>
  <c r="H197" i="108"/>
  <c r="I197" i="108"/>
  <c r="E197" i="108"/>
  <c r="F195" i="108"/>
  <c r="F194" i="108"/>
  <c r="F193" i="108"/>
  <c r="F192" i="108"/>
  <c r="F191" i="108"/>
  <c r="F190" i="108"/>
  <c r="F189" i="108"/>
  <c r="F188" i="108"/>
  <c r="F187" i="108"/>
  <c r="F186" i="108"/>
  <c r="F185" i="108"/>
  <c r="F184" i="108"/>
  <c r="F183" i="108"/>
  <c r="F182" i="108"/>
  <c r="F181" i="108"/>
  <c r="F180" i="108"/>
  <c r="F179" i="108"/>
  <c r="F178" i="108"/>
  <c r="F177" i="108"/>
  <c r="G176" i="108"/>
  <c r="G175" i="108"/>
  <c r="F174" i="108"/>
  <c r="G173" i="108"/>
  <c r="F172" i="108"/>
  <c r="F171" i="108"/>
  <c r="F170" i="108"/>
  <c r="F169" i="108"/>
  <c r="F168" i="108"/>
  <c r="F167" i="108"/>
  <c r="F166" i="108"/>
  <c r="F165" i="108"/>
  <c r="F164" i="108"/>
  <c r="F163" i="108"/>
  <c r="F162" i="108"/>
  <c r="I161" i="108"/>
  <c r="F160" i="108"/>
  <c r="F159" i="108"/>
  <c r="F158" i="108"/>
  <c r="F157" i="108"/>
  <c r="F156" i="108"/>
  <c r="F155" i="108"/>
  <c r="F154" i="108"/>
  <c r="F153" i="108"/>
  <c r="F152" i="108"/>
  <c r="F151" i="108"/>
  <c r="F150" i="108"/>
  <c r="F149" i="108"/>
  <c r="F148" i="108"/>
  <c r="F147" i="108"/>
  <c r="F146" i="108"/>
  <c r="F145" i="108"/>
  <c r="F144" i="108"/>
  <c r="F141" i="108"/>
  <c r="F138" i="108"/>
  <c r="F137" i="108"/>
  <c r="F136" i="108"/>
  <c r="F135" i="108"/>
  <c r="F132" i="108"/>
  <c r="F131" i="108"/>
  <c r="F130" i="108"/>
  <c r="F129" i="108"/>
  <c r="F128" i="108"/>
  <c r="F127" i="108"/>
  <c r="F126" i="108"/>
  <c r="F125" i="108"/>
  <c r="F124" i="108"/>
  <c r="F123" i="108"/>
  <c r="F122" i="108"/>
  <c r="F121" i="108"/>
  <c r="F120" i="108"/>
  <c r="F119" i="108"/>
  <c r="F118" i="108"/>
  <c r="F117" i="108"/>
  <c r="F116" i="108"/>
  <c r="F115" i="108"/>
  <c r="F114" i="108"/>
  <c r="F113"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5" i="108"/>
  <c r="F54" i="108"/>
  <c r="F53" i="108"/>
  <c r="F52" i="108"/>
  <c r="F49" i="108"/>
  <c r="F48" i="108"/>
  <c r="F47" i="108"/>
  <c r="I46" i="108"/>
  <c r="I198" i="108" s="1"/>
  <c r="I45" i="108"/>
  <c r="I44" i="108"/>
  <c r="I43" i="108"/>
  <c r="I42" i="108"/>
  <c r="F41" i="108"/>
  <c r="I40" i="108"/>
  <c r="I39" i="108"/>
  <c r="I38" i="108"/>
  <c r="I37" i="108"/>
  <c r="F36" i="108"/>
  <c r="I35" i="108"/>
  <c r="I34" i="108"/>
  <c r="I33" i="108"/>
  <c r="F197" i="108" l="1"/>
  <c r="F401" i="110"/>
  <c r="G401" i="110"/>
  <c r="H401" i="110"/>
  <c r="I401" i="110"/>
  <c r="E401" i="110"/>
  <c r="F398" i="110"/>
  <c r="F397" i="110"/>
  <c r="F396" i="110"/>
  <c r="I395" i="110"/>
  <c r="F394" i="110"/>
  <c r="F393" i="110"/>
  <c r="F392" i="110"/>
  <c r="F391" i="110"/>
  <c r="F390" i="110"/>
  <c r="H389" i="110"/>
  <c r="F388" i="110"/>
  <c r="F387" i="110"/>
  <c r="F386" i="110"/>
  <c r="F385" i="110"/>
  <c r="I384" i="110"/>
  <c r="F383" i="110"/>
  <c r="F382" i="110"/>
  <c r="I381" i="110"/>
  <c r="F380" i="110"/>
  <c r="F379" i="110"/>
  <c r="F378" i="110"/>
  <c r="F377" i="110"/>
  <c r="F376" i="110"/>
  <c r="F375" i="110"/>
  <c r="F374" i="110"/>
  <c r="I373" i="110"/>
  <c r="F371" i="110"/>
  <c r="F370" i="110"/>
  <c r="F369" i="110"/>
  <c r="F368" i="110"/>
  <c r="F367" i="110"/>
  <c r="F366" i="110"/>
  <c r="F365" i="110"/>
  <c r="F364" i="110"/>
  <c r="F363" i="110"/>
  <c r="F362" i="110"/>
  <c r="F361" i="110"/>
  <c r="F360" i="110"/>
  <c r="F359" i="110"/>
  <c r="F358" i="110"/>
  <c r="F357" i="110"/>
  <c r="F356" i="110"/>
  <c r="F355" i="110"/>
  <c r="F354" i="110"/>
  <c r="F353" i="110"/>
  <c r="F352" i="110"/>
  <c r="F351" i="110"/>
  <c r="F350" i="110"/>
  <c r="F349" i="110"/>
  <c r="F348" i="110"/>
  <c r="F347" i="110"/>
  <c r="F346" i="110"/>
  <c r="F345" i="110"/>
  <c r="F344" i="110"/>
  <c r="F343" i="110"/>
  <c r="F342" i="110"/>
  <c r="F341" i="110"/>
  <c r="F340" i="110"/>
  <c r="F339" i="110"/>
  <c r="I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F309" i="110"/>
  <c r="F308" i="110"/>
  <c r="F307" i="110"/>
  <c r="F306" i="110"/>
  <c r="F305" i="110"/>
  <c r="F304" i="110"/>
  <c r="F303" i="110"/>
  <c r="F302" i="110"/>
  <c r="F301" i="110"/>
  <c r="F300" i="110"/>
  <c r="F299" i="110"/>
  <c r="F298" i="110"/>
  <c r="F297" i="110"/>
  <c r="F296" i="110"/>
  <c r="F295" i="110"/>
  <c r="F294" i="110"/>
  <c r="F293" i="110"/>
  <c r="F292" i="110"/>
  <c r="F291" i="110"/>
  <c r="F290" i="110"/>
  <c r="F289" i="110"/>
  <c r="F288" i="110"/>
  <c r="F287" i="110"/>
  <c r="F286" i="110"/>
  <c r="F285" i="110"/>
  <c r="F284" i="110"/>
  <c r="F283" i="110"/>
  <c r="F282" i="110"/>
  <c r="F281" i="110"/>
  <c r="F280" i="110"/>
  <c r="G258" i="110"/>
  <c r="H258" i="110"/>
  <c r="I258" i="110"/>
  <c r="E258" i="110"/>
  <c r="F256" i="110"/>
  <c r="F255" i="110"/>
  <c r="F254" i="110"/>
  <c r="F253" i="110"/>
  <c r="F252" i="110"/>
  <c r="F251" i="110"/>
  <c r="F250" i="110"/>
  <c r="F249" i="110"/>
  <c r="F248" i="110"/>
  <c r="F247" i="110"/>
  <c r="F246" i="110"/>
  <c r="F245" i="110"/>
  <c r="F244" i="110"/>
  <c r="F243" i="110"/>
  <c r="F242" i="110"/>
  <c r="F258" i="110" s="1"/>
  <c r="F241" i="110"/>
  <c r="F240" i="110"/>
  <c r="F239" i="110"/>
  <c r="F238" i="110"/>
  <c r="H237" i="110"/>
  <c r="F236" i="110"/>
  <c r="F235" i="110"/>
  <c r="F234" i="110"/>
  <c r="F233" i="110"/>
  <c r="F232" i="110"/>
  <c r="F231" i="110"/>
  <c r="F230" i="110"/>
  <c r="F229" i="110"/>
  <c r="F228" i="110"/>
  <c r="F227" i="110"/>
  <c r="F226" i="110"/>
  <c r="F225" i="110"/>
  <c r="H224" i="110"/>
  <c r="H223" i="110"/>
  <c r="I222" i="110"/>
  <c r="E222" i="110"/>
  <c r="I221" i="110"/>
  <c r="E221" i="110"/>
  <c r="G220" i="110"/>
  <c r="E220" i="110"/>
  <c r="F219" i="110"/>
  <c r="F218" i="110"/>
  <c r="F217" i="110"/>
  <c r="F216" i="110"/>
  <c r="F215" i="110"/>
  <c r="F214" i="110"/>
  <c r="F213" i="110"/>
  <c r="H212" i="110"/>
  <c r="F211" i="110"/>
  <c r="F210" i="110"/>
  <c r="F209" i="110"/>
  <c r="F208" i="110"/>
  <c r="F162" i="110"/>
  <c r="G162" i="110"/>
  <c r="H162" i="110"/>
  <c r="E162" i="110"/>
  <c r="E161" i="110"/>
  <c r="I161" i="110"/>
  <c r="H161" i="110"/>
  <c r="G161" i="110"/>
  <c r="F158" i="110"/>
  <c r="F157" i="110"/>
  <c r="F156" i="110"/>
  <c r="F155" i="110"/>
  <c r="F154" i="110"/>
  <c r="F153" i="110"/>
  <c r="F152" i="110"/>
  <c r="F151" i="110"/>
  <c r="F150" i="110"/>
  <c r="F149" i="110"/>
  <c r="F148" i="110"/>
  <c r="F147" i="110"/>
  <c r="G146" i="110"/>
  <c r="G145" i="110"/>
  <c r="G144" i="110"/>
  <c r="F143" i="110"/>
  <c r="F142" i="110"/>
  <c r="F141" i="110"/>
  <c r="F140" i="110"/>
  <c r="F139" i="110"/>
  <c r="F138" i="110"/>
  <c r="F137" i="110"/>
  <c r="F136" i="110"/>
  <c r="F135" i="110"/>
  <c r="F134" i="110"/>
  <c r="F133" i="110"/>
  <c r="F132" i="110"/>
  <c r="F131" i="110"/>
  <c r="F130" i="110"/>
  <c r="F129" i="110"/>
  <c r="F128" i="110"/>
  <c r="F127" i="110"/>
  <c r="F126" i="110"/>
  <c r="F125" i="110"/>
  <c r="F124" i="110"/>
  <c r="F123" i="110"/>
  <c r="F120" i="110"/>
  <c r="F117" i="110"/>
  <c r="F116" i="110"/>
  <c r="F115" i="110"/>
  <c r="F112" i="110"/>
  <c r="F111" i="110"/>
  <c r="F110" i="110"/>
  <c r="F109" i="110"/>
  <c r="F108" i="110"/>
  <c r="F107" i="110"/>
  <c r="F106" i="110"/>
  <c r="F105" i="110"/>
  <c r="F104" i="110"/>
  <c r="F103" i="110"/>
  <c r="F102" i="110"/>
  <c r="F101"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2" i="110"/>
  <c r="F51" i="110"/>
  <c r="F50" i="110"/>
  <c r="F49" i="110"/>
  <c r="F46" i="110"/>
  <c r="F45" i="110"/>
  <c r="F44" i="110"/>
  <c r="I43" i="110"/>
  <c r="I162" i="110" s="1"/>
  <c r="I42" i="110"/>
  <c r="I41" i="110"/>
  <c r="I40" i="110"/>
  <c r="F39" i="110"/>
  <c r="I38" i="110"/>
  <c r="I37" i="110"/>
  <c r="F36" i="110"/>
  <c r="I35" i="110"/>
  <c r="I34" i="110"/>
  <c r="I33" i="110"/>
  <c r="F161" i="110" l="1"/>
  <c r="G95" i="76" l="1"/>
  <c r="AF74" i="92" l="1"/>
  <c r="AD74" i="92"/>
  <c r="AC74" i="92"/>
  <c r="AF73" i="92"/>
  <c r="AD73" i="92"/>
  <c r="AC73" i="92"/>
  <c r="AF72" i="92"/>
  <c r="AE72" i="92"/>
  <c r="AD72" i="92"/>
  <c r="AC72" i="92"/>
  <c r="AF71" i="92"/>
  <c r="AD71" i="92"/>
  <c r="AC71" i="92"/>
  <c r="AF70" i="92"/>
  <c r="AD70" i="92"/>
  <c r="AC70" i="92"/>
  <c r="AF69" i="92"/>
  <c r="AE69" i="92"/>
  <c r="AD69" i="92"/>
  <c r="AC69" i="92"/>
  <c r="AF68" i="92"/>
  <c r="AD68" i="92"/>
  <c r="AC68" i="92"/>
  <c r="AE67" i="92"/>
  <c r="AD67" i="92"/>
  <c r="AC67" i="92"/>
  <c r="AF66" i="92"/>
  <c r="AE66" i="92"/>
  <c r="AD66" i="92"/>
  <c r="AC66" i="92"/>
  <c r="AF65" i="92"/>
  <c r="AD65" i="92"/>
  <c r="AC65" i="92"/>
  <c r="AF64" i="92"/>
  <c r="AD64" i="92"/>
  <c r="AC64" i="92"/>
  <c r="AF63" i="92"/>
  <c r="AD63" i="92"/>
  <c r="AC63" i="92"/>
  <c r="AF62" i="92"/>
  <c r="AD62" i="92"/>
  <c r="AC62" i="92"/>
  <c r="AF61" i="92"/>
  <c r="AD61" i="92"/>
  <c r="AC61" i="92"/>
  <c r="AF60" i="92"/>
  <c r="AD60" i="92"/>
  <c r="AC60" i="92"/>
  <c r="AF59" i="92"/>
  <c r="AD59" i="92"/>
  <c r="AC59" i="92"/>
  <c r="AF58" i="92"/>
  <c r="AD58" i="92"/>
  <c r="AC58" i="92"/>
  <c r="AF57" i="92"/>
  <c r="AE57" i="92"/>
  <c r="AD57" i="92"/>
  <c r="AC57" i="92"/>
  <c r="AE56" i="92"/>
  <c r="AD56" i="92"/>
  <c r="AC56" i="92"/>
  <c r="AE55" i="92"/>
  <c r="AD55" i="92"/>
  <c r="AC55" i="92"/>
  <c r="AE54" i="92"/>
  <c r="AD54" i="92"/>
  <c r="AC54" i="92"/>
  <c r="AF53" i="92"/>
  <c r="AD53" i="92"/>
  <c r="AC53" i="92"/>
  <c r="AF52" i="92"/>
  <c r="AD52" i="92"/>
  <c r="AC52" i="92"/>
  <c r="AF51" i="92"/>
  <c r="AD51" i="92"/>
  <c r="AC51" i="92"/>
  <c r="AF50" i="92"/>
  <c r="AD50" i="92"/>
  <c r="AC50" i="92"/>
  <c r="AF49" i="92"/>
  <c r="AD49" i="92"/>
  <c r="AC49" i="92"/>
  <c r="AF48" i="92"/>
  <c r="AE48" i="92"/>
  <c r="AD48" i="92"/>
  <c r="AC48" i="92"/>
  <c r="AE47" i="92"/>
  <c r="AD47" i="92"/>
  <c r="AC47" i="92"/>
  <c r="AF46" i="92"/>
  <c r="AE46" i="92"/>
  <c r="AD46" i="92"/>
  <c r="AC46" i="92"/>
  <c r="AE45" i="92"/>
  <c r="AD45" i="92"/>
  <c r="AC45" i="92"/>
  <c r="AE44" i="92"/>
  <c r="AD44" i="92"/>
  <c r="AC44" i="92"/>
  <c r="AE43" i="92"/>
  <c r="AD43" i="92"/>
  <c r="AC43" i="92"/>
  <c r="AE42" i="92"/>
  <c r="AD42" i="92"/>
  <c r="AC42" i="92"/>
  <c r="AE41" i="92"/>
  <c r="AD41" i="92"/>
  <c r="AC41" i="92"/>
  <c r="AE40" i="92"/>
  <c r="AD40" i="92"/>
  <c r="AC40" i="92"/>
  <c r="AF39" i="92"/>
  <c r="AE39" i="92"/>
  <c r="AD39" i="92"/>
  <c r="AC39" i="92"/>
  <c r="AE38" i="92"/>
  <c r="AD38" i="92"/>
  <c r="AC38" i="92"/>
  <c r="AE37" i="92"/>
  <c r="AD37" i="92"/>
  <c r="AC37" i="92"/>
  <c r="AE36" i="92"/>
  <c r="AD36" i="92"/>
  <c r="AC36" i="92"/>
  <c r="AE35" i="92"/>
  <c r="AD35" i="92"/>
  <c r="AC35" i="92"/>
  <c r="AE34" i="92"/>
  <c r="AD34" i="92"/>
  <c r="AC34" i="92"/>
  <c r="AE33" i="92"/>
  <c r="AD33" i="92"/>
  <c r="AC33" i="92"/>
  <c r="AE32" i="92"/>
  <c r="AD32" i="92"/>
  <c r="AC32" i="92"/>
  <c r="AE31" i="92"/>
  <c r="AD31" i="92"/>
  <c r="AC31" i="92"/>
  <c r="AF30" i="92"/>
  <c r="AE30" i="92"/>
  <c r="AD30" i="92"/>
  <c r="AC30" i="92"/>
  <c r="AF29" i="92"/>
  <c r="AD29" i="92"/>
  <c r="AC29" i="92"/>
  <c r="AF28" i="92"/>
  <c r="AD28" i="92"/>
  <c r="AC28" i="92"/>
  <c r="AE27" i="92"/>
  <c r="AD27" i="92"/>
  <c r="AC27" i="92"/>
  <c r="AE26" i="92"/>
  <c r="AD26" i="92"/>
  <c r="AC26" i="92"/>
  <c r="AE25" i="92"/>
  <c r="AD25" i="92"/>
  <c r="AC25" i="92"/>
  <c r="AE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44" i="92" l="1"/>
  <c r="AF44" i="92" s="1"/>
  <c r="Y43" i="92"/>
  <c r="AF43" i="92" s="1"/>
  <c r="Y49" i="92"/>
  <c r="AE49" i="92" s="1"/>
  <c r="Y53" i="92"/>
  <c r="AE53" i="92" s="1"/>
  <c r="Y58" i="92"/>
  <c r="AE58" i="92" s="1"/>
  <c r="Y62" i="92"/>
  <c r="AE62" i="92" s="1"/>
  <c r="Y65" i="92"/>
  <c r="AE65" i="92" s="1"/>
  <c r="Y67" i="92"/>
  <c r="AF67" i="92" s="1"/>
  <c r="Y73" i="92"/>
  <c r="AE73" i="92" s="1"/>
  <c r="Y52" i="92"/>
  <c r="AE52" i="92" s="1"/>
  <c r="Y50" i="92"/>
  <c r="AE50" i="92" s="1"/>
  <c r="Y59" i="92"/>
  <c r="AE59" i="92" s="1"/>
  <c r="Y63" i="92"/>
  <c r="AE63" i="92" s="1"/>
  <c r="Y74" i="92"/>
  <c r="AE74" i="92" s="1"/>
  <c r="Y41" i="92"/>
  <c r="AF41" i="92" s="1"/>
  <c r="Y45" i="92"/>
  <c r="AF45" i="92" s="1"/>
  <c r="Y51" i="92"/>
  <c r="AE51" i="92" s="1"/>
  <c r="Y55" i="92"/>
  <c r="AF55" i="92" s="1"/>
  <c r="Y60" i="92"/>
  <c r="AE60" i="92" s="1"/>
  <c r="Y64" i="92"/>
  <c r="AE64" i="92" s="1"/>
  <c r="Y70" i="92"/>
  <c r="AE70" i="92" s="1"/>
  <c r="Y40" i="92"/>
  <c r="AF40" i="92" s="1"/>
  <c r="Y54" i="92"/>
  <c r="AF54" i="92" s="1"/>
  <c r="Y68" i="92"/>
  <c r="AE68" i="92" s="1"/>
  <c r="Y42" i="92"/>
  <c r="AF42" i="92" s="1"/>
  <c r="Y47" i="92"/>
  <c r="AF47" i="92" s="1"/>
  <c r="Y56" i="92"/>
  <c r="AF56" i="92" s="1"/>
  <c r="Y61" i="92"/>
  <c r="AE61" i="92" s="1"/>
  <c r="Y71" i="92"/>
  <c r="AE71" i="92" s="1"/>
  <c r="Y37" i="92"/>
  <c r="AF37" i="92" s="1"/>
  <c r="Y38" i="92"/>
  <c r="AF38" i="92" s="1"/>
  <c r="Y36" i="92"/>
  <c r="AF36" i="92" s="1"/>
  <c r="Y34" i="92"/>
  <c r="AF34" i="92" s="1"/>
  <c r="Y32" i="92"/>
  <c r="AF32" i="92" s="1"/>
  <c r="Y35" i="92"/>
  <c r="AF35" i="92" s="1"/>
  <c r="Y33" i="92"/>
  <c r="AF33" i="92" s="1"/>
  <c r="Y31" i="92"/>
  <c r="AF31" i="92" s="1"/>
  <c r="Y11" i="92"/>
  <c r="AF11" i="92" s="1"/>
  <c r="Y26" i="92"/>
  <c r="AF26" i="92" s="1"/>
  <c r="Y22" i="92"/>
  <c r="AF22" i="92" s="1"/>
  <c r="Y19" i="92"/>
  <c r="AF19" i="92" s="1"/>
  <c r="Y15" i="92"/>
  <c r="AF15" i="92" s="1"/>
  <c r="Y29" i="92"/>
  <c r="AE29" i="92" s="1"/>
  <c r="Y25" i="92"/>
  <c r="AF25" i="92" s="1"/>
  <c r="Y18" i="92"/>
  <c r="AF18" i="92" s="1"/>
  <c r="Y14" i="92"/>
  <c r="AF14" i="92" s="1"/>
  <c r="Y10" i="92"/>
  <c r="AF10" i="92" s="1"/>
  <c r="Y13" i="92"/>
  <c r="AF13" i="92" s="1"/>
  <c r="Y9" i="92"/>
  <c r="AF9" i="92" s="1"/>
  <c r="Y28" i="92"/>
  <c r="AE28" i="92" s="1"/>
  <c r="Y24" i="92"/>
  <c r="AF24" i="92" s="1"/>
  <c r="Y21" i="92"/>
  <c r="AF21" i="92" s="1"/>
  <c r="Y17" i="92"/>
  <c r="AF17" i="92" s="1"/>
  <c r="Y12" i="92"/>
  <c r="AF12" i="92" s="1"/>
  <c r="Y8" i="92"/>
  <c r="AF8" i="92" s="1"/>
  <c r="Y27" i="92"/>
  <c r="AF27" i="92" s="1"/>
  <c r="Y23" i="92"/>
  <c r="AF23" i="92" s="1"/>
  <c r="Y20" i="92"/>
  <c r="AF20" i="92" s="1"/>
  <c r="Y16" i="92"/>
  <c r="AF16" i="92" s="1"/>
  <c r="I242" i="7" l="1"/>
  <c r="I43" i="26" l="1"/>
  <c r="I42" i="26" l="1"/>
  <c r="H42" i="26" l="1"/>
  <c r="H43" i="26" s="1"/>
  <c r="I40" i="26"/>
  <c r="H40" i="26"/>
  <c r="J91" i="97" l="1"/>
  <c r="L95" i="97"/>
  <c r="K95" i="97"/>
  <c r="J95" i="97"/>
  <c r="I95" i="97"/>
  <c r="M94" i="97"/>
  <c r="I83" i="97"/>
  <c r="J84" i="97" s="1"/>
  <c r="K84" i="97" s="1"/>
  <c r="L84" i="97" s="1"/>
  <c r="J83" i="97"/>
  <c r="K83" i="97"/>
  <c r="L83" i="97"/>
  <c r="I84" i="97"/>
  <c r="J85" i="97" s="1"/>
  <c r="K85" i="97" s="1"/>
  <c r="L85" i="97" s="1"/>
  <c r="I85" i="97"/>
  <c r="J86" i="97" s="1"/>
  <c r="K86" i="97" s="1"/>
  <c r="L86" i="97" s="1"/>
  <c r="I86" i="97"/>
  <c r="J87" i="97" s="1"/>
  <c r="I87" i="97"/>
  <c r="J88" i="97" s="1"/>
  <c r="I88" i="97"/>
  <c r="J89" i="97" s="1"/>
  <c r="I89" i="97"/>
  <c r="J90" i="97" s="1"/>
  <c r="I90" i="97"/>
  <c r="I91" i="97"/>
  <c r="J92" i="97" s="1"/>
  <c r="I92" i="97"/>
  <c r="J93" i="97" s="1"/>
  <c r="I93" i="97"/>
  <c r="J94" i="97" s="1"/>
  <c r="I94" i="97"/>
  <c r="I80" i="97"/>
  <c r="I81" i="97"/>
  <c r="I82" i="97"/>
  <c r="K88" i="97" l="1"/>
  <c r="L88" i="97" s="1"/>
  <c r="K87" i="97"/>
  <c r="L87" i="97" s="1"/>
  <c r="I96" i="97"/>
  <c r="I97" i="97" s="1"/>
  <c r="I98" i="97" s="1"/>
  <c r="K89" i="97" l="1"/>
  <c r="I99" i="97"/>
  <c r="L89" i="97" l="1"/>
  <c r="K90" i="97"/>
  <c r="I100" i="97"/>
  <c r="L90" i="97" l="1"/>
  <c r="K91" i="97"/>
  <c r="I101" i="97"/>
  <c r="L91" i="97" l="1"/>
  <c r="K92" i="97"/>
  <c r="I102" i="97"/>
  <c r="L92" i="97" l="1"/>
  <c r="K93" i="97"/>
  <c r="I103" i="97"/>
  <c r="K94" i="97" l="1"/>
  <c r="L94" i="97" s="1"/>
  <c r="L93" i="97"/>
  <c r="I104" i="97"/>
  <c r="I105" i="97" l="1"/>
  <c r="I106" i="97" l="1"/>
  <c r="C23" i="91" l="1"/>
  <c r="J160" i="1" l="1"/>
  <c r="J249" i="1" s="1"/>
  <c r="J256" i="1"/>
  <c r="J57" i="1"/>
  <c r="J25" i="1" l="1"/>
  <c r="J27" i="1" s="1"/>
  <c r="J44" i="1"/>
  <c r="J258" i="1"/>
  <c r="J259" i="1" s="1"/>
  <c r="J148" i="1"/>
  <c r="J169" i="1"/>
  <c r="J176" i="1" s="1"/>
  <c r="J194" i="1"/>
  <c r="J212" i="1" s="1"/>
  <c r="J58" i="1"/>
  <c r="J124" i="1"/>
  <c r="J16" i="1"/>
  <c r="J18" i="1" s="1"/>
  <c r="J114" i="1"/>
  <c r="J135" i="1"/>
  <c r="J185" i="1"/>
  <c r="J229" i="1"/>
  <c r="J230" i="1" s="1"/>
  <c r="J131" i="1"/>
  <c r="J40" i="1"/>
  <c r="J200" i="1" l="1"/>
  <c r="J203" i="1" s="1"/>
  <c r="J206" i="1" s="1"/>
  <c r="J211" i="1"/>
  <c r="J149" i="1"/>
  <c r="J150" i="1" s="1"/>
  <c r="J154" i="1" s="1"/>
  <c r="J248" i="1" s="1"/>
  <c r="J59" i="1"/>
  <c r="J60" i="1" s="1"/>
  <c r="J62" i="1" s="1"/>
  <c r="J88" i="1"/>
  <c r="J89" i="1" s="1"/>
  <c r="J45" i="1"/>
  <c r="J46" i="1" s="1"/>
  <c r="J50" i="1" s="1"/>
  <c r="J125" i="1"/>
  <c r="J126" i="1" s="1"/>
  <c r="J91" i="1"/>
  <c r="J92" i="1" s="1"/>
  <c r="J234" i="1"/>
  <c r="J270" i="1"/>
  <c r="J279" i="1"/>
  <c r="J216" i="1" l="1"/>
  <c r="J208" i="1"/>
  <c r="J218" i="1" s="1"/>
  <c r="J207" i="1"/>
  <c r="J217" i="1" s="1"/>
  <c r="J94" i="1"/>
  <c r="J64" i="1"/>
  <c r="J29" i="1"/>
  <c r="J30" i="1" s="1"/>
  <c r="J136" i="1" s="1"/>
  <c r="J137" i="1" s="1"/>
  <c r="J139" i="1" s="1"/>
  <c r="J219" i="1" l="1"/>
  <c r="J247" i="1"/>
  <c r="J97" i="1"/>
  <c r="J99" i="1" s="1"/>
  <c r="J104" i="1" s="1"/>
  <c r="J244" i="1" s="1"/>
  <c r="J243" i="1"/>
  <c r="J32" i="1"/>
  <c r="J33" i="1" s="1"/>
  <c r="J245" i="1" l="1"/>
  <c r="J106" i="1"/>
  <c r="J221" i="1" s="1"/>
  <c r="H303" i="7"/>
  <c r="E118" i="1"/>
  <c r="J250" i="1" l="1"/>
  <c r="J236" i="1"/>
  <c r="J238" i="1" s="1"/>
  <c r="J251" i="1" s="1"/>
  <c r="J253" i="1" l="1"/>
  <c r="J260" i="1" s="1"/>
  <c r="J276" i="1" l="1"/>
  <c r="J278" i="1" s="1"/>
  <c r="J269" i="1"/>
  <c r="J261" i="1"/>
  <c r="J266" i="1" s="1"/>
  <c r="J283" i="1" s="1"/>
  <c r="J287" i="1" s="1"/>
  <c r="J291" i="1" s="1"/>
  <c r="J293" i="1" s="1"/>
  <c r="J271" i="1" l="1"/>
  <c r="J273" i="1"/>
  <c r="J272" i="1"/>
  <c r="J281" i="1"/>
  <c r="J280" i="1"/>
  <c r="E13" i="95" l="1"/>
  <c r="B58" i="31" l="1"/>
  <c r="B56" i="31"/>
  <c r="B59" i="31"/>
  <c r="B53" i="31" l="1"/>
  <c r="B54" i="31"/>
  <c r="B52" i="31"/>
  <c r="I461" i="108" l="1"/>
  <c r="I464" i="108" s="1"/>
  <c r="H461" i="108"/>
  <c r="H464" i="108" s="1"/>
  <c r="G461" i="108"/>
  <c r="G464" i="108" s="1"/>
  <c r="F461" i="108"/>
  <c r="E461" i="108"/>
  <c r="E464" i="108" s="1"/>
  <c r="G296" i="108"/>
  <c r="I221" i="108"/>
  <c r="I224" i="108" s="1"/>
  <c r="H221" i="108"/>
  <c r="H224" i="108" s="1"/>
  <c r="G221" i="108"/>
  <c r="G224" i="108" s="1"/>
  <c r="F221" i="108"/>
  <c r="F224" i="108" s="1"/>
  <c r="E221" i="108"/>
  <c r="E224" i="108" s="1"/>
  <c r="H196" i="108"/>
  <c r="E196" i="108"/>
  <c r="E199" i="108" s="1"/>
  <c r="E13" i="108" s="1"/>
  <c r="G196" i="108"/>
  <c r="F464" i="108" l="1"/>
  <c r="F196" i="108"/>
  <c r="F199" i="108" s="1"/>
  <c r="F13" i="108" s="1"/>
  <c r="G199" i="108"/>
  <c r="G13" i="108" s="1"/>
  <c r="H199" i="108"/>
  <c r="H13" i="108" s="1"/>
  <c r="G299" i="108"/>
  <c r="F296" i="108"/>
  <c r="F299" i="108" s="1"/>
  <c r="E296" i="108"/>
  <c r="E299" i="108" s="1"/>
  <c r="E10" i="108" s="1"/>
  <c r="H296" i="108"/>
  <c r="H299" i="108" s="1"/>
  <c r="I296" i="108"/>
  <c r="I299" i="108" s="1"/>
  <c r="I196" i="108"/>
  <c r="I199" i="108" s="1"/>
  <c r="I13" i="108" s="1"/>
  <c r="G400" i="110"/>
  <c r="G403" i="110" s="1"/>
  <c r="G12" i="110" s="1"/>
  <c r="E400" i="110"/>
  <c r="H400" i="110"/>
  <c r="I400" i="110"/>
  <c r="I403" i="110" s="1"/>
  <c r="I12" i="110" s="1"/>
  <c r="G257" i="110"/>
  <c r="G260" i="110" s="1"/>
  <c r="G10" i="110" s="1"/>
  <c r="I186" i="110"/>
  <c r="I189" i="110" s="1"/>
  <c r="H186" i="110"/>
  <c r="H189" i="110" s="1"/>
  <c r="H11" i="110" s="1"/>
  <c r="G186" i="110"/>
  <c r="G189" i="110" s="1"/>
  <c r="F186" i="110"/>
  <c r="F189" i="110" s="1"/>
  <c r="F11" i="110" s="1"/>
  <c r="E186" i="110"/>
  <c r="E189" i="110" s="1"/>
  <c r="E11" i="110" s="1"/>
  <c r="H160" i="110"/>
  <c r="H163" i="110" s="1"/>
  <c r="H13" i="110" s="1"/>
  <c r="G160" i="110"/>
  <c r="G163" i="110" s="1"/>
  <c r="G13" i="110" s="1"/>
  <c r="E160" i="110"/>
  <c r="F160" i="110"/>
  <c r="I160" i="110"/>
  <c r="I163" i="110" s="1"/>
  <c r="I13" i="110" s="1"/>
  <c r="A11" i="110"/>
  <c r="A12" i="110" s="1"/>
  <c r="A13" i="110" s="1"/>
  <c r="A14" i="110" s="1"/>
  <c r="H403" i="110" l="1"/>
  <c r="H12" i="110" s="1"/>
  <c r="F400" i="110"/>
  <c r="F403" i="110" s="1"/>
  <c r="F12" i="110" s="1"/>
  <c r="F257" i="110"/>
  <c r="F260" i="110" s="1"/>
  <c r="F10" i="110" s="1"/>
  <c r="H257" i="110"/>
  <c r="H260" i="110" s="1"/>
  <c r="H10" i="110" s="1"/>
  <c r="E257" i="110"/>
  <c r="E260" i="110" s="1"/>
  <c r="E10" i="110" s="1"/>
  <c r="F163" i="110"/>
  <c r="F13" i="110" s="1"/>
  <c r="E403" i="110"/>
  <c r="E12" i="110" s="1"/>
  <c r="E163" i="110"/>
  <c r="E13" i="110" s="1"/>
  <c r="G14" i="110"/>
  <c r="G16" i="110" s="1"/>
  <c r="G18" i="108" s="1"/>
  <c r="D16" i="110"/>
  <c r="A15" i="110"/>
  <c r="A16" i="110" s="1"/>
  <c r="I257" i="110"/>
  <c r="I260" i="110" s="1"/>
  <c r="I10" i="110" s="1"/>
  <c r="I14" i="110" s="1"/>
  <c r="H14" i="110" l="1"/>
  <c r="F14" i="110"/>
  <c r="E14" i="110"/>
  <c r="Y21" i="100" l="1"/>
  <c r="X21" i="100"/>
  <c r="W21" i="100"/>
  <c r="V21" i="100"/>
  <c r="U21" i="100"/>
  <c r="Y20" i="100"/>
  <c r="X20" i="100"/>
  <c r="W20" i="100"/>
  <c r="V20" i="100"/>
  <c r="U20" i="100"/>
  <c r="Y19" i="100"/>
  <c r="X19" i="100"/>
  <c r="W19" i="100"/>
  <c r="V19" i="100"/>
  <c r="U19" i="100"/>
  <c r="Y18" i="100"/>
  <c r="X18" i="100"/>
  <c r="W18" i="100"/>
  <c r="V18" i="100"/>
  <c r="U18" i="100"/>
  <c r="Y17" i="100"/>
  <c r="X17" i="100"/>
  <c r="W17" i="100"/>
  <c r="V17" i="100"/>
  <c r="U17" i="100"/>
  <c r="Y16" i="100"/>
  <c r="X16" i="100"/>
  <c r="W16" i="100"/>
  <c r="V16" i="100"/>
  <c r="U16" i="100"/>
  <c r="Y15" i="100"/>
  <c r="X15" i="100"/>
  <c r="W15" i="100"/>
  <c r="V15" i="100"/>
  <c r="U15" i="100"/>
  <c r="Y14" i="100"/>
  <c r="X14" i="100"/>
  <c r="W14" i="100"/>
  <c r="V14" i="100"/>
  <c r="U14" i="100"/>
  <c r="Y13" i="100"/>
  <c r="X13" i="100"/>
  <c r="W13" i="100"/>
  <c r="V13" i="100"/>
  <c r="U13" i="100"/>
  <c r="Y12" i="100"/>
  <c r="X12" i="100"/>
  <c r="W12" i="100"/>
  <c r="V12" i="100"/>
  <c r="U12" i="100"/>
  <c r="Y11" i="100"/>
  <c r="X11" i="100"/>
  <c r="W11" i="100"/>
  <c r="V11" i="100"/>
  <c r="U11" i="100"/>
  <c r="Y10" i="100"/>
  <c r="X10" i="100"/>
  <c r="W10" i="100"/>
  <c r="V10" i="100"/>
  <c r="U10" i="100"/>
  <c r="O21" i="100"/>
  <c r="N21" i="100"/>
  <c r="M21" i="100"/>
  <c r="L21" i="100"/>
  <c r="K21" i="100"/>
  <c r="J21" i="100"/>
  <c r="I21" i="100"/>
  <c r="H21" i="100"/>
  <c r="G21" i="100"/>
  <c r="F21" i="100"/>
  <c r="E21" i="100"/>
  <c r="D21" i="100"/>
  <c r="O20" i="100"/>
  <c r="N20" i="100"/>
  <c r="M20" i="100"/>
  <c r="L20" i="100"/>
  <c r="K20" i="100"/>
  <c r="J20" i="100"/>
  <c r="I20" i="100"/>
  <c r="H20" i="100"/>
  <c r="G20" i="100"/>
  <c r="F20" i="100"/>
  <c r="E20" i="100"/>
  <c r="D20" i="100"/>
  <c r="O19" i="100"/>
  <c r="N19" i="100"/>
  <c r="M19" i="100"/>
  <c r="L19" i="100"/>
  <c r="K19" i="100"/>
  <c r="J19" i="100"/>
  <c r="I19" i="100"/>
  <c r="H19" i="100"/>
  <c r="G19" i="100"/>
  <c r="F19" i="100"/>
  <c r="E19" i="100"/>
  <c r="D19" i="100"/>
  <c r="O18" i="100"/>
  <c r="N18" i="100"/>
  <c r="M18" i="100"/>
  <c r="L18" i="100"/>
  <c r="K18" i="100"/>
  <c r="J18" i="100"/>
  <c r="I18" i="100"/>
  <c r="H18" i="100"/>
  <c r="G18" i="100"/>
  <c r="F18" i="100"/>
  <c r="E18" i="100"/>
  <c r="D18" i="100"/>
  <c r="O17" i="100"/>
  <c r="N17" i="100"/>
  <c r="M17" i="100"/>
  <c r="L17" i="100"/>
  <c r="K17" i="100"/>
  <c r="J17" i="100"/>
  <c r="I17" i="100"/>
  <c r="H17" i="100"/>
  <c r="G17" i="100"/>
  <c r="F17" i="100"/>
  <c r="E17" i="100"/>
  <c r="D17" i="100"/>
  <c r="O16" i="100"/>
  <c r="N16" i="100"/>
  <c r="M16" i="100"/>
  <c r="L16" i="100"/>
  <c r="K16" i="100"/>
  <c r="J16" i="100"/>
  <c r="I16" i="100"/>
  <c r="H16" i="100"/>
  <c r="G16" i="100"/>
  <c r="F16" i="100"/>
  <c r="E16" i="100"/>
  <c r="D16" i="100"/>
  <c r="O15" i="100"/>
  <c r="N15" i="100"/>
  <c r="M15" i="100"/>
  <c r="L15" i="100"/>
  <c r="K15" i="100"/>
  <c r="J15" i="100"/>
  <c r="I15" i="100"/>
  <c r="H15" i="100"/>
  <c r="G15" i="100"/>
  <c r="F15" i="100"/>
  <c r="E15" i="100"/>
  <c r="D15" i="100"/>
  <c r="N14" i="100"/>
  <c r="M14" i="100"/>
  <c r="L14" i="100"/>
  <c r="K14" i="100"/>
  <c r="J14" i="100"/>
  <c r="I14" i="100"/>
  <c r="H14" i="100"/>
  <c r="G14" i="100"/>
  <c r="F14" i="100"/>
  <c r="E14" i="100"/>
  <c r="D14" i="100"/>
  <c r="N13" i="100"/>
  <c r="M13" i="100"/>
  <c r="L13" i="100"/>
  <c r="K13" i="100"/>
  <c r="J13" i="100"/>
  <c r="I13" i="100"/>
  <c r="H13" i="100"/>
  <c r="G13" i="100"/>
  <c r="F13" i="100"/>
  <c r="E13" i="100"/>
  <c r="D13" i="100"/>
  <c r="N12" i="100"/>
  <c r="M12" i="100"/>
  <c r="L12" i="100"/>
  <c r="K12" i="100"/>
  <c r="J12" i="100"/>
  <c r="I12" i="100"/>
  <c r="H12" i="100"/>
  <c r="G12" i="100"/>
  <c r="F12" i="100"/>
  <c r="E12" i="100"/>
  <c r="D12" i="100"/>
  <c r="N11" i="100"/>
  <c r="M11" i="100"/>
  <c r="L11" i="100"/>
  <c r="K11" i="100"/>
  <c r="J11" i="100"/>
  <c r="I11" i="100"/>
  <c r="H11" i="100"/>
  <c r="G11" i="100"/>
  <c r="F11" i="100"/>
  <c r="E11" i="100"/>
  <c r="D11" i="100"/>
  <c r="N10" i="100"/>
  <c r="M10" i="100"/>
  <c r="L10" i="100"/>
  <c r="K10" i="100"/>
  <c r="J10" i="100"/>
  <c r="I10" i="100"/>
  <c r="H10" i="100"/>
  <c r="G10" i="100"/>
  <c r="F10" i="100"/>
  <c r="E10" i="100"/>
  <c r="D10" i="100"/>
  <c r="M22" i="100" l="1"/>
  <c r="M23" i="100" s="1"/>
  <c r="O22" i="100"/>
  <c r="O23" i="100" s="1"/>
  <c r="S16" i="100"/>
  <c r="S20" i="100"/>
  <c r="J22" i="100"/>
  <c r="J23" i="100" s="1"/>
  <c r="N22" i="100"/>
  <c r="N23" i="100" s="1"/>
  <c r="S15" i="100"/>
  <c r="S19" i="100"/>
  <c r="K22" i="100"/>
  <c r="K23" i="100" s="1"/>
  <c r="S18" i="100"/>
  <c r="L22" i="100"/>
  <c r="L23" i="100" s="1"/>
  <c r="S17" i="100"/>
  <c r="S21" i="100"/>
  <c r="P22" i="102"/>
  <c r="Q22" i="102"/>
  <c r="AC42" i="104" l="1"/>
  <c r="I190" i="7" l="1"/>
  <c r="I79" i="97" l="1"/>
  <c r="I78" i="97"/>
  <c r="I77" i="97"/>
  <c r="I76" i="97"/>
  <c r="I75" i="97"/>
  <c r="I74" i="97"/>
  <c r="I73" i="97"/>
  <c r="I72" i="97"/>
  <c r="I71" i="97"/>
  <c r="L24" i="94" l="1"/>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48" i="94"/>
  <c r="H47" i="94"/>
  <c r="H44" i="94"/>
  <c r="H40" i="94"/>
  <c r="H39" i="94"/>
  <c r="H36" i="94"/>
  <c r="I36" i="94" s="1"/>
  <c r="H32" i="94"/>
  <c r="K32" i="94" s="1"/>
  <c r="H31" i="94"/>
  <c r="I31" i="94" s="1"/>
  <c r="H28" i="94"/>
  <c r="H24" i="94"/>
  <c r="H23" i="94"/>
  <c r="H20" i="94"/>
  <c r="H16" i="94"/>
  <c r="H15" i="94"/>
  <c r="K15" i="94" s="1"/>
  <c r="H12" i="94"/>
  <c r="L12" i="94" s="1"/>
  <c r="H8" i="94"/>
  <c r="K8" i="94" s="1"/>
  <c r="D55" i="90" l="1"/>
  <c r="I194" i="7" l="1"/>
  <c r="I193" i="7"/>
  <c r="G194" i="7"/>
  <c r="C195" i="7"/>
  <c r="C193" i="7"/>
  <c r="H195" i="7" l="1"/>
  <c r="D42" i="102" l="1"/>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H9" i="31" l="1"/>
  <c r="B82" i="31"/>
  <c r="B81" i="31"/>
  <c r="B80" i="31"/>
  <c r="B57" i="31"/>
  <c r="B55" i="31"/>
  <c r="B7" i="44"/>
  <c r="B8" i="44" s="1"/>
  <c r="B9" i="44" s="1"/>
  <c r="B10" i="44" s="1"/>
  <c r="B11" i="44" s="1"/>
  <c r="B12" i="44" s="1"/>
  <c r="B13" i="44" s="1"/>
  <c r="B14" i="44" s="1"/>
  <c r="B15" i="44" s="1"/>
  <c r="B16" i="44" s="1"/>
  <c r="B17" i="44" s="1"/>
  <c r="B31" i="31"/>
  <c r="G21" i="44"/>
  <c r="G22" i="44"/>
  <c r="B46" i="31"/>
  <c r="B25" i="31"/>
  <c r="B26" i="31"/>
  <c r="G13" i="44"/>
  <c r="B18" i="31"/>
  <c r="C10" i="31"/>
  <c r="J80"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F14" i="108"/>
  <c r="I14" i="108"/>
  <c r="A18" i="108"/>
  <c r="A19" i="108" s="1"/>
  <c r="G16" i="108" l="1"/>
  <c r="D19" i="108"/>
  <c r="L7" i="1" l="1"/>
  <c r="E7" i="105" l="1"/>
  <c r="I210" i="7"/>
  <c r="C9"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Y22" i="104"/>
  <c r="Y23" i="104" s="1"/>
  <c r="W22" i="104"/>
  <c r="W23" i="104" s="1"/>
  <c r="F15" i="106" s="1"/>
  <c r="V22" i="104"/>
  <c r="V23" i="104" s="1"/>
  <c r="F29" i="106" s="1"/>
  <c r="O23" i="104"/>
  <c r="N23" i="104"/>
  <c r="K23" i="104"/>
  <c r="J23" i="104"/>
  <c r="G22" i="104"/>
  <c r="G23" i="104" s="1"/>
  <c r="F22" i="104"/>
  <c r="I43" i="102"/>
  <c r="J22" i="102"/>
  <c r="F22"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S22" i="104" l="1"/>
  <c r="S23" i="104" s="1"/>
  <c r="E42" i="105"/>
  <c r="E9" i="105" s="1"/>
  <c r="J22" i="101"/>
  <c r="Y22" i="100"/>
  <c r="Y23" i="100" s="1"/>
  <c r="O22" i="101"/>
  <c r="K22" i="101"/>
  <c r="H23" i="104"/>
  <c r="L23" i="104"/>
  <c r="R11" i="102"/>
  <c r="S11" i="100" s="1"/>
  <c r="H42" i="100"/>
  <c r="H43" i="100" s="1"/>
  <c r="L42" i="100"/>
  <c r="L43" i="100" s="1"/>
  <c r="T42" i="100"/>
  <c r="T43" i="100" s="1"/>
  <c r="X42" i="100"/>
  <c r="X43" i="100" s="1"/>
  <c r="F42" i="100"/>
  <c r="F43" i="100" s="1"/>
  <c r="Y34" i="100"/>
  <c r="Y38" i="100"/>
  <c r="Y41" i="100"/>
  <c r="Z33" i="104"/>
  <c r="Z37" i="104"/>
  <c r="Z41" i="104"/>
  <c r="E34" i="105"/>
  <c r="Y31" i="100"/>
  <c r="Y35" i="100"/>
  <c r="Y39" i="100"/>
  <c r="E43" i="101"/>
  <c r="J37" i="101"/>
  <c r="J38" i="101"/>
  <c r="L22" i="102"/>
  <c r="R19" i="102"/>
  <c r="X22" i="104"/>
  <c r="X23" i="104" s="1"/>
  <c r="O22" i="102"/>
  <c r="R21" i="102"/>
  <c r="K42" i="100"/>
  <c r="K43" i="100" s="1"/>
  <c r="N22" i="101"/>
  <c r="J34" i="101"/>
  <c r="J32" i="102"/>
  <c r="J33" i="102"/>
  <c r="J37" i="102"/>
  <c r="J38" i="102"/>
  <c r="J39" i="102"/>
  <c r="J42" i="102"/>
  <c r="E42" i="100"/>
  <c r="E43" i="100" s="1"/>
  <c r="I42" i="100"/>
  <c r="I43" i="100" s="1"/>
  <c r="M42" i="100"/>
  <c r="M43" i="100" s="1"/>
  <c r="U42" i="100"/>
  <c r="U43" i="100" s="1"/>
  <c r="Y33" i="100"/>
  <c r="Y37" i="100"/>
  <c r="Y40" i="100"/>
  <c r="G42" i="100"/>
  <c r="G43" i="100" s="1"/>
  <c r="W42" i="100"/>
  <c r="W43" i="100" s="1"/>
  <c r="J32" i="101"/>
  <c r="J35" i="101"/>
  <c r="J39" i="101"/>
  <c r="J42" i="101"/>
  <c r="R10" i="102"/>
  <c r="I22" i="102"/>
  <c r="R15" i="102"/>
  <c r="R18" i="102"/>
  <c r="AC43" i="104"/>
  <c r="Z34" i="104"/>
  <c r="J42" i="100"/>
  <c r="J43" i="100" s="1"/>
  <c r="N42" i="100"/>
  <c r="N43" i="100" s="1"/>
  <c r="V42" i="100"/>
  <c r="V43" i="100" s="1"/>
  <c r="Y32" i="100"/>
  <c r="Y36" i="100"/>
  <c r="J36" i="101"/>
  <c r="J40" i="101"/>
  <c r="R17" i="102"/>
  <c r="F42" i="104"/>
  <c r="F43" i="104" s="1"/>
  <c r="J43" i="104"/>
  <c r="G43" i="104"/>
  <c r="K43" i="104"/>
  <c r="Z32" i="104"/>
  <c r="I43" i="104"/>
  <c r="Z36" i="104"/>
  <c r="Z40" i="104"/>
  <c r="D12" i="105"/>
  <c r="A12" i="105"/>
  <c r="D12" i="54" s="1"/>
  <c r="I23" i="104"/>
  <c r="R12" i="101"/>
  <c r="R13" i="101"/>
  <c r="R14" i="101"/>
  <c r="AC42" i="100"/>
  <c r="AC43" i="100" s="1"/>
  <c r="J33" i="101"/>
  <c r="J41" i="101"/>
  <c r="H43" i="102"/>
  <c r="Y30" i="100"/>
  <c r="D42" i="100"/>
  <c r="D43" i="100" s="1"/>
  <c r="E22" i="104"/>
  <c r="E23" i="104" s="1"/>
  <c r="M23" i="104"/>
  <c r="Q22" i="101"/>
  <c r="R11" i="101"/>
  <c r="G43" i="102"/>
  <c r="R13" i="102"/>
  <c r="S13" i="100" s="1"/>
  <c r="J34" i="102"/>
  <c r="J40" i="102"/>
  <c r="C42" i="100"/>
  <c r="C43" i="100" s="1"/>
  <c r="R15" i="101"/>
  <c r="R16" i="101"/>
  <c r="R17" i="101"/>
  <c r="R18" i="101"/>
  <c r="R19" i="101"/>
  <c r="R20" i="101"/>
  <c r="R21" i="101"/>
  <c r="H22" i="102"/>
  <c r="R14" i="102"/>
  <c r="S14" i="100" s="1"/>
  <c r="F43" i="102"/>
  <c r="E22" i="102"/>
  <c r="M22" i="102"/>
  <c r="R16" i="102"/>
  <c r="J36" i="102"/>
  <c r="E42" i="104"/>
  <c r="E43" i="104" s="1"/>
  <c r="Z38" i="104"/>
  <c r="G22" i="102"/>
  <c r="K22" i="102"/>
  <c r="E43" i="102"/>
  <c r="J41" i="102"/>
  <c r="N22" i="102"/>
  <c r="R20" i="102"/>
  <c r="R12" i="102"/>
  <c r="S12" i="100" s="1"/>
  <c r="J35" i="102"/>
  <c r="J31" i="102"/>
  <c r="F23" i="104"/>
  <c r="Z10" i="104"/>
  <c r="AB30" i="104" s="1"/>
  <c r="Z11" i="104"/>
  <c r="Z12" i="104"/>
  <c r="Z13" i="104"/>
  <c r="Z14" i="104"/>
  <c r="Z15" i="104"/>
  <c r="Z16" i="104"/>
  <c r="Z17" i="104"/>
  <c r="Z18" i="104"/>
  <c r="Z19" i="104"/>
  <c r="Z20" i="104"/>
  <c r="Z21" i="104"/>
  <c r="U22" i="104"/>
  <c r="U23" i="104" s="1"/>
  <c r="F28" i="106" s="1"/>
  <c r="H43" i="104"/>
  <c r="L43" i="104"/>
  <c r="Z31" i="104"/>
  <c r="Z35" i="104"/>
  <c r="Z39" i="104"/>
  <c r="Z30" i="104"/>
  <c r="P22" i="100" l="1"/>
  <c r="P23" i="100" s="1"/>
  <c r="S10" i="100"/>
  <c r="I22" i="100"/>
  <c r="I23" i="100" s="1"/>
  <c r="F22" i="101"/>
  <c r="I43" i="101"/>
  <c r="L22" i="101"/>
  <c r="F43" i="101"/>
  <c r="G22" i="101"/>
  <c r="Z19" i="100"/>
  <c r="Z14" i="100"/>
  <c r="Z12" i="100"/>
  <c r="Z10" i="100"/>
  <c r="X22" i="100"/>
  <c r="X23" i="100" s="1"/>
  <c r="Z20" i="100"/>
  <c r="G43" i="101"/>
  <c r="Z15" i="100"/>
  <c r="Z17" i="100"/>
  <c r="H22" i="100"/>
  <c r="H23" i="100" s="1"/>
  <c r="Z16" i="100"/>
  <c r="AB37" i="104"/>
  <c r="AD37" i="104" s="1"/>
  <c r="AF37" i="104" s="1"/>
  <c r="AB35" i="104"/>
  <c r="AD35" i="104" s="1"/>
  <c r="AF35" i="104" s="1"/>
  <c r="AB33" i="104"/>
  <c r="AD33" i="104" s="1"/>
  <c r="AF33" i="104" s="1"/>
  <c r="Z18" i="100"/>
  <c r="P22" i="101"/>
  <c r="Z21" i="100"/>
  <c r="F22" i="100"/>
  <c r="F23" i="100" s="1"/>
  <c r="E22" i="100"/>
  <c r="E23" i="100" s="1"/>
  <c r="AB39" i="104"/>
  <c r="AD39" i="104" s="1"/>
  <c r="AF39" i="104" s="1"/>
  <c r="H22" i="101"/>
  <c r="U22" i="100"/>
  <c r="U23" i="100" s="1"/>
  <c r="AB36" i="104"/>
  <c r="AD36" i="104" s="1"/>
  <c r="AF36" i="104" s="1"/>
  <c r="R22" i="102"/>
  <c r="Z11" i="100"/>
  <c r="AB40" i="104"/>
  <c r="AD40" i="104" s="1"/>
  <c r="AF40" i="104" s="1"/>
  <c r="AB38" i="104"/>
  <c r="AD38" i="104" s="1"/>
  <c r="AF38" i="104" s="1"/>
  <c r="AB34" i="104"/>
  <c r="AD34" i="104" s="1"/>
  <c r="AF34" i="104" s="1"/>
  <c r="AB32" i="104"/>
  <c r="AD32" i="104" s="1"/>
  <c r="AF32" i="104" s="1"/>
  <c r="H43" i="101"/>
  <c r="AB41" i="104"/>
  <c r="AD41" i="104" s="1"/>
  <c r="AF41" i="104" s="1"/>
  <c r="AB31" i="104"/>
  <c r="AD31" i="104" s="1"/>
  <c r="AF31" i="104" s="1"/>
  <c r="J43" i="102"/>
  <c r="Y42" i="100"/>
  <c r="Y43" i="100" s="1"/>
  <c r="J31" i="101"/>
  <c r="J43" i="101" s="1"/>
  <c r="A15" i="105"/>
  <c r="Z22" i="104"/>
  <c r="Z23" i="104" s="1"/>
  <c r="E22" i="101"/>
  <c r="Z42" i="104"/>
  <c r="Z43" i="104" s="1"/>
  <c r="V22" i="100"/>
  <c r="V23" i="100" s="1"/>
  <c r="W22" i="100"/>
  <c r="W23" i="100" s="1"/>
  <c r="Z13" i="100"/>
  <c r="R10" i="101"/>
  <c r="M22" i="101"/>
  <c r="D22" i="100"/>
  <c r="I22" i="101"/>
  <c r="G22" i="100"/>
  <c r="G23" i="100" s="1"/>
  <c r="AA30" i="100" l="1"/>
  <c r="AB30" i="100" s="1"/>
  <c r="S22" i="100"/>
  <c r="S23" i="100" s="1"/>
  <c r="AA36" i="100"/>
  <c r="AB36" i="100" s="1"/>
  <c r="AD36" i="100" s="1"/>
  <c r="AF36" i="100" s="1"/>
  <c r="AA34" i="100"/>
  <c r="AB34" i="100" s="1"/>
  <c r="AD34" i="100" s="1"/>
  <c r="AF34" i="100" s="1"/>
  <c r="AA32" i="100"/>
  <c r="AB32" i="100" s="1"/>
  <c r="AD32" i="100" s="1"/>
  <c r="AF32" i="100" s="1"/>
  <c r="AA39" i="100"/>
  <c r="AB39" i="100" s="1"/>
  <c r="AD39" i="100" s="1"/>
  <c r="AF39" i="100" s="1"/>
  <c r="AA37" i="100"/>
  <c r="AB37" i="100" s="1"/>
  <c r="AD37" i="100" s="1"/>
  <c r="AF37" i="100" s="1"/>
  <c r="AA38" i="100"/>
  <c r="AB38" i="100" s="1"/>
  <c r="AD38" i="100" s="1"/>
  <c r="AF38" i="100" s="1"/>
  <c r="AA35" i="100"/>
  <c r="AB35" i="100" s="1"/>
  <c r="AD35" i="100" s="1"/>
  <c r="AF35" i="100" s="1"/>
  <c r="AA40" i="100"/>
  <c r="AB40" i="100" s="1"/>
  <c r="AD40" i="100" s="1"/>
  <c r="AF40" i="100" s="1"/>
  <c r="AA31" i="100"/>
  <c r="AB31" i="100" s="1"/>
  <c r="AD31" i="100" s="1"/>
  <c r="AF31" i="100" s="1"/>
  <c r="AA41" i="100"/>
  <c r="AB41" i="100" s="1"/>
  <c r="AD41" i="100" s="1"/>
  <c r="AF41" i="100" s="1"/>
  <c r="AA33" i="100"/>
  <c r="AB33" i="100" s="1"/>
  <c r="AD33" i="100" s="1"/>
  <c r="AF33" i="100" s="1"/>
  <c r="Z22" i="100"/>
  <c r="Z23" i="100" s="1"/>
  <c r="R22" i="101"/>
  <c r="A16" i="105"/>
  <c r="A17" i="105" s="1"/>
  <c r="A18" i="105" s="1"/>
  <c r="A19" i="105" s="1"/>
  <c r="A20" i="105" s="1"/>
  <c r="D13" i="54" s="1"/>
  <c r="D23" i="100"/>
  <c r="C22" i="100"/>
  <c r="C23" i="100" s="1"/>
  <c r="AB42" i="104"/>
  <c r="AB43" i="104" s="1"/>
  <c r="AD30" i="104"/>
  <c r="AB42" i="100" l="1"/>
  <c r="D20" i="105"/>
  <c r="A22" i="105"/>
  <c r="D22" i="105"/>
  <c r="AA42" i="100"/>
  <c r="AA43" i="100" s="1"/>
  <c r="AD42" i="104"/>
  <c r="AD43" i="104" s="1"/>
  <c r="AF30" i="104"/>
  <c r="AF42" i="104" s="1"/>
  <c r="AF43" i="104" s="1"/>
  <c r="E19" i="73" l="1"/>
  <c r="AB43" i="100"/>
  <c r="AD30" i="100"/>
  <c r="AD42" i="100" l="1"/>
  <c r="AD43" i="100" s="1"/>
  <c r="AF30" i="100"/>
  <c r="AF42" i="100" s="1"/>
  <c r="AF43" i="100" s="1"/>
  <c r="H290" i="1" l="1"/>
  <c r="O290" i="1" s="1"/>
  <c r="G20" i="7"/>
  <c r="G62" i="7" l="1"/>
  <c r="G85" i="76"/>
  <c r="D9" i="76"/>
  <c r="D14" i="31" l="1"/>
  <c r="L36" i="98" l="1"/>
  <c r="C36" i="98" s="1"/>
  <c r="L35" i="98"/>
  <c r="L34" i="98"/>
  <c r="L33" i="98"/>
  <c r="C33" i="98" s="1"/>
  <c r="L32" i="98"/>
  <c r="C32" i="98" s="1"/>
  <c r="L31" i="98"/>
  <c r="L30" i="98"/>
  <c r="L29" i="98"/>
  <c r="C29" i="98" s="1"/>
  <c r="L28" i="98"/>
  <c r="C28" i="98" s="1"/>
  <c r="L27" i="98"/>
  <c r="L26" i="98"/>
  <c r="K37" i="98"/>
  <c r="J37" i="98"/>
  <c r="I37" i="98"/>
  <c r="H37" i="98"/>
  <c r="G37" i="98"/>
  <c r="F37" i="98"/>
  <c r="E37" i="98"/>
  <c r="D37" i="98"/>
  <c r="C26" i="98" l="1"/>
  <c r="C30" i="98"/>
  <c r="C34" i="98"/>
  <c r="C27" i="98"/>
  <c r="C31" i="98"/>
  <c r="C35" i="98"/>
  <c r="L25" i="98"/>
  <c r="L37" i="98" s="1"/>
  <c r="C25" i="98" l="1"/>
  <c r="C37" i="98" s="1"/>
  <c r="I70" i="97" l="1"/>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80" i="97" l="1"/>
  <c r="J81" i="97"/>
  <c r="J82" i="97"/>
  <c r="J97" i="97"/>
  <c r="J96" i="97"/>
  <c r="J98" i="97"/>
  <c r="J99" i="97"/>
  <c r="J100" i="97"/>
  <c r="J101" i="97"/>
  <c r="J102" i="97"/>
  <c r="J103" i="97"/>
  <c r="J104" i="97"/>
  <c r="J105" i="97"/>
  <c r="J106" i="97"/>
  <c r="J46" i="97"/>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J47" i="97"/>
  <c r="J49" i="97"/>
  <c r="J51" i="97"/>
  <c r="J53" i="97"/>
  <c r="J55" i="97"/>
  <c r="J57" i="97"/>
  <c r="J22" i="97"/>
  <c r="J48" i="97"/>
  <c r="J50" i="97"/>
  <c r="J52" i="97"/>
  <c r="J54" i="97"/>
  <c r="J56" i="97"/>
  <c r="J58" i="97"/>
  <c r="K22" i="97" l="1"/>
  <c r="L22" i="97" s="1"/>
  <c r="M22" i="97" s="1"/>
  <c r="I30" i="26"/>
  <c r="I36" i="26"/>
  <c r="I32" i="26"/>
  <c r="I34" i="26"/>
  <c r="J72" i="97"/>
  <c r="K23" i="97" l="1"/>
  <c r="L23" i="97" s="1"/>
  <c r="J73" i="97"/>
  <c r="K24" i="97" l="1"/>
  <c r="L24" i="97" s="1"/>
  <c r="J74" i="97"/>
  <c r="K25" i="97" l="1"/>
  <c r="L25" i="97" s="1"/>
  <c r="J75" i="97"/>
  <c r="K26" i="97" l="1"/>
  <c r="L26" i="97" s="1"/>
  <c r="J76" i="97"/>
  <c r="K27" i="97" l="1"/>
  <c r="L27" i="97" s="1"/>
  <c r="J77" i="97"/>
  <c r="K28" i="97" l="1"/>
  <c r="L28" i="97" s="1"/>
  <c r="J78" i="97"/>
  <c r="K29" i="97" l="1"/>
  <c r="K30" i="97" s="1"/>
  <c r="L29" i="97"/>
  <c r="J79" i="97"/>
  <c r="L30" i="97" l="1"/>
  <c r="K31" i="97"/>
  <c r="L31" i="97" l="1"/>
  <c r="K32" i="97"/>
  <c r="I38" i="26" l="1"/>
  <c r="L32" i="97"/>
  <c r="K33" i="97"/>
  <c r="L33" i="97" l="1"/>
  <c r="K34" i="97"/>
  <c r="L34" i="97" l="1"/>
  <c r="K35" i="97"/>
  <c r="M34" i="97" l="1"/>
  <c r="H30" i="26" s="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H32" i="26" s="1"/>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H34" i="26" s="1"/>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H36" i="26" s="1"/>
  <c r="L72" i="97" l="1"/>
  <c r="K73" i="97"/>
  <c r="L73" i="97" l="1"/>
  <c r="K74" i="97"/>
  <c r="L74" i="97" l="1"/>
  <c r="K75" i="97"/>
  <c r="L75" i="97" l="1"/>
  <c r="K76" i="97"/>
  <c r="L76" i="97" l="1"/>
  <c r="K77" i="97"/>
  <c r="L77" i="97" l="1"/>
  <c r="K78" i="97"/>
  <c r="L78" i="97" l="1"/>
  <c r="K79" i="97"/>
  <c r="K80" i="97" s="1"/>
  <c r="L80" i="97" l="1"/>
  <c r="K81" i="97"/>
  <c r="L79" i="97"/>
  <c r="L81" i="97" l="1"/>
  <c r="K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L82" i="97" l="1"/>
  <c r="M82" i="97" s="1"/>
  <c r="H38" i="26" s="1"/>
  <c r="J53" i="94"/>
  <c r="J57" i="94" s="1"/>
  <c r="H53" i="94"/>
  <c r="L53" i="94"/>
  <c r="I53" i="94"/>
  <c r="I57" i="94" s="1"/>
  <c r="K7" i="94"/>
  <c r="K53" i="94" s="1"/>
  <c r="K96" i="97" l="1"/>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96" i="97" l="1"/>
  <c r="K97" i="97"/>
  <c r="C30" i="93"/>
  <c r="H202" i="1" s="1"/>
  <c r="Y6" i="92"/>
  <c r="Y7" i="92"/>
  <c r="K75" i="92"/>
  <c r="L75" i="92"/>
  <c r="M75" i="92"/>
  <c r="N75" i="92"/>
  <c r="O75" i="92"/>
  <c r="P75" i="92"/>
  <c r="Q75" i="92"/>
  <c r="R75" i="92"/>
  <c r="S75" i="92"/>
  <c r="T75" i="92"/>
  <c r="U75" i="92"/>
  <c r="V75" i="92"/>
  <c r="W75" i="92"/>
  <c r="L97" i="97" l="1"/>
  <c r="K98" i="97"/>
  <c r="Y75" i="92"/>
  <c r="AC75" i="92"/>
  <c r="AC79" i="92" s="1"/>
  <c r="AD75" i="92"/>
  <c r="AF75" i="92"/>
  <c r="AF79" i="92" s="1"/>
  <c r="AE75" i="92"/>
  <c r="L98" i="97" l="1"/>
  <c r="K99" i="97"/>
  <c r="C21" i="91"/>
  <c r="C27" i="91" s="1"/>
  <c r="H257" i="1" s="1"/>
  <c r="L99" i="97" l="1"/>
  <c r="K100" i="97"/>
  <c r="L100" i="97" l="1"/>
  <c r="K101" i="97"/>
  <c r="G39" i="44"/>
  <c r="G38" i="44"/>
  <c r="L101" i="97" l="1"/>
  <c r="K102" i="97"/>
  <c r="L102" i="97" l="1"/>
  <c r="K103" i="97"/>
  <c r="B16" i="31"/>
  <c r="L103" i="97" l="1"/>
  <c r="K104" i="97"/>
  <c r="L104" i="97" l="1"/>
  <c r="K105" i="97"/>
  <c r="P7" i="1"/>
  <c r="H5" i="1"/>
  <c r="L105" i="97" l="1"/>
  <c r="K106" i="97"/>
  <c r="L106" i="97" s="1"/>
  <c r="O7" i="1"/>
  <c r="K7" i="1"/>
  <c r="W47" i="33"/>
  <c r="H26" i="26" l="1"/>
  <c r="G20" i="44"/>
  <c r="H72" i="1"/>
  <c r="G29" i="44" l="1"/>
  <c r="G28" i="44"/>
  <c r="G27" i="44"/>
  <c r="G26" i="44"/>
  <c r="G25" i="44"/>
  <c r="G24" i="44"/>
  <c r="G37" i="44" l="1"/>
  <c r="G36" i="44"/>
  <c r="B39" i="31" l="1"/>
  <c r="B38" i="31"/>
  <c r="B37" i="31"/>
  <c r="B36" i="31"/>
  <c r="B34" i="31" l="1"/>
  <c r="B24" i="31"/>
  <c r="B23" i="31"/>
  <c r="B30" i="31"/>
  <c r="B29" i="31"/>
  <c r="B22" i="31"/>
  <c r="B21" i="31"/>
  <c r="B28" i="31"/>
  <c r="B27" i="31"/>
  <c r="D16" i="79" l="1"/>
  <c r="I172" i="7" s="1"/>
  <c r="E16" i="79"/>
  <c r="I173" i="7" s="1"/>
  <c r="D38" i="76" l="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H27" i="26"/>
  <c r="A40" i="76"/>
  <c r="A42" i="76" s="1"/>
  <c r="D27" i="76"/>
  <c r="B27" i="76"/>
  <c r="D42" i="76" l="1"/>
  <c r="A45" i="76"/>
  <c r="A47" i="76" s="1"/>
  <c r="B42" i="76"/>
  <c r="C47" i="76" l="1"/>
  <c r="B69" i="26" l="1"/>
  <c r="B67" i="26"/>
  <c r="B65" i="26"/>
  <c r="B63" i="26"/>
  <c r="B61" i="26"/>
  <c r="B59" i="26"/>
  <c r="B57" i="26"/>
  <c r="B55" i="26"/>
  <c r="B53" i="26"/>
  <c r="B51" i="26"/>
  <c r="B49" i="26"/>
  <c r="B47" i="26"/>
  <c r="B45" i="26"/>
  <c r="B43" i="26"/>
  <c r="B41" i="26"/>
  <c r="B39" i="26"/>
  <c r="B37" i="26"/>
  <c r="B35" i="26"/>
  <c r="B33" i="26"/>
  <c r="B31" i="26"/>
  <c r="P284" i="1"/>
  <c r="P192" i="1"/>
  <c r="P191" i="1"/>
  <c r="P190" i="1"/>
  <c r="P189" i="1"/>
  <c r="P184" i="1"/>
  <c r="P175" i="1"/>
  <c r="P168" i="1"/>
  <c r="P167" i="1"/>
  <c r="P166" i="1"/>
  <c r="P130" i="1"/>
  <c r="L284" i="1"/>
  <c r="K257" i="1"/>
  <c r="K152" i="1"/>
  <c r="K84" i="1"/>
  <c r="P72" i="1" l="1"/>
  <c r="O72" i="1"/>
  <c r="O84" i="1"/>
  <c r="P84" i="1"/>
  <c r="O257" i="1"/>
  <c r="P257" i="1" s="1"/>
  <c r="L72" i="1"/>
  <c r="K72" i="1"/>
  <c r="P134" i="1"/>
  <c r="O152" i="1"/>
  <c r="P152" i="1"/>
  <c r="P180" i="1"/>
  <c r="L189" i="1"/>
  <c r="L166" i="1"/>
  <c r="L190" i="1"/>
  <c r="L257" i="1"/>
  <c r="L84" i="1"/>
  <c r="L152" i="1"/>
  <c r="L167" i="1"/>
  <c r="L180" i="1"/>
  <c r="L191" i="1"/>
  <c r="L192" i="1"/>
  <c r="B17" i="31" l="1"/>
  <c r="B50" i="31" l="1"/>
  <c r="B49" i="31"/>
  <c r="B48" i="31"/>
  <c r="A21" i="26" l="1"/>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B79" i="31"/>
  <c r="B78" i="31"/>
  <c r="B77" i="31"/>
  <c r="B76" i="31"/>
  <c r="B75" i="31"/>
  <c r="B74" i="31"/>
  <c r="B72" i="31"/>
  <c r="B71" i="31"/>
  <c r="B66" i="31"/>
  <c r="B65" i="31"/>
  <c r="B64" i="31"/>
  <c r="B63" i="31"/>
  <c r="B62" i="31"/>
  <c r="B61" i="31"/>
  <c r="Q57" i="33" l="1"/>
  <c r="Q58" i="33" l="1"/>
  <c r="B73" i="31"/>
  <c r="H268" i="7"/>
  <c r="C280" i="7"/>
  <c r="C302" i="1"/>
  <c r="H213" i="1"/>
  <c r="A16" i="31"/>
  <c r="E9" i="31"/>
  <c r="A17" i="31" l="1"/>
  <c r="A18" i="31" s="1"/>
  <c r="A19" i="31" s="1"/>
  <c r="A20" i="31" s="1"/>
  <c r="A21" i="31" s="1"/>
  <c r="A22" i="31" s="1"/>
  <c r="A23" i="31" s="1"/>
  <c r="A24" i="31" s="1"/>
  <c r="A25" i="31" s="1"/>
  <c r="A26" i="31" s="1"/>
  <c r="A27" i="31" s="1"/>
  <c r="A28" i="31" s="1"/>
  <c r="A29" i="31" s="1"/>
  <c r="A30" i="31" s="1"/>
  <c r="A31" i="31" s="1"/>
  <c r="A32" i="31" s="1"/>
  <c r="Q59" i="33"/>
  <c r="E14" i="31"/>
  <c r="F7" i="7"/>
  <c r="H8" i="31"/>
  <c r="H23" i="26"/>
  <c r="A8" i="31"/>
  <c r="A9" i="31" s="1"/>
  <c r="C8" i="31"/>
  <c r="A33" i="31" l="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60" i="33"/>
  <c r="C7" i="31"/>
  <c r="Q61" i="33" l="1"/>
  <c r="Q62" i="33" l="1"/>
  <c r="C301" i="1"/>
  <c r="A8" i="73" l="1"/>
  <c r="A9" i="73" s="1"/>
  <c r="A10" i="73" s="1"/>
  <c r="A11" i="73" s="1"/>
  <c r="A12" i="73" s="1"/>
  <c r="D15" i="73" s="1"/>
  <c r="I158" i="7"/>
  <c r="D12" i="73" l="1"/>
  <c r="A15" i="73"/>
  <c r="C221" i="7"/>
  <c r="C228" i="7"/>
  <c r="A19" i="73" l="1"/>
  <c r="A21" i="73" s="1"/>
  <c r="A22" i="73" s="1"/>
  <c r="A23" i="73" s="1"/>
  <c r="G174" i="7"/>
  <c r="K174" i="7"/>
  <c r="D22" i="73" l="1"/>
  <c r="D21" i="73"/>
  <c r="D26" i="73"/>
  <c r="D25" i="73"/>
  <c r="A25" i="73"/>
  <c r="D23" i="73"/>
  <c r="I270" i="7"/>
  <c r="G270"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O120" i="1" l="1"/>
  <c r="P120" i="1" s="1"/>
  <c r="K120" i="1"/>
  <c r="L120" i="1" s="1"/>
  <c r="E48" i="1" l="1"/>
  <c r="E174" i="7" s="1"/>
  <c r="G21" i="6" l="1"/>
  <c r="C132" i="7" l="1"/>
  <c r="D14" i="54" l="1"/>
  <c r="F26" i="6"/>
  <c r="F25" i="6"/>
  <c r="F24" i="6"/>
  <c r="F23" i="6"/>
  <c r="F16" i="6"/>
  <c r="F20" i="6"/>
  <c r="F19" i="6"/>
  <c r="O165" i="1" l="1"/>
  <c r="P165" i="1" s="1"/>
  <c r="K165" i="1"/>
  <c r="L165" i="1" s="1"/>
  <c r="O171" i="1"/>
  <c r="P171" i="1" s="1"/>
  <c r="K171" i="1"/>
  <c r="L171" i="1" s="1"/>
  <c r="O175" i="1"/>
  <c r="K175" i="1"/>
  <c r="L175" i="1" s="1"/>
  <c r="O191" i="1"/>
  <c r="K191" i="1"/>
  <c r="O201" i="1"/>
  <c r="P201" i="1" s="1"/>
  <c r="K201" i="1"/>
  <c r="L201" i="1" s="1"/>
  <c r="O182" i="1"/>
  <c r="P182" i="1" s="1"/>
  <c r="K182" i="1"/>
  <c r="L182" i="1" s="1"/>
  <c r="O166" i="1"/>
  <c r="K166" i="1"/>
  <c r="O172" i="1"/>
  <c r="P172" i="1" s="1"/>
  <c r="K172" i="1"/>
  <c r="L172" i="1" s="1"/>
  <c r="O188" i="1"/>
  <c r="P188" i="1" s="1"/>
  <c r="K188" i="1"/>
  <c r="L188" i="1" s="1"/>
  <c r="O192" i="1"/>
  <c r="K192" i="1"/>
  <c r="O202" i="1"/>
  <c r="P202" i="1" s="1"/>
  <c r="K202" i="1"/>
  <c r="L202" i="1" s="1"/>
  <c r="O183" i="1"/>
  <c r="P183" i="1" s="1"/>
  <c r="K183" i="1"/>
  <c r="L183" i="1" s="1"/>
  <c r="O167" i="1"/>
  <c r="K167" i="1"/>
  <c r="O173" i="1"/>
  <c r="P173" i="1" s="1"/>
  <c r="K173" i="1"/>
  <c r="L173" i="1" s="1"/>
  <c r="O189" i="1"/>
  <c r="K189" i="1"/>
  <c r="O193" i="1"/>
  <c r="P193" i="1" s="1"/>
  <c r="K193" i="1"/>
  <c r="L193" i="1" s="1"/>
  <c r="O180" i="1"/>
  <c r="K180" i="1"/>
  <c r="O184" i="1"/>
  <c r="K184" i="1"/>
  <c r="L184" i="1" s="1"/>
  <c r="O168" i="1"/>
  <c r="K168" i="1"/>
  <c r="L168" i="1" s="1"/>
  <c r="O174" i="1"/>
  <c r="P174" i="1" s="1"/>
  <c r="K174" i="1"/>
  <c r="L174" i="1" s="1"/>
  <c r="O190" i="1"/>
  <c r="K190" i="1"/>
  <c r="O199" i="1"/>
  <c r="P199" i="1" s="1"/>
  <c r="K199" i="1"/>
  <c r="L199" i="1" s="1"/>
  <c r="O181" i="1"/>
  <c r="P181" i="1" s="1"/>
  <c r="K181" i="1"/>
  <c r="L181" i="1" s="1"/>
  <c r="O196" i="1"/>
  <c r="P196" i="1" s="1"/>
  <c r="K196" i="1"/>
  <c r="L196" i="1" s="1"/>
  <c r="E180" i="1"/>
  <c r="E179" i="1"/>
  <c r="H169" i="1" l="1"/>
  <c r="H176" i="1" s="1"/>
  <c r="H194" i="1"/>
  <c r="H235" i="7"/>
  <c r="H227" i="1" s="1"/>
  <c r="O227" i="1" l="1"/>
  <c r="K227" i="1"/>
  <c r="O179" i="1"/>
  <c r="P179" i="1" s="1"/>
  <c r="K179" i="1"/>
  <c r="L179" i="1" s="1"/>
  <c r="O169" i="1"/>
  <c r="P169" i="1" s="1"/>
  <c r="K169" i="1"/>
  <c r="L169" i="1" s="1"/>
  <c r="O194" i="1"/>
  <c r="P194" i="1" s="1"/>
  <c r="K194" i="1"/>
  <c r="L194" i="1" s="1"/>
  <c r="H185" i="1"/>
  <c r="H212" i="1"/>
  <c r="H200" i="1"/>
  <c r="H203" i="1" l="1"/>
  <c r="H208" i="1" s="1"/>
  <c r="H218" i="1" s="1"/>
  <c r="H211" i="1"/>
  <c r="O212" i="1"/>
  <c r="K212" i="1"/>
  <c r="O200" i="1"/>
  <c r="P200" i="1" s="1"/>
  <c r="K200" i="1"/>
  <c r="L200" i="1" s="1"/>
  <c r="O176" i="1"/>
  <c r="P176" i="1" s="1"/>
  <c r="K176" i="1"/>
  <c r="L176" i="1" s="1"/>
  <c r="O185" i="1"/>
  <c r="P185" i="1" s="1"/>
  <c r="K185" i="1"/>
  <c r="L185" i="1" s="1"/>
  <c r="H206" i="1" l="1"/>
  <c r="O211" i="1"/>
  <c r="K211" i="1"/>
  <c r="O203" i="1"/>
  <c r="P203" i="1" s="1"/>
  <c r="K203" i="1"/>
  <c r="L203" i="1" s="1"/>
  <c r="H207" i="1"/>
  <c r="D46" i="54"/>
  <c r="D44" i="54"/>
  <c r="D39" i="54"/>
  <c r="D37" i="54"/>
  <c r="D28" i="54"/>
  <c r="D30" i="54"/>
  <c r="D32" i="54"/>
  <c r="O207" i="1" l="1"/>
  <c r="K207" i="1"/>
  <c r="O206" i="1"/>
  <c r="K206" i="1"/>
  <c r="K208" i="1"/>
  <c r="O208" i="1"/>
  <c r="H123" i="1" l="1"/>
  <c r="O123" i="1" l="1"/>
  <c r="P123" i="1" s="1"/>
  <c r="K123" i="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P290" i="1" l="1"/>
  <c r="K290" i="1"/>
  <c r="L290" i="1" s="1"/>
  <c r="I15" i="6"/>
  <c r="I16" i="6"/>
  <c r="I24" i="6" s="1"/>
  <c r="I19" i="6"/>
  <c r="I17" i="6"/>
  <c r="E98" i="1"/>
  <c r="E206" i="1"/>
  <c r="F15" i="6" s="1"/>
  <c r="U26" i="33"/>
  <c r="P26" i="33"/>
  <c r="E39" i="1"/>
  <c r="I23" i="6" l="1"/>
  <c r="E208" i="1"/>
  <c r="F17" i="6" s="1"/>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5" i="7" s="1"/>
  <c r="H226" i="1"/>
  <c r="E226" i="1"/>
  <c r="E213" i="1"/>
  <c r="E152" i="1"/>
  <c r="E147" i="1"/>
  <c r="E146" i="1"/>
  <c r="E144" i="1"/>
  <c r="H134" i="1"/>
  <c r="E133" i="1"/>
  <c r="E199" i="7" s="1"/>
  <c r="H130" i="1"/>
  <c r="E129" i="1"/>
  <c r="E123" i="1"/>
  <c r="E190" i="7" s="1"/>
  <c r="E121" i="1"/>
  <c r="E102" i="1"/>
  <c r="E270"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5" i="7"/>
  <c r="C270" i="7"/>
  <c r="H269" i="7"/>
  <c r="H270" i="7" s="1"/>
  <c r="B267" i="7"/>
  <c r="H261" i="7"/>
  <c r="F17" i="54" s="1"/>
  <c r="C261" i="7"/>
  <c r="H260" i="7"/>
  <c r="H284" i="1" s="1"/>
  <c r="C260" i="7"/>
  <c r="B259" i="7"/>
  <c r="A257" i="7"/>
  <c r="C253" i="7"/>
  <c r="B67" i="31" s="1"/>
  <c r="C251" i="7"/>
  <c r="C242" i="7"/>
  <c r="B69" i="31" s="1"/>
  <c r="K228" i="7"/>
  <c r="C235" i="7"/>
  <c r="G198" i="7"/>
  <c r="C198" i="7"/>
  <c r="B70" i="31" s="1"/>
  <c r="B171" i="7"/>
  <c r="G114" i="7"/>
  <c r="G104" i="7"/>
  <c r="C56" i="7"/>
  <c r="C55"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17" i="31" l="1"/>
  <c r="C29" i="31"/>
  <c r="C19" i="31"/>
  <c r="C48" i="31"/>
  <c r="C57" i="31"/>
  <c r="C63" i="31"/>
  <c r="C66" i="31"/>
  <c r="C70" i="31"/>
  <c r="C77" i="31"/>
  <c r="C82" i="31"/>
  <c r="C18" i="31"/>
  <c r="C24" i="31"/>
  <c r="C30" i="31"/>
  <c r="C37" i="31"/>
  <c r="C49" i="31"/>
  <c r="C58" i="31"/>
  <c r="C64" i="31"/>
  <c r="C71" i="31"/>
  <c r="C74" i="31"/>
  <c r="C78" i="31"/>
  <c r="C81" i="31"/>
  <c r="C23" i="31"/>
  <c r="C21" i="31"/>
  <c r="C27" i="31"/>
  <c r="C26" i="31"/>
  <c r="C39" i="31"/>
  <c r="C50" i="31"/>
  <c r="C59" i="31"/>
  <c r="C65" i="31"/>
  <c r="C67" i="31"/>
  <c r="C72" i="31"/>
  <c r="C75" i="31"/>
  <c r="C79" i="31"/>
  <c r="C16" i="31"/>
  <c r="C22" i="31"/>
  <c r="C28" i="31"/>
  <c r="C56" i="31"/>
  <c r="C62" i="31"/>
  <c r="C69" i="31"/>
  <c r="C73" i="31"/>
  <c r="C76" i="31"/>
  <c r="C80" i="31"/>
  <c r="C55" i="31"/>
  <c r="C53" i="31"/>
  <c r="C54" i="31"/>
  <c r="C52" i="31"/>
  <c r="C31" i="31"/>
  <c r="C25" i="31"/>
  <c r="C61" i="31"/>
  <c r="C34" i="31"/>
  <c r="C42" i="31"/>
  <c r="C41" i="31"/>
  <c r="C43" i="31"/>
  <c r="C45" i="31"/>
  <c r="C44" i="31"/>
  <c r="C36" i="31"/>
  <c r="A15" i="1"/>
  <c r="E289" i="7"/>
  <c r="E283" i="7"/>
  <c r="E280" i="7"/>
  <c r="E288" i="7"/>
  <c r="E290" i="7"/>
  <c r="E284" i="7"/>
  <c r="E278" i="7"/>
  <c r="E285" i="7"/>
  <c r="E279" i="7"/>
  <c r="I33" i="6"/>
  <c r="O226" i="1"/>
  <c r="K226" i="1"/>
  <c r="I35" i="6"/>
  <c r="O228" i="1"/>
  <c r="K228" i="1"/>
  <c r="O134" i="1"/>
  <c r="K134" i="1"/>
  <c r="L134" i="1" s="1"/>
  <c r="O284" i="1"/>
  <c r="K284" i="1"/>
  <c r="O130" i="1"/>
  <c r="K130" i="1"/>
  <c r="L130" i="1" s="1"/>
  <c r="O24" i="1"/>
  <c r="P24" i="1" s="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F16" i="1"/>
  <c r="Q33" i="33"/>
  <c r="S33" i="33" s="1"/>
  <c r="U33" i="33"/>
  <c r="V33" i="33" s="1"/>
  <c r="P34" i="33"/>
  <c r="R34" i="33" s="1"/>
  <c r="R32" i="33"/>
  <c r="H56" i="1"/>
  <c r="H286" i="1"/>
  <c r="J82" i="31"/>
  <c r="C38" i="31" l="1"/>
  <c r="F18" i="1"/>
  <c r="A18" i="1"/>
  <c r="H42" i="1"/>
  <c r="O42" i="1" s="1"/>
  <c r="G68" i="7"/>
  <c r="H43" i="1"/>
  <c r="G132" i="7"/>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O56" i="1"/>
  <c r="P56" i="1" s="1"/>
  <c r="K56" i="1"/>
  <c r="L56" i="1" s="1"/>
  <c r="O118" i="1"/>
  <c r="P118" i="1" s="1"/>
  <c r="K118" i="1"/>
  <c r="L118" i="1" s="1"/>
  <c r="O38" i="1"/>
  <c r="P38" i="1" s="1"/>
  <c r="K38" i="1"/>
  <c r="L38" i="1" s="1"/>
  <c r="O286" i="1"/>
  <c r="P286" i="1" s="1"/>
  <c r="K286" i="1"/>
  <c r="L286" i="1" s="1"/>
  <c r="O102" i="1"/>
  <c r="P102" i="1" s="1"/>
  <c r="K102" i="1"/>
  <c r="L102" i="1" s="1"/>
  <c r="O48" i="1"/>
  <c r="P48" i="1" s="1"/>
  <c r="K48" i="1"/>
  <c r="L48" i="1" s="1"/>
  <c r="O57" i="1"/>
  <c r="P57" i="1" s="1"/>
  <c r="K57" i="1"/>
  <c r="L57" i="1" s="1"/>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P42" i="1" l="1"/>
  <c r="H23" i="1"/>
  <c r="H25" i="1" s="1"/>
  <c r="F88" i="1"/>
  <c r="F91" i="1"/>
  <c r="F45" i="1"/>
  <c r="F149" i="1"/>
  <c r="F59" i="1"/>
  <c r="A21" i="1"/>
  <c r="F125" i="1"/>
  <c r="K42" i="1"/>
  <c r="L42" i="1" s="1"/>
  <c r="K43" i="1"/>
  <c r="L43" i="1" s="1"/>
  <c r="O43" i="1"/>
  <c r="P43" i="1" s="1"/>
  <c r="H44" i="1"/>
  <c r="O44" i="1" s="1"/>
  <c r="P44" i="1" s="1"/>
  <c r="H21" i="1"/>
  <c r="O54" i="1"/>
  <c r="P54" i="1" s="1"/>
  <c r="K54" i="1"/>
  <c r="L54" i="1" s="1"/>
  <c r="O256" i="1"/>
  <c r="P256" i="1" s="1"/>
  <c r="K256" i="1"/>
  <c r="L256" i="1" s="1"/>
  <c r="O58" i="1"/>
  <c r="P58" i="1" s="1"/>
  <c r="K58" i="1"/>
  <c r="L58" i="1" s="1"/>
  <c r="H258"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H219" i="1" s="1"/>
  <c r="I38" i="6"/>
  <c r="I37" i="6"/>
  <c r="O23" i="1" l="1"/>
  <c r="P23" i="1" s="1"/>
  <c r="K23" i="1"/>
  <c r="L23" i="1" s="1"/>
  <c r="A68" i="7"/>
  <c r="A23" i="1"/>
  <c r="K44" i="1"/>
  <c r="L44" i="1" s="1"/>
  <c r="K21" i="1"/>
  <c r="L21" i="1" s="1"/>
  <c r="O21" i="1"/>
  <c r="P21" i="1" s="1"/>
  <c r="O25" i="1"/>
  <c r="P25" i="1" s="1"/>
  <c r="K25" i="1"/>
  <c r="L25" i="1" s="1"/>
  <c r="O258" i="1"/>
  <c r="P258"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O27" i="1"/>
  <c r="P27"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256" i="1"/>
  <c r="F40"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O39" i="1"/>
  <c r="P39" i="1" s="1"/>
  <c r="K39" i="1"/>
  <c r="L39" i="1" s="1"/>
  <c r="B92" i="7"/>
  <c r="B93" i="7" s="1"/>
  <c r="B94" i="7" s="1"/>
  <c r="B95" i="7" s="1"/>
  <c r="B96" i="7" s="1"/>
  <c r="B97" i="7" s="1"/>
  <c r="B98" i="7" s="1"/>
  <c r="B99" i="7" s="1"/>
  <c r="B100" i="7" s="1"/>
  <c r="B101" i="7" s="1"/>
  <c r="B102" i="7" s="1"/>
  <c r="B103" i="7" s="1"/>
  <c r="F44" i="1" l="1"/>
  <c r="A41" i="7"/>
  <c r="A44" i="1"/>
  <c r="A45" i="1" s="1"/>
  <c r="B104" i="7"/>
  <c r="B107" i="7" s="1"/>
  <c r="D104" i="7"/>
  <c r="H40" i="1"/>
  <c r="H279" i="1" s="1"/>
  <c r="F46" i="1" l="1"/>
  <c r="A46" i="1"/>
  <c r="O40" i="1"/>
  <c r="K40" i="1"/>
  <c r="L40" i="1" s="1"/>
  <c r="H270" i="1"/>
  <c r="B108" i="7"/>
  <c r="P40" i="1" l="1"/>
  <c r="A48" i="1"/>
  <c r="F50" i="1" s="1"/>
  <c r="O270" i="1"/>
  <c r="P270" i="1" s="1"/>
  <c r="K270" i="1"/>
  <c r="L270" i="1" s="1"/>
  <c r="O279" i="1"/>
  <c r="P279" i="1" s="1"/>
  <c r="K279" i="1"/>
  <c r="L279" i="1" s="1"/>
  <c r="B109" i="7"/>
  <c r="B112" i="7" s="1"/>
  <c r="D109" i="7"/>
  <c r="A50" i="1"/>
  <c r="A174" i="7"/>
  <c r="B113" i="7" l="1"/>
  <c r="F29" i="1"/>
  <c r="A54" i="1"/>
  <c r="A88" i="7" l="1"/>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143" i="7"/>
  <c r="F89" i="1"/>
  <c r="A90" i="1"/>
  <c r="A147" i="7" l="1"/>
  <c r="A91" i="1"/>
  <c r="A92" i="1" s="1"/>
  <c r="A93" i="1" l="1"/>
  <c r="F92" i="1"/>
  <c r="A151" i="7" l="1"/>
  <c r="A94" i="1"/>
  <c r="F94" i="1"/>
  <c r="A97" i="1" l="1"/>
  <c r="A98" i="1" l="1"/>
  <c r="H10" i="31"/>
  <c r="A99" i="1" l="1"/>
  <c r="F104" i="1"/>
  <c r="F99" i="1"/>
  <c r="A102" i="1"/>
  <c r="A270" i="7" l="1"/>
  <c r="A104" i="1"/>
  <c r="F244" i="1" l="1"/>
  <c r="A106" i="1"/>
  <c r="F106" i="1"/>
  <c r="F245" i="1" l="1"/>
  <c r="A111" i="1"/>
  <c r="A112" i="1" l="1"/>
  <c r="A242" i="7"/>
  <c r="A113" i="1" l="1"/>
  <c r="A251" i="7"/>
  <c r="A114" i="1" l="1"/>
  <c r="A253" i="7"/>
  <c r="F114" i="1"/>
  <c r="A117" i="1" l="1"/>
  <c r="J73" i="31"/>
  <c r="A118" i="1" l="1"/>
  <c r="A195" i="7" l="1"/>
  <c r="A119" i="1"/>
  <c r="A120" i="1" l="1"/>
  <c r="A121" i="1" l="1"/>
  <c r="J71" i="31"/>
  <c r="A122" i="1" l="1"/>
  <c r="A303" i="7"/>
  <c r="J72" i="31"/>
  <c r="A123" i="1" l="1"/>
  <c r="F124" i="1" l="1"/>
  <c r="A124" i="1"/>
  <c r="A190" i="7"/>
  <c r="A125" i="1" l="1"/>
  <c r="A126" i="1" s="1"/>
  <c r="F126" i="1"/>
  <c r="A129" i="1" l="1"/>
  <c r="A130" i="1" l="1"/>
  <c r="F131" i="1" s="1"/>
  <c r="A214" i="7"/>
  <c r="A221" i="7" l="1"/>
  <c r="A131" i="1"/>
  <c r="A133" i="1" s="1"/>
  <c r="A199" i="7" l="1"/>
  <c r="A134" i="1"/>
  <c r="A228" i="7" l="1"/>
  <c r="A135" i="1"/>
  <c r="F135" i="1"/>
  <c r="A136" i="1" l="1"/>
  <c r="A137" i="1" s="1"/>
  <c r="F137" i="1" l="1"/>
  <c r="F139" i="1"/>
  <c r="A139" i="1"/>
  <c r="A144" i="1" l="1"/>
  <c r="F97" i="1"/>
  <c r="F247" i="1"/>
  <c r="A146" i="1" l="1"/>
  <c r="A280" i="7"/>
  <c r="A147" i="1" l="1"/>
  <c r="A285" i="7"/>
  <c r="F148" i="1"/>
  <c r="A290" i="7" l="1"/>
  <c r="A148" i="1"/>
  <c r="A149" i="1" l="1"/>
  <c r="A150" i="1" s="1"/>
  <c r="F150" i="1" l="1"/>
  <c r="A152" i="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7"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5"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l="1"/>
  <c r="F273" i="1"/>
  <c r="D9" i="26"/>
  <c r="A273" i="1"/>
  <c r="A276" i="1" l="1"/>
  <c r="D14" i="26"/>
  <c r="A277" i="1" l="1"/>
  <c r="A278" i="1" s="1"/>
  <c r="F278" i="1" l="1"/>
  <c r="A279" i="1"/>
  <c r="A280" i="1" s="1"/>
  <c r="A281" i="1" s="1"/>
  <c r="F281" i="1" l="1"/>
  <c r="F280" i="1"/>
  <c r="D10" i="26"/>
  <c r="A283" i="1"/>
  <c r="A284" i="1" s="1"/>
  <c r="A285" i="1" l="1"/>
  <c r="A286" i="1" s="1"/>
  <c r="F287" i="1" s="1"/>
  <c r="IF284" i="1"/>
  <c r="A260" i="7"/>
  <c r="A287" i="1" l="1"/>
  <c r="A290" i="1" s="1"/>
  <c r="B47" i="105" s="1"/>
  <c r="A261" i="7"/>
  <c r="F291" i="1" l="1"/>
  <c r="D23" i="54"/>
  <c r="A291" i="1"/>
  <c r="A293" i="1" l="1"/>
  <c r="F293" i="1"/>
  <c r="K23" i="26"/>
  <c r="O219" i="1" l="1"/>
  <c r="K219" i="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5" i="26" l="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4" i="7" s="1"/>
  <c r="I214" i="7" l="1"/>
  <c r="H129" i="1" s="1"/>
  <c r="H214" i="7"/>
  <c r="H131" i="1" l="1"/>
  <c r="K129" i="1"/>
  <c r="L129" i="1" s="1"/>
  <c r="O129" i="1"/>
  <c r="P129" i="1" s="1"/>
  <c r="K131" i="1" l="1"/>
  <c r="L131" i="1" s="1"/>
  <c r="O131" i="1"/>
  <c r="P131" i="1" s="1"/>
  <c r="H165" i="7" l="1"/>
  <c r="L87" i="1" l="1"/>
  <c r="P87" i="1"/>
  <c r="P89" i="1" l="1"/>
  <c r="L89" i="1"/>
  <c r="F35" i="106" l="1"/>
  <c r="D16" i="31" l="1"/>
  <c r="D18" i="31"/>
  <c r="H107" i="7" s="1"/>
  <c r="D38" i="31"/>
  <c r="D81" i="31"/>
  <c r="D30" i="31"/>
  <c r="D25" i="31"/>
  <c r="D61" i="31" l="1"/>
  <c r="D17" i="31" l="1"/>
  <c r="D76" i="31"/>
  <c r="D50" i="31"/>
  <c r="H141" i="7" s="1"/>
  <c r="D48" i="31"/>
  <c r="H145" i="7" s="1"/>
  <c r="D44" i="31"/>
  <c r="D73" i="31"/>
  <c r="D75" i="31"/>
  <c r="D57" i="31"/>
  <c r="D70" i="31"/>
  <c r="D49" i="31"/>
  <c r="H149" i="7" s="1"/>
  <c r="D72" i="31"/>
  <c r="D45" i="31"/>
  <c r="D63" i="31"/>
  <c r="D24" i="31"/>
  <c r="H49" i="7" s="1"/>
  <c r="D58" i="31"/>
  <c r="D77" i="31"/>
  <c r="D29" i="31"/>
  <c r="D28" i="31"/>
  <c r="H23" i="7" s="1"/>
  <c r="D56" i="31"/>
  <c r="D66" i="31"/>
  <c r="D39" i="31"/>
  <c r="H112" i="7" s="1"/>
  <c r="D59" i="31"/>
  <c r="D41" i="31"/>
  <c r="D53" i="31"/>
  <c r="D69" i="31"/>
  <c r="D34" i="31"/>
  <c r="D71" i="31"/>
  <c r="D79" i="31"/>
  <c r="D65" i="31"/>
  <c r="D80" i="31"/>
  <c r="D55" i="31"/>
  <c r="D54" i="31"/>
  <c r="D43" i="31"/>
  <c r="D64" i="31"/>
  <c r="D37" i="31"/>
  <c r="H91" i="7" s="1"/>
  <c r="D19" i="31"/>
  <c r="D74" i="31"/>
  <c r="D82" i="31"/>
  <c r="D67" i="31"/>
  <c r="D52" i="31"/>
  <c r="D23" i="31"/>
  <c r="D27" i="31"/>
  <c r="D42" i="31"/>
  <c r="D62" i="31"/>
  <c r="D31" i="31"/>
  <c r="D78" i="31"/>
  <c r="D22" i="31"/>
  <c r="D21" i="31"/>
  <c r="D26" i="31"/>
  <c r="H7" i="7" s="1"/>
  <c r="D36" i="31"/>
  <c r="H75" i="7" s="1"/>
  <c r="D46" i="31" l="1"/>
  <c r="D20" i="79"/>
  <c r="H172" i="7"/>
  <c r="J172" i="7" s="1"/>
  <c r="E30" i="31" l="1"/>
  <c r="E25" i="31"/>
  <c r="E16" i="31"/>
  <c r="H25" i="31"/>
  <c r="E61" i="31" l="1"/>
  <c r="E18" i="31"/>
  <c r="E38" i="31"/>
  <c r="D45" i="76"/>
  <c r="D47" i="76" s="1"/>
  <c r="H45" i="7"/>
  <c r="H18" i="31"/>
  <c r="H30" i="31"/>
  <c r="H16" i="31"/>
  <c r="H38" i="31"/>
  <c r="E41" i="31" l="1"/>
  <c r="E59" i="31"/>
  <c r="E49" i="31"/>
  <c r="E69" i="31"/>
  <c r="H242" i="7" s="1"/>
  <c r="E79" i="31"/>
  <c r="E24" i="31"/>
  <c r="E23" i="31"/>
  <c r="E62" i="31"/>
  <c r="E39" i="31"/>
  <c r="E57" i="31"/>
  <c r="E72" i="31"/>
  <c r="E73" i="31"/>
  <c r="E42" i="31"/>
  <c r="E17" i="31"/>
  <c r="E67" i="31"/>
  <c r="E37" i="31"/>
  <c r="E43" i="31"/>
  <c r="E65" i="31"/>
  <c r="E45" i="31"/>
  <c r="E55" i="31"/>
  <c r="E52" i="31"/>
  <c r="E19" i="31"/>
  <c r="E36" i="31"/>
  <c r="E48" i="31"/>
  <c r="E56" i="31"/>
  <c r="E31" i="31"/>
  <c r="E74" i="31"/>
  <c r="E64" i="31"/>
  <c r="E22" i="31"/>
  <c r="E77" i="31"/>
  <c r="E27" i="31"/>
  <c r="E63" i="31"/>
  <c r="E70" i="31"/>
  <c r="E75" i="31"/>
  <c r="E54" i="31"/>
  <c r="E34" i="31"/>
  <c r="H33" i="31" s="1"/>
  <c r="E71" i="31"/>
  <c r="E26" i="31"/>
  <c r="E28" i="31"/>
  <c r="E21" i="31"/>
  <c r="E50" i="31"/>
  <c r="E29" i="31"/>
  <c r="E44" i="31"/>
  <c r="E66" i="31"/>
  <c r="E53" i="31"/>
  <c r="E78" i="31"/>
  <c r="E76" i="31"/>
  <c r="E58" i="31"/>
  <c r="H108" i="7"/>
  <c r="H245" i="7"/>
  <c r="H52" i="31"/>
  <c r="H17" i="31"/>
  <c r="H56" i="31"/>
  <c r="H54" i="31"/>
  <c r="H31" i="31"/>
  <c r="H53" i="31"/>
  <c r="H57" i="31"/>
  <c r="H27" i="31"/>
  <c r="H58" i="31"/>
  <c r="H23" i="31"/>
  <c r="H55" i="31"/>
  <c r="H59" i="31"/>
  <c r="H247" i="7" l="1"/>
  <c r="E8" i="73"/>
  <c r="H35" i="7"/>
  <c r="H253" i="7"/>
  <c r="J253" i="7" s="1"/>
  <c r="H113" i="1" s="1"/>
  <c r="H44" i="7"/>
  <c r="I198" i="7"/>
  <c r="I199" i="7" s="1"/>
  <c r="H133" i="1" s="1"/>
  <c r="H119" i="1"/>
  <c r="E10" i="73"/>
  <c r="H249" i="7"/>
  <c r="H250" i="7"/>
  <c r="E11" i="73"/>
  <c r="H142" i="7"/>
  <c r="H143" i="7" s="1"/>
  <c r="H87" i="1" s="1"/>
  <c r="H19" i="7"/>
  <c r="E9" i="73"/>
  <c r="H248" i="7"/>
  <c r="H146" i="7"/>
  <c r="H147" i="7" s="1"/>
  <c r="H90" i="1" s="1"/>
  <c r="H113" i="7"/>
  <c r="H61" i="7"/>
  <c r="H283" i="7"/>
  <c r="H279" i="7"/>
  <c r="H173" i="7"/>
  <c r="J173" i="7" s="1"/>
  <c r="E20" i="79"/>
  <c r="H221" i="7"/>
  <c r="J221" i="7" s="1"/>
  <c r="H228" i="7"/>
  <c r="J228" i="7" s="1"/>
  <c r="H122" i="1"/>
  <c r="H65" i="7"/>
  <c r="H40" i="7"/>
  <c r="H150" i="7"/>
  <c r="H151" i="7" s="1"/>
  <c r="H93" i="1" s="1"/>
  <c r="H278" i="7"/>
  <c r="H39" i="7"/>
  <c r="H121" i="1"/>
  <c r="H289" i="7"/>
  <c r="H288" i="7"/>
  <c r="H87" i="7"/>
  <c r="H103" i="7"/>
  <c r="H117" i="1"/>
  <c r="H246" i="7"/>
  <c r="E7" i="73"/>
  <c r="H284" i="7"/>
  <c r="E46" i="31"/>
  <c r="H62" i="31"/>
  <c r="H24" i="31"/>
  <c r="H37" i="31"/>
  <c r="H70" i="31"/>
  <c r="H63" i="31"/>
  <c r="H19" i="31"/>
  <c r="H50" i="31"/>
  <c r="H26" i="31"/>
  <c r="H72" i="31"/>
  <c r="H29" i="31"/>
  <c r="H67" i="31"/>
  <c r="H71" i="31"/>
  <c r="H22" i="31"/>
  <c r="H21" i="31"/>
  <c r="H36" i="31"/>
  <c r="H61" i="31"/>
  <c r="H49" i="31"/>
  <c r="H64" i="31"/>
  <c r="H69" i="31"/>
  <c r="H39" i="31"/>
  <c r="H73" i="31"/>
  <c r="H28" i="31"/>
  <c r="H48" i="31"/>
  <c r="H124" i="1" l="1"/>
  <c r="H290" i="7"/>
  <c r="H280" i="7"/>
  <c r="H251" i="7"/>
  <c r="O121" i="1"/>
  <c r="P121" i="1" s="1"/>
  <c r="K121" i="1"/>
  <c r="L121" i="1" s="1"/>
  <c r="K87" i="1"/>
  <c r="O87" i="1"/>
  <c r="O113" i="1"/>
  <c r="P113" i="1" s="1"/>
  <c r="K113" i="1"/>
  <c r="L113" i="1" s="1"/>
  <c r="K117" i="1"/>
  <c r="L117" i="1" s="1"/>
  <c r="O117" i="1"/>
  <c r="P117" i="1" s="1"/>
  <c r="O93" i="1"/>
  <c r="P93" i="1" s="1"/>
  <c r="K93" i="1"/>
  <c r="L93" i="1" s="1"/>
  <c r="O119" i="1"/>
  <c r="P119" i="1" s="1"/>
  <c r="K119" i="1"/>
  <c r="L119" i="1" s="1"/>
  <c r="H285" i="7"/>
  <c r="H129" i="7"/>
  <c r="E12" i="73"/>
  <c r="O122" i="1"/>
  <c r="P122" i="1" s="1"/>
  <c r="K122" i="1"/>
  <c r="L122" i="1" s="1"/>
  <c r="K90" i="1"/>
  <c r="L90" i="1" s="1"/>
  <c r="O90" i="1"/>
  <c r="P90" i="1" s="1"/>
  <c r="H135" i="1"/>
  <c r="O133" i="1"/>
  <c r="P133" i="1" s="1"/>
  <c r="K133" i="1"/>
  <c r="L133" i="1" s="1"/>
  <c r="H46" i="31"/>
  <c r="H65" i="31"/>
  <c r="H77" i="31"/>
  <c r="H75" i="31"/>
  <c r="H76" i="31"/>
  <c r="H78" i="31"/>
  <c r="H74" i="31"/>
  <c r="H66" i="31"/>
  <c r="H79" i="31"/>
  <c r="H144" i="1" l="1"/>
  <c r="H146" i="1"/>
  <c r="K146" i="1" s="1"/>
  <c r="L146" i="1" s="1"/>
  <c r="H147" i="1"/>
  <c r="O147" i="1" s="1"/>
  <c r="P147" i="1" s="1"/>
  <c r="J251" i="7"/>
  <c r="H112" i="1" s="1"/>
  <c r="E15" i="73"/>
  <c r="O124" i="1"/>
  <c r="P124" i="1" s="1"/>
  <c r="K124" i="1"/>
  <c r="L124" i="1" s="1"/>
  <c r="K135" i="1"/>
  <c r="L135" i="1" s="1"/>
  <c r="O135" i="1"/>
  <c r="P135" i="1" s="1"/>
  <c r="E23" i="73" l="1"/>
  <c r="E25" i="73" s="1"/>
  <c r="O144" i="1"/>
  <c r="P144" i="1" s="1"/>
  <c r="K112" i="1"/>
  <c r="L112" i="1" s="1"/>
  <c r="O146" i="1"/>
  <c r="P146" i="1" s="1"/>
  <c r="K144" i="1"/>
  <c r="L144" i="1" s="1"/>
  <c r="O112" i="1"/>
  <c r="P112" i="1" s="1"/>
  <c r="H148" i="1"/>
  <c r="K148" i="1" s="1"/>
  <c r="L148" i="1" s="1"/>
  <c r="K147" i="1"/>
  <c r="L147" i="1" s="1"/>
  <c r="E22" i="73"/>
  <c r="E21" i="73"/>
  <c r="J242" i="7"/>
  <c r="H111" i="1" s="1"/>
  <c r="E26" i="73" l="1"/>
  <c r="E29" i="73" s="1"/>
  <c r="E28" i="73"/>
  <c r="O148" i="1"/>
  <c r="P148" i="1" s="1"/>
  <c r="K111" i="1"/>
  <c r="L111" i="1" s="1"/>
  <c r="H114" i="1"/>
  <c r="O111" i="1"/>
  <c r="P111" i="1" s="1"/>
  <c r="O114" i="1" l="1"/>
  <c r="P114" i="1" s="1"/>
  <c r="K114" i="1"/>
  <c r="L114" i="1" s="1"/>
  <c r="D35" i="106" l="1"/>
  <c r="E15" i="105" s="1"/>
  <c r="D52" i="106" l="1"/>
  <c r="D48" i="106"/>
  <c r="D43" i="106"/>
  <c r="D53" i="106" l="1"/>
  <c r="D54" i="106" s="1"/>
  <c r="E17" i="105" s="1"/>
  <c r="E20" i="105" s="1"/>
  <c r="F13" i="54" s="1"/>
  <c r="E82" i="31" l="1"/>
  <c r="H15" i="1" s="1"/>
  <c r="O15" i="1" l="1"/>
  <c r="P15" i="1" s="1"/>
  <c r="K15" i="1"/>
  <c r="L15" i="1" s="1"/>
  <c r="E80" i="31"/>
  <c r="H12" i="1" s="1"/>
  <c r="H82" i="31"/>
  <c r="O12" i="1" l="1"/>
  <c r="P12" i="1" s="1"/>
  <c r="K12" i="1"/>
  <c r="L12" i="1" s="1"/>
  <c r="E81" i="31"/>
  <c r="H14" i="1" s="1"/>
  <c r="H80" i="31"/>
  <c r="O14" i="1" l="1"/>
  <c r="P14" i="1" s="1"/>
  <c r="K14" i="1"/>
  <c r="L14" i="1" s="1"/>
  <c r="H16" i="1"/>
  <c r="H81" i="31"/>
  <c r="O16" i="1" l="1"/>
  <c r="P16" i="1" s="1"/>
  <c r="K16" i="1"/>
  <c r="L16" i="1" s="1"/>
  <c r="H18" i="1"/>
  <c r="H59" i="1" l="1"/>
  <c r="H149" i="1"/>
  <c r="H150" i="1" s="1"/>
  <c r="L56" i="94"/>
  <c r="L57" i="94" s="1"/>
  <c r="H91" i="1"/>
  <c r="H92" i="1" s="1"/>
  <c r="I15" i="110"/>
  <c r="I16" i="110" s="1"/>
  <c r="I18" i="108" s="1"/>
  <c r="K18" i="1"/>
  <c r="L18" i="1" s="1"/>
  <c r="H88" i="1"/>
  <c r="E35" i="105"/>
  <c r="E36" i="105" s="1"/>
  <c r="AE78" i="92"/>
  <c r="AE79" i="92" s="1"/>
  <c r="O18" i="1"/>
  <c r="P18" i="1" s="1"/>
  <c r="H125" i="1"/>
  <c r="H126" i="1" s="1"/>
  <c r="H45" i="1"/>
  <c r="H46" i="1" s="1"/>
  <c r="I15" i="108"/>
  <c r="I16" i="108" s="1"/>
  <c r="E19" i="76"/>
  <c r="F19" i="76" s="1"/>
  <c r="H60" i="1" l="1"/>
  <c r="H62" i="1" s="1"/>
  <c r="E11" i="105"/>
  <c r="E12" i="105" s="1"/>
  <c r="F12" i="54" s="1"/>
  <c r="F14" i="54" s="1"/>
  <c r="H154" i="1"/>
  <c r="K150" i="1"/>
  <c r="L150" i="1" s="1"/>
  <c r="O150" i="1"/>
  <c r="P150" i="1" s="1"/>
  <c r="H50" i="1"/>
  <c r="K46" i="1"/>
  <c r="L46" i="1" s="1"/>
  <c r="O46" i="1"/>
  <c r="O92" i="1"/>
  <c r="P92" i="1" s="1"/>
  <c r="K92" i="1"/>
  <c r="L92" i="1" s="1"/>
  <c r="O126" i="1"/>
  <c r="P126" i="1" s="1"/>
  <c r="K126" i="1"/>
  <c r="L126" i="1" s="1"/>
  <c r="K88" i="1"/>
  <c r="L88" i="1" s="1"/>
  <c r="O88" i="1"/>
  <c r="P88" i="1" s="1"/>
  <c r="H89" i="1"/>
  <c r="O60" i="1" l="1"/>
  <c r="P60" i="1" s="1"/>
  <c r="K60" i="1"/>
  <c r="L60" i="1" s="1"/>
  <c r="P46" i="1"/>
  <c r="E22" i="105"/>
  <c r="H264" i="1" s="1"/>
  <c r="K264" i="1" s="1"/>
  <c r="L264" i="1" s="1"/>
  <c r="K89" i="1"/>
  <c r="H94" i="1"/>
  <c r="O89" i="1"/>
  <c r="H248" i="1"/>
  <c r="K154" i="1"/>
  <c r="L154" i="1" s="1"/>
  <c r="O154" i="1"/>
  <c r="P154" i="1" s="1"/>
  <c r="K62" i="1"/>
  <c r="L62" i="1" s="1"/>
  <c r="O62" i="1"/>
  <c r="P62" i="1" s="1"/>
  <c r="H29" i="1"/>
  <c r="H30" i="1" s="1"/>
  <c r="H64" i="1"/>
  <c r="K50" i="1"/>
  <c r="L50" i="1" s="1"/>
  <c r="O50" i="1"/>
  <c r="P50" i="1" s="1"/>
  <c r="O264" i="1" l="1"/>
  <c r="P264" i="1" s="1"/>
  <c r="O94" i="1"/>
  <c r="P94" i="1" s="1"/>
  <c r="K94" i="1"/>
  <c r="L94" i="1" s="1"/>
  <c r="H243" i="1"/>
  <c r="H32" i="1"/>
  <c r="K64" i="1"/>
  <c r="L64" i="1" s="1"/>
  <c r="O64" i="1"/>
  <c r="O248" i="1"/>
  <c r="P248" i="1" s="1"/>
  <c r="K248" i="1"/>
  <c r="L248" i="1" s="1"/>
  <c r="K29" i="1"/>
  <c r="L29" i="1" s="1"/>
  <c r="O29" i="1"/>
  <c r="P29" i="1" s="1"/>
  <c r="P64" i="1" l="1"/>
  <c r="O30" i="1"/>
  <c r="P30" i="1" s="1"/>
  <c r="H136" i="1"/>
  <c r="H137" i="1" s="1"/>
  <c r="AD78" i="92"/>
  <c r="AD79" i="92" s="1"/>
  <c r="AG79" i="92" s="1"/>
  <c r="AG81" i="92" s="1"/>
  <c r="H78" i="1" s="1"/>
  <c r="K30" i="1"/>
  <c r="L30" i="1" s="1"/>
  <c r="O32" i="1"/>
  <c r="P32" i="1" s="1"/>
  <c r="H33" i="1"/>
  <c r="K32" i="1"/>
  <c r="L32" i="1" s="1"/>
  <c r="K243" i="1"/>
  <c r="L243" i="1" s="1"/>
  <c r="O243" i="1"/>
  <c r="P243" i="1" s="1"/>
  <c r="H15" i="110" l="1"/>
  <c r="H16" i="110" s="1"/>
  <c r="O33" i="1"/>
  <c r="P33" i="1" s="1"/>
  <c r="E12" i="76"/>
  <c r="F12" i="76" s="1"/>
  <c r="K33" i="1"/>
  <c r="L33" i="1" s="1"/>
  <c r="H15" i="108"/>
  <c r="H16" i="108" s="1"/>
  <c r="J17" i="108" s="1"/>
  <c r="K56" i="94"/>
  <c r="K57" i="94" s="1"/>
  <c r="H59" i="94" s="1"/>
  <c r="H81" i="1" s="1"/>
  <c r="E25" i="76"/>
  <c r="F25" i="76" s="1"/>
  <c r="I165" i="7"/>
  <c r="J165" i="7" s="1"/>
  <c r="H75" i="1" s="1"/>
  <c r="I159" i="7"/>
  <c r="J159" i="7" s="1"/>
  <c r="H233" i="1" s="1"/>
  <c r="O78" i="1"/>
  <c r="P78" i="1" s="1"/>
  <c r="K78" i="1"/>
  <c r="L78" i="1" s="1"/>
  <c r="H139" i="1"/>
  <c r="K137" i="1"/>
  <c r="L137" i="1" s="1"/>
  <c r="O137" i="1"/>
  <c r="P137" i="1" s="1"/>
  <c r="H97" i="1" l="1"/>
  <c r="F27" i="76"/>
  <c r="H158" i="1" s="1"/>
  <c r="O75" i="1"/>
  <c r="P75" i="1" s="1"/>
  <c r="K75" i="1"/>
  <c r="L75" i="1" s="1"/>
  <c r="O81" i="1"/>
  <c r="P81" i="1" s="1"/>
  <c r="K81" i="1"/>
  <c r="L81" i="1" s="1"/>
  <c r="O139" i="1"/>
  <c r="P139" i="1" s="1"/>
  <c r="K139" i="1"/>
  <c r="L139" i="1" s="1"/>
  <c r="H247" i="1"/>
  <c r="I41" i="6"/>
  <c r="I44" i="6" s="1"/>
  <c r="K233" i="1"/>
  <c r="L233" i="1" s="1"/>
  <c r="H234" i="1"/>
  <c r="O233" i="1"/>
  <c r="P233" i="1" s="1"/>
  <c r="H18" i="108"/>
  <c r="J19" i="110"/>
  <c r="J18" i="108" s="1"/>
  <c r="J19" i="108" s="1"/>
  <c r="H69" i="1" s="1"/>
  <c r="O158" i="1" l="1"/>
  <c r="P158" i="1" s="1"/>
  <c r="K158" i="1"/>
  <c r="L158" i="1" s="1"/>
  <c r="H160" i="1"/>
  <c r="O160" i="1" s="1"/>
  <c r="P160" i="1" s="1"/>
  <c r="K69" i="1"/>
  <c r="L69" i="1" s="1"/>
  <c r="O69" i="1"/>
  <c r="P69" i="1" s="1"/>
  <c r="K234" i="1"/>
  <c r="L234" i="1" s="1"/>
  <c r="O234" i="1"/>
  <c r="P234" i="1" s="1"/>
  <c r="H99" i="1"/>
  <c r="O97" i="1"/>
  <c r="P97" i="1" s="1"/>
  <c r="K97" i="1"/>
  <c r="L97" i="1" s="1"/>
  <c r="K247" i="1"/>
  <c r="L247" i="1" s="1"/>
  <c r="O247" i="1"/>
  <c r="P247" i="1" s="1"/>
  <c r="H249" i="1" l="1"/>
  <c r="K249" i="1" s="1"/>
  <c r="L249" i="1" s="1"/>
  <c r="K160" i="1"/>
  <c r="L160" i="1" s="1"/>
  <c r="O99" i="1"/>
  <c r="P99" i="1" s="1"/>
  <c r="K99" i="1"/>
  <c r="L99" i="1" s="1"/>
  <c r="H104" i="1"/>
  <c r="O249" i="1" l="1"/>
  <c r="P249" i="1" s="1"/>
  <c r="K104" i="1"/>
  <c r="L104" i="1" s="1"/>
  <c r="H244" i="1"/>
  <c r="O104" i="1"/>
  <c r="H106" i="1"/>
  <c r="H221" i="1" s="1"/>
  <c r="P104" i="1" l="1"/>
  <c r="O244" i="1"/>
  <c r="P244" i="1" s="1"/>
  <c r="K244" i="1"/>
  <c r="L244" i="1" s="1"/>
  <c r="H245" i="1"/>
  <c r="O106" i="1"/>
  <c r="P106" i="1" s="1"/>
  <c r="K106" i="1"/>
  <c r="L106" i="1" s="1"/>
  <c r="I28" i="6"/>
  <c r="I48" i="6" s="1"/>
  <c r="I50" i="6" s="1"/>
  <c r="I8" i="6" s="1"/>
  <c r="H277" i="1" s="1"/>
  <c r="H250" i="1" l="1"/>
  <c r="H236" i="1"/>
  <c r="O221" i="1"/>
  <c r="P221" i="1" s="1"/>
  <c r="K221" i="1"/>
  <c r="L221" i="1" s="1"/>
  <c r="K277" i="1"/>
  <c r="L277" i="1" s="1"/>
  <c r="O277" i="1"/>
  <c r="P277" i="1" s="1"/>
  <c r="K245" i="1"/>
  <c r="L245" i="1" s="1"/>
  <c r="O245" i="1"/>
  <c r="P245" i="1" s="1"/>
  <c r="O236" i="1" l="1"/>
  <c r="P236" i="1" s="1"/>
  <c r="K236" i="1"/>
  <c r="L236" i="1" s="1"/>
  <c r="H238" i="1"/>
  <c r="K250" i="1"/>
  <c r="L250" i="1" s="1"/>
  <c r="O250" i="1"/>
  <c r="P250" i="1" s="1"/>
  <c r="H251" i="1" l="1"/>
  <c r="K238" i="1"/>
  <c r="L238" i="1" s="1"/>
  <c r="O238" i="1"/>
  <c r="P238" i="1" s="1"/>
  <c r="O251" i="1" l="1"/>
  <c r="P251" i="1" s="1"/>
  <c r="K251" i="1"/>
  <c r="L251" i="1" s="1"/>
  <c r="H253" i="1"/>
  <c r="K253" i="1" l="1"/>
  <c r="L253" i="1" s="1"/>
  <c r="O253" i="1"/>
  <c r="P253" i="1" s="1"/>
  <c r="H260" i="1"/>
  <c r="H276" i="1" l="1"/>
  <c r="H261" i="1"/>
  <c r="H266" i="1" s="1"/>
  <c r="O260" i="1"/>
  <c r="P260" i="1" s="1"/>
  <c r="K260" i="1"/>
  <c r="L260" i="1" s="1"/>
  <c r="H269" i="1"/>
  <c r="F8" i="54" l="1"/>
  <c r="O261" i="1"/>
  <c r="P261" i="1" s="1"/>
  <c r="K261" i="1"/>
  <c r="L261" i="1" s="1"/>
  <c r="H273" i="1"/>
  <c r="K269" i="1"/>
  <c r="L269" i="1" s="1"/>
  <c r="H271" i="1"/>
  <c r="O269" i="1"/>
  <c r="P269" i="1" s="1"/>
  <c r="H272" i="1"/>
  <c r="K276" i="1"/>
  <c r="L276" i="1" s="1"/>
  <c r="O276" i="1"/>
  <c r="P276" i="1" s="1"/>
  <c r="H278" i="1"/>
  <c r="H281" i="1" l="1"/>
  <c r="M10" i="26" s="1"/>
  <c r="K278" i="1"/>
  <c r="L278" i="1" s="1"/>
  <c r="O278" i="1"/>
  <c r="P278" i="1" s="1"/>
  <c r="H280" i="1"/>
  <c r="O266" i="1"/>
  <c r="P266" i="1" s="1"/>
  <c r="K266" i="1"/>
  <c r="L266" i="1" s="1"/>
  <c r="H283" i="1"/>
  <c r="K271" i="1"/>
  <c r="O271" i="1"/>
  <c r="K272" i="1"/>
  <c r="M9" i="26"/>
  <c r="O272" i="1"/>
  <c r="K273" i="1"/>
  <c r="O273" i="1"/>
  <c r="M14" i="26"/>
  <c r="K24" i="26" l="1"/>
  <c r="E24" i="26"/>
  <c r="H24" i="26"/>
  <c r="J40" i="26" s="1"/>
  <c r="N24" i="26"/>
  <c r="K283" i="1"/>
  <c r="L283" i="1" s="1"/>
  <c r="O283" i="1"/>
  <c r="P283" i="1" s="1"/>
  <c r="M11" i="26"/>
  <c r="H25" i="26" s="1"/>
  <c r="K25" i="26" l="1"/>
  <c r="E25" i="26"/>
  <c r="N25" i="26"/>
  <c r="P48" i="26"/>
  <c r="P50" i="26"/>
  <c r="P60" i="26"/>
  <c r="P40" i="26"/>
  <c r="P54" i="26"/>
  <c r="P66" i="26"/>
  <c r="P44" i="26"/>
  <c r="P32" i="26"/>
  <c r="P38" i="26"/>
  <c r="P30" i="26"/>
  <c r="P34" i="26"/>
  <c r="P68" i="26"/>
  <c r="P36" i="26"/>
  <c r="P58" i="26"/>
  <c r="P52" i="26"/>
  <c r="P62" i="26"/>
  <c r="P46" i="26"/>
  <c r="P42" i="26"/>
  <c r="P64" i="26"/>
  <c r="P56" i="26"/>
  <c r="J42" i="26"/>
  <c r="J64" i="26"/>
  <c r="J48" i="26"/>
  <c r="J30" i="26"/>
  <c r="J66" i="26"/>
  <c r="J46" i="26"/>
  <c r="J68" i="26"/>
  <c r="J36" i="26"/>
  <c r="J50" i="26"/>
  <c r="J54" i="26"/>
  <c r="J32" i="26"/>
  <c r="J56" i="26"/>
  <c r="J34" i="26"/>
  <c r="J62" i="26"/>
  <c r="J52" i="26"/>
  <c r="J60" i="26"/>
  <c r="J44" i="26"/>
  <c r="J38" i="26"/>
  <c r="J58" i="26"/>
  <c r="G50" i="26"/>
  <c r="G32" i="26"/>
  <c r="G56" i="26"/>
  <c r="G34" i="26"/>
  <c r="G46" i="26"/>
  <c r="G30" i="26"/>
  <c r="G58" i="26"/>
  <c r="G36" i="26"/>
  <c r="G64" i="26"/>
  <c r="G42" i="26"/>
  <c r="G54" i="26"/>
  <c r="G66" i="26"/>
  <c r="G40" i="26"/>
  <c r="G38" i="26"/>
  <c r="G68" i="26"/>
  <c r="G60" i="26"/>
  <c r="G44" i="26"/>
  <c r="G52" i="26"/>
  <c r="G48" i="26"/>
  <c r="G62" i="26"/>
  <c r="M36" i="26"/>
  <c r="M58" i="26"/>
  <c r="M68" i="26"/>
  <c r="M46" i="26"/>
  <c r="M66" i="26"/>
  <c r="M34" i="26"/>
  <c r="M52" i="26"/>
  <c r="M54" i="26"/>
  <c r="M40" i="26"/>
  <c r="M50" i="26"/>
  <c r="M48" i="26"/>
  <c r="M64" i="26"/>
  <c r="M42" i="26"/>
  <c r="M44" i="26"/>
  <c r="M62" i="26"/>
  <c r="M60" i="26"/>
  <c r="M32" i="26"/>
  <c r="M38" i="26"/>
  <c r="M56" i="26"/>
  <c r="M30" i="26"/>
  <c r="Q58" i="26" l="1"/>
  <c r="S58" i="26" s="1"/>
  <c r="Q52" i="26"/>
  <c r="S52" i="26" s="1"/>
  <c r="Q32" i="26"/>
  <c r="S32" i="26" s="1"/>
  <c r="Q36" i="26"/>
  <c r="S36" i="26" s="1"/>
  <c r="Q30" i="26"/>
  <c r="S30" i="26" s="1"/>
  <c r="P47" i="26"/>
  <c r="P53" i="26"/>
  <c r="P59" i="26"/>
  <c r="P57" i="26"/>
  <c r="P49" i="26"/>
  <c r="P63" i="26"/>
  <c r="P33" i="26"/>
  <c r="P55" i="26"/>
  <c r="P31" i="26"/>
  <c r="P45" i="26"/>
  <c r="P65" i="26"/>
  <c r="P35" i="26"/>
  <c r="P69" i="26"/>
  <c r="P43" i="26"/>
  <c r="P41" i="26"/>
  <c r="P51" i="26"/>
  <c r="P37" i="26"/>
  <c r="P61" i="26"/>
  <c r="P67" i="26"/>
  <c r="P39" i="26"/>
  <c r="Q38" i="26"/>
  <c r="S38" i="26" s="1"/>
  <c r="Q62" i="26"/>
  <c r="S62" i="26" s="1"/>
  <c r="Q40" i="26"/>
  <c r="S40" i="26" s="1"/>
  <c r="Q68" i="26"/>
  <c r="S68" i="26" s="1"/>
  <c r="Q48" i="26"/>
  <c r="S48" i="26" s="1"/>
  <c r="J53" i="26"/>
  <c r="J55" i="26"/>
  <c r="J67" i="26"/>
  <c r="J47" i="26"/>
  <c r="J35" i="26"/>
  <c r="J33" i="26"/>
  <c r="J63" i="26"/>
  <c r="J49" i="26"/>
  <c r="J45" i="26"/>
  <c r="J43" i="26"/>
  <c r="J51" i="26"/>
  <c r="J41" i="26"/>
  <c r="J39" i="26"/>
  <c r="J59" i="26"/>
  <c r="J37" i="26"/>
  <c r="J61" i="26"/>
  <c r="J65" i="26"/>
  <c r="J57" i="26"/>
  <c r="J69" i="26"/>
  <c r="J31" i="26"/>
  <c r="Q44" i="26"/>
  <c r="S44" i="26" s="1"/>
  <c r="Q34" i="26"/>
  <c r="S34" i="26" s="1"/>
  <c r="Q54" i="26"/>
  <c r="S54" i="26" s="1"/>
  <c r="Q46" i="26"/>
  <c r="S46" i="26" s="1"/>
  <c r="Q64" i="26"/>
  <c r="S64" i="26" s="1"/>
  <c r="G51" i="26"/>
  <c r="G35" i="26"/>
  <c r="G43" i="26"/>
  <c r="G59" i="26"/>
  <c r="G33" i="26"/>
  <c r="G69" i="26"/>
  <c r="G31" i="26"/>
  <c r="G55" i="26"/>
  <c r="G57" i="26"/>
  <c r="G41" i="26"/>
  <c r="G63" i="26"/>
  <c r="G53" i="26"/>
  <c r="G61" i="26"/>
  <c r="G45" i="26"/>
  <c r="G47" i="26"/>
  <c r="G65" i="26"/>
  <c r="G39" i="26"/>
  <c r="G49" i="26"/>
  <c r="G37" i="26"/>
  <c r="G67" i="26"/>
  <c r="Q60" i="26"/>
  <c r="S60" i="26" s="1"/>
  <c r="Q56" i="26"/>
  <c r="S56" i="26" s="1"/>
  <c r="Q50" i="26"/>
  <c r="S50" i="26" s="1"/>
  <c r="Q66" i="26"/>
  <c r="S66" i="26" s="1"/>
  <c r="Q42" i="26"/>
  <c r="S42" i="26" s="1"/>
  <c r="M59" i="26"/>
  <c r="M31" i="26"/>
  <c r="M53" i="26"/>
  <c r="M51" i="26"/>
  <c r="M57" i="26"/>
  <c r="M41" i="26"/>
  <c r="M49" i="26"/>
  <c r="M33" i="26"/>
  <c r="M55" i="26"/>
  <c r="M39" i="26"/>
  <c r="M37" i="26"/>
  <c r="M47" i="26"/>
  <c r="M63" i="26"/>
  <c r="M43" i="26"/>
  <c r="M69" i="26"/>
  <c r="M61" i="26"/>
  <c r="M45" i="26"/>
  <c r="M35" i="26"/>
  <c r="M67" i="26"/>
  <c r="M65" i="26"/>
  <c r="Q59" i="26" l="1"/>
  <c r="R59" i="26" s="1"/>
  <c r="T59" i="26" s="1"/>
  <c r="Q43" i="26"/>
  <c r="R43" i="26" s="1"/>
  <c r="T43" i="26" s="1"/>
  <c r="Q55" i="26"/>
  <c r="R55" i="26" s="1"/>
  <c r="T55" i="26" s="1"/>
  <c r="Q45" i="26"/>
  <c r="R45" i="26" s="1"/>
  <c r="T45" i="26" s="1"/>
  <c r="Q35" i="26"/>
  <c r="R35" i="26" s="1"/>
  <c r="T35" i="26" s="1"/>
  <c r="Q57" i="26"/>
  <c r="R57" i="26" s="1"/>
  <c r="T57" i="26" s="1"/>
  <c r="Q33" i="26"/>
  <c r="R33" i="26" s="1"/>
  <c r="T33" i="26" s="1"/>
  <c r="Q39" i="26"/>
  <c r="R39" i="26" s="1"/>
  <c r="T39" i="26" s="1"/>
  <c r="Q53" i="26"/>
  <c r="R53" i="26" s="1"/>
  <c r="T53" i="26" s="1"/>
  <c r="Q31" i="26"/>
  <c r="R31" i="26" s="1"/>
  <c r="T31" i="26" s="1"/>
  <c r="Q61" i="26"/>
  <c r="R61" i="26" s="1"/>
  <c r="T61" i="26" s="1"/>
  <c r="Q41" i="26"/>
  <c r="R41" i="26" s="1"/>
  <c r="Q49" i="26"/>
  <c r="R49" i="26" s="1"/>
  <c r="T49" i="26" s="1"/>
  <c r="Q47" i="26"/>
  <c r="R47" i="26" s="1"/>
  <c r="T47" i="26" s="1"/>
  <c r="Q65" i="26"/>
  <c r="R65" i="26" s="1"/>
  <c r="T65" i="26" s="1"/>
  <c r="Q69" i="26"/>
  <c r="R69" i="26" s="1"/>
  <c r="T69" i="26" s="1"/>
  <c r="Q37" i="26"/>
  <c r="R37" i="26" s="1"/>
  <c r="T37" i="26" s="1"/>
  <c r="Q51" i="26"/>
  <c r="R51" i="26" s="1"/>
  <c r="T51" i="26" s="1"/>
  <c r="Q63" i="26"/>
  <c r="R63" i="26" s="1"/>
  <c r="T63" i="26" s="1"/>
  <c r="Q67" i="26"/>
  <c r="R67" i="26" s="1"/>
  <c r="T67" i="26" s="1"/>
  <c r="T41" i="26" l="1"/>
  <c r="F19" i="54" s="1"/>
  <c r="F21" i="54" s="1"/>
  <c r="F28" i="54" s="1"/>
  <c r="H285" i="1"/>
  <c r="F30" i="54" l="1"/>
  <c r="F32" i="54"/>
  <c r="O285" i="1"/>
  <c r="P285" i="1" s="1"/>
  <c r="K285" i="1"/>
  <c r="L285" i="1" s="1"/>
  <c r="H287" i="1"/>
  <c r="F37" i="54" l="1"/>
  <c r="F44" i="54" s="1"/>
  <c r="F39" i="54"/>
  <c r="F46" i="54" s="1"/>
  <c r="H291" i="1"/>
  <c r="O287" i="1"/>
  <c r="P287" i="1" s="1"/>
  <c r="K287" i="1"/>
  <c r="L287" i="1" s="1"/>
  <c r="K291" i="1" l="1"/>
  <c r="L291" i="1" s="1"/>
  <c r="H293" i="1"/>
  <c r="O291" i="1"/>
  <c r="P291" i="1" s="1"/>
  <c r="O293" i="1" l="1"/>
  <c r="P293" i="1" s="1"/>
  <c r="K293" i="1"/>
  <c r="L293" i="1" s="1"/>
</calcChain>
</file>

<file path=xl/sharedStrings.xml><?xml version="1.0" encoding="utf-8"?>
<sst xmlns="http://schemas.openxmlformats.org/spreadsheetml/2006/main" count="5026" uniqueCount="2377">
  <si>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</si>
  <si>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</si>
  <si>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</si>
  <si>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</si>
  <si>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</si>
  <si>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</si>
  <si>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</si>
  <si>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</si>
  <si>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</si>
  <si>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</si>
  <si>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</si>
  <si>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</si>
  <si>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</si>
  <si>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</si>
  <si>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</si>
  <si>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</si>
  <si>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</si>
  <si>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</si>
  <si>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</si>
  <si>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</si>
  <si>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</si>
  <si>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</si>
  <si>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</si>
  <si>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</si>
  <si>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</si>
  <si>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</si>
  <si>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</si>
  <si>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</si>
  <si>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</si>
  <si>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</si>
  <si>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</si>
  <si>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</si>
  <si>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</si>
  <si>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</si>
  <si>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</si>
  <si>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</si>
  <si>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</si>
  <si>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</si>
  <si>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</si>
  <si>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</si>
  <si>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</si>
  <si>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</si>
  <si>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</si>
  <si>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</si>
  <si>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</si>
  <si>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</si>
  <si>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</si>
  <si>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</si>
  <si>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</si>
  <si>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</si>
  <si>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</si>
  <si>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</si>
  <si>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</si>
  <si>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</si>
  <si>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</si>
  <si>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</si>
  <si>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</si>
  <si>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</si>
  <si>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</si>
  <si>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</si>
  <si>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</si>
  <si>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</si>
  <si>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</si>
  <si>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</si>
  <si>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</si>
  <si>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</si>
  <si>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</si>
  <si>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</si>
  <si>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</si>
  <si>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</si>
  <si>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</si>
  <si>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</si>
  <si>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</si>
  <si>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</si>
  <si>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</si>
  <si>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</si>
  <si>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</si>
  <si>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</si>
  <si>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</si>
  <si>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</si>
  <si>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</si>
  <si>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</si>
  <si>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</si>
  <si>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</si>
  <si>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</si>
  <si>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</si>
  <si>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</si>
  <si>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</si>
  <si>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</si>
  <si>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</si>
  <si>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</si>
  <si>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</si>
  <si>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</si>
  <si>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</si>
  <si>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</si>
  <si>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</si>
  <si>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</si>
  <si>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</si>
  <si>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</si>
  <si>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</si>
  <si>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</si>
  <si>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</si>
  <si>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</si>
  <si>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</si>
  <si>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</si>
  <si>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</si>
  <si>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</si>
  <si>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</si>
  <si>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</si>
  <si>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</si>
  <si>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</si>
  <si>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</si>
  <si>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</si>
  <si>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</si>
  <si>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</si>
  <si>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</si>
  <si>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</si>
  <si>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</si>
  <si>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</si>
  <si>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</si>
  <si>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</si>
  <si>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</si>
  <si>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</si>
  <si>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</si>
  <si>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</si>
  <si>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</si>
  <si>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</si>
  <si>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</si>
  <si>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</si>
  <si>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</si>
  <si>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</si>
  <si>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</si>
  <si>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</si>
  <si>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</si>
  <si>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</si>
  <si>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</si>
  <si>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</si>
  <si>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</si>
  <si>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</si>
  <si>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</si>
  <si>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</si>
  <si>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</si>
  <si>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</si>
  <si>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</si>
  <si>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</si>
  <si>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</si>
  <si>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</si>
  <si>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</si>
  <si>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</si>
  <si>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</si>
  <si>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</si>
  <si>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</si>
  <si>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</si>
  <si>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</si>
  <si>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</si>
  <si>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</si>
  <si>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</si>
  <si>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</si>
  <si>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</si>
  <si>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</si>
  <si>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</si>
  <si>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</si>
  <si>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</si>
  <si>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</si>
  <si>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</si>
  <si>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</si>
  <si>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</si>
  <si>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</si>
  <si>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</si>
  <si>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</si>
  <si>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</si>
  <si>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</si>
  <si>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</si>
  <si>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</si>
  <si>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</si>
  <si>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</si>
  <si>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</si>
  <si>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</si>
  <si>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</si>
  <si>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</si>
  <si>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</si>
  <si>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</si>
  <si>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</si>
  <si>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</si>
  <si>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</si>
  <si>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</si>
  <si>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</si>
  <si>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</si>
  <si>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</si>
  <si>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</si>
  <si>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</si>
  <si>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</si>
  <si>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</si>
  <si>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</si>
  <si>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</si>
  <si>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</si>
  <si>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</si>
  <si>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</si>
  <si>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</si>
  <si>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</si>
  <si>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</si>
  <si>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</si>
  <si>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</si>
  <si>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</si>
  <si>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</si>
  <si>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</si>
  <si>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</si>
  <si>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</si>
  <si>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</si>
  <si>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</si>
  <si>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</si>
  <si>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</si>
  <si>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</si>
  <si>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</si>
  <si>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</si>
  <si>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</si>
  <si>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</si>
  <si>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</si>
  <si>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</si>
  <si>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</si>
  <si>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</si>
  <si>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</si>
  <si>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</si>
  <si>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</si>
  <si>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</si>
  <si>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</si>
  <si>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</si>
  <si>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</si>
  <si>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</si>
  <si>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</si>
  <si>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</si>
  <si>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</si>
  <si>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</si>
  <si>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</si>
  <si>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</si>
  <si>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</si>
  <si>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</si>
  <si>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</si>
  <si>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</si>
  <si>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</si>
  <si>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</si>
  <si>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</si>
  <si>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</si>
  <si>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</si>
  <si>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</si>
  <si>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</si>
  <si>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</si>
  <si>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</si>
  <si>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</si>
  <si>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</si>
  <si>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</si>
  <si>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</si>
  <si>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</si>
  <si>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</si>
  <si>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</si>
  <si>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</si>
  <si>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</si>
  <si>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</si>
  <si>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</si>
  <si>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</si>
  <si>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</si>
  <si>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</si>
  <si>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</si>
  <si>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</si>
  <si>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</si>
  <si>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</si>
  <si>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</si>
  <si>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</si>
  <si>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</si>
  <si>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</si>
  <si>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</si>
  <si>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</si>
  <si>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</si>
  <si>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</si>
  <si>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</si>
  <si>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</si>
  <si>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</si>
  <si>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</si>
  <si>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</si>
  <si>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</si>
  <si>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</si>
  <si>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</si>
  <si>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</si>
  <si>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</si>
  <si>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</si>
  <si>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</si>
  <si>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</si>
  <si>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</si>
  <si>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</si>
  <si>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</si>
  <si>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</si>
  <si>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</si>
  <si>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</si>
  <si>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</si>
  <si>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</si>
  <si>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</si>
  <si>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</si>
  <si>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</si>
  <si>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</si>
  <si>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</si>
  <si>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</si>
  <si>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</si>
  <si>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</si>
  <si>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</si>
  <si>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</si>
  <si>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</si>
  <si>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</si>
  <si>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</si>
  <si>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</si>
  <si>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</si>
  <si>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</si>
  <si>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</si>
  <si>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</si>
  <si>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</si>
  <si>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</si>
  <si>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</si>
  <si>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</si>
  <si>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</si>
  <si>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</si>
  <si>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</si>
  <si>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</si>
  <si>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</si>
  <si>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</si>
  <si>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</si>
  <si>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</si>
  <si>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</si>
  <si>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</si>
  <si>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</si>
  <si>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</si>
  <si>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</si>
  <si>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</si>
  <si>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</si>
  <si>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</si>
  <si>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</si>
  <si>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</si>
  <si>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</si>
  <si>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</si>
  <si>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</si>
  <si>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</si>
  <si>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</si>
  <si>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</si>
  <si>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</si>
  <si>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</si>
  <si>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</si>
  <si>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</si>
  <si>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</si>
  <si>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</si>
  <si>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</si>
  <si>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</si>
  <si>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</si>
  <si>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</si>
  <si>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</si>
  <si>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</si>
  <si>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</si>
  <si>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</si>
  <si>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</si>
  <si>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</si>
  <si>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</si>
  <si>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</si>
  <si>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</si>
  <si>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</si>
  <si>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</si>
  <si>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</si>
  <si>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</si>
  <si>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</si>
  <si>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</si>
  <si>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</si>
  <si>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</si>
  <si>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</si>
  <si>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</si>
  <si>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</si>
  <si>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</si>
  <si>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</si>
  <si>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</si>
  <si>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</si>
  <si>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</si>
  <si>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</si>
  <si>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</si>
  <si>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</si>
  <si>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</si>
  <si>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</si>
  <si>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</si>
  <si>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</si>
  <si>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</si>
  <si>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</si>
  <si>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</si>
  <si>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</si>
  <si>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</si>
  <si>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</si>
  <si>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</si>
  <si>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</si>
  <si>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</si>
  <si>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</si>
  <si>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</si>
  <si>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</si>
  <si>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</si>
  <si>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</si>
  <si>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</si>
  <si>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</si>
  <si>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</si>
  <si>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</si>
  <si>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</si>
  <si>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</si>
  <si>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</si>
  <si>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</si>
  <si>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</si>
  <si>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</si>
  <si>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</si>
  <si>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</si>
  <si>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</si>
  <si>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</si>
  <si>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</si>
  <si>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</si>
  <si>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</si>
  <si>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</si>
  <si>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</si>
  <si>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</si>
  <si>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</si>
  <si>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</si>
  <si>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</si>
  <si>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</si>
  <si>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</si>
  <si>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</si>
  <si>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</si>
  <si>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</si>
  <si>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</si>
  <si>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</si>
  <si>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</si>
  <si>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</si>
  <si>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</si>
  <si>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</si>
  <si>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</si>
  <si>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</si>
  <si>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</si>
  <si>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</si>
  <si>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</si>
  <si>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</si>
  <si>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</si>
  <si>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</si>
  <si>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</si>
  <si>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</si>
  <si>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</si>
  <si>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</si>
  <si>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</si>
  <si>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</si>
  <si>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</si>
  <si>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</si>
  <si>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</si>
  <si>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</si>
  <si>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</si>
  <si>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</si>
  <si>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</si>
  <si>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</si>
  <si>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</si>
  <si>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</si>
  <si>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</si>
  <si>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</si>
  <si>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</si>
  <si>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</si>
  <si>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</si>
  <si>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</si>
  <si>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</si>
  <si>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</si>
  <si>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</si>
  <si>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</si>
  <si>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</si>
  <si>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</si>
  <si>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</si>
  <si>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</si>
  <si>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</si>
  <si>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</si>
  <si>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</si>
  <si>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</si>
  <si>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</si>
  <si>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</si>
  <si>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</si>
  <si>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</si>
  <si>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</si>
  <si>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</si>
  <si>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</si>
  <si>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</si>
  <si>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</si>
  <si>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</si>
  <si>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</si>
  <si>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</si>
  <si>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</si>
  <si>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</si>
  <si>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</si>
  <si>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</si>
  <si>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</si>
  <si>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</si>
  <si>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</si>
  <si>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</si>
  <si>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</si>
  <si>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</si>
  <si>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</si>
  <si>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</si>
  <si>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</si>
  <si>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</si>
  <si>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</si>
  <si>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</si>
  <si>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</si>
  <si>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</si>
  <si>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</si>
  <si>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</si>
  <si>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</si>
  <si>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</si>
  <si>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</si>
  <si>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</si>
  <si>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</si>
  <si>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</si>
  <si>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</si>
  <si>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</si>
  <si>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</si>
  <si>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</si>
  <si>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</si>
  <si>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</si>
  <si>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</si>
  <si>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</si>
  <si>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</si>
  <si>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</si>
  <si>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</si>
  <si>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</si>
  <si>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</si>
  <si>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</si>
  <si>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</si>
  <si>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</si>
  <si>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</si>
  <si>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</si>
  <si>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</si>
  <si>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</si>
  <si>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</si>
  <si>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</si>
  <si>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</si>
  <si>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</si>
  <si>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</si>
  <si>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</si>
  <si>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</si>
  <si>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</si>
  <si>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</si>
  <si>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</si>
  <si>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</si>
  <si>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</si>
  <si>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</si>
  <si>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</si>
  <si>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</si>
  <si>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</si>
  <si>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</si>
  <si>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</si>
  <si>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</si>
  <si>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</si>
  <si>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</si>
  <si>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</si>
  <si>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</si>
  <si>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</si>
  <si>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</si>
  <si>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</si>
  <si>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</si>
  <si>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</si>
  <si>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</si>
  <si>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</si>
  <si>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</si>
  <si>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</si>
  <si>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</si>
  <si>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</si>
  <si>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</si>
  <si>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</si>
  <si>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</si>
  <si>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</si>
  <si>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</si>
  <si>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</si>
  <si>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</si>
  <si>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</si>
  <si>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</si>
  <si>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</si>
  <si>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</si>
  <si>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</si>
  <si>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</si>
  <si>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</si>
  <si>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</si>
  <si>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</si>
  <si>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</si>
  <si>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</si>
  <si>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</si>
  <si>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</si>
  <si>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</si>
  <si>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</si>
  <si>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</si>
  <si>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</si>
  <si>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</si>
  <si>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</si>
  <si>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</si>
  <si>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</si>
  <si>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</si>
  <si>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</si>
  <si>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</si>
  <si>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</si>
  <si>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</si>
  <si>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</si>
  <si>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</si>
  <si>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</si>
  <si>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</si>
  <si>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</si>
  <si>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</si>
  <si>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</si>
  <si>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</si>
  <si>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</si>
  <si>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</si>
  <si>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</si>
  <si>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</si>
  <si>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</si>
  <si>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</si>
  <si>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</si>
  <si>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</si>
  <si>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</si>
  <si>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</si>
  <si>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</si>
  <si>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</si>
  <si>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</si>
  <si>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</si>
  <si>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</si>
  <si>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</si>
  <si>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</si>
  <si>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</si>
  <si>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</si>
  <si>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</si>
  <si>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</si>
  <si>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</si>
  <si>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</si>
  <si>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</si>
  <si>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</si>
  <si>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</si>
  <si>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</si>
  <si>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</si>
  <si>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</si>
  <si>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</si>
  <si>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</si>
  <si>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</si>
  <si>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</si>
  <si>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</si>
  <si>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</si>
  <si>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</si>
  <si>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</si>
  <si>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</si>
  <si>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</si>
  <si>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</si>
  <si>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</si>
  <si>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</si>
  <si>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</si>
  <si>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</si>
  <si>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</si>
  <si>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</si>
  <si>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</si>
  <si>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</si>
  <si>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</si>
  <si>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</si>
  <si>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</si>
  <si>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</si>
  <si>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</si>
  <si>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</si>
  <si>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</si>
  <si>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</si>
  <si>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</si>
  <si>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</si>
  <si>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</si>
  <si>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</si>
  <si>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</si>
  <si>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</si>
  <si>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</si>
  <si>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</si>
  <si>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</si>
  <si>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</si>
  <si>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</si>
  <si>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</si>
  <si>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</si>
  <si>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</si>
  <si>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</si>
  <si>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</si>
  <si>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</si>
  <si>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</si>
  <si>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</si>
  <si>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</si>
  <si>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</si>
  <si>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</si>
  <si>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</si>
  <si>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</si>
  <si>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</si>
  <si>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</si>
  <si>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</si>
  <si>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</si>
  <si>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</si>
  <si>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</si>
  <si>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</si>
  <si>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</si>
  <si>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</si>
  <si>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</si>
  <si>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</si>
  <si>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</si>
  <si>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</si>
  <si>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</si>
  <si>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</si>
  <si>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</si>
  <si>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</si>
  <si>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</si>
  <si>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</si>
  <si>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</si>
  <si>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</si>
  <si>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</si>
  <si>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</si>
  <si>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</si>
  <si>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</si>
  <si>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</si>
  <si>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</si>
  <si>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</si>
  <si>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</si>
  <si>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</si>
  <si>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</si>
  <si>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</si>
  <si>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</si>
  <si>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</si>
  <si>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</si>
  <si>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</si>
  <si>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</si>
  <si>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</si>
  <si>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</si>
  <si>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</si>
  <si>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</si>
  <si>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</si>
  <si>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</si>
  <si>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</si>
  <si>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</si>
  <si>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</si>
  <si>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</si>
  <si>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</si>
  <si>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</si>
  <si>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</si>
  <si>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</si>
  <si>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</si>
  <si>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</si>
  <si>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</si>
  <si>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</si>
  <si>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</si>
  <si>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</si>
  <si>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</si>
  <si>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</si>
  <si>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</si>
  <si>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</si>
  <si>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</si>
  <si>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</si>
  <si>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</si>
  <si>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</si>
  <si>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</si>
  <si>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</si>
  <si>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</si>
  <si>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</si>
  <si>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</si>
  <si>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</si>
  <si>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</si>
  <si>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</si>
  <si>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</si>
  <si>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</si>
  <si>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</si>
  <si>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</si>
  <si>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</si>
  <si>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</si>
  <si>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</si>
  <si>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</si>
  <si>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</si>
  <si>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</si>
  <si>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</si>
  <si>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</si>
  <si>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</si>
  <si>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</si>
  <si>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</si>
  <si>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</si>
  <si>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</si>
  <si>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</si>
  <si>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</si>
  <si>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</si>
  <si>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</si>
  <si>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</si>
  <si>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</si>
  <si>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</si>
  <si>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</si>
  <si>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</si>
  <si>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</si>
  <si>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</si>
  <si>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</si>
  <si>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</si>
  <si>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</si>
  <si>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</si>
  <si>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</si>
  <si>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</si>
  <si>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</si>
  <si>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</si>
  <si>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</si>
  <si>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</si>
  <si>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</si>
  <si>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</si>
  <si>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</si>
  <si>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</si>
  <si>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</si>
  <si>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</si>
  <si>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</si>
  <si>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</si>
  <si>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</si>
  <si>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</si>
  <si>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</si>
  <si>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</si>
  <si>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</si>
  <si>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</si>
  <si>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</si>
  <si>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</si>
  <si>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</si>
  <si>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</si>
  <si>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</si>
  <si>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</si>
  <si>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</si>
  <si>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</si>
  <si>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</si>
  <si>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</si>
  <si>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</si>
  <si>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</si>
  <si>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</si>
  <si>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</si>
  <si>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</si>
  <si>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</si>
  <si>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</si>
  <si>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</si>
  <si>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</si>
  <si>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</si>
  <si>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</si>
  <si>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</si>
  <si>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</si>
  <si>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</si>
  <si>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</si>
  <si>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</si>
  <si>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</si>
  <si>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</si>
  <si>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</si>
  <si>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</si>
  <si>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</si>
  <si>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</si>
  <si>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</si>
  <si>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</si>
  <si>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</si>
  <si>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</si>
  <si>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</si>
  <si>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</si>
  <si>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</si>
  <si>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</si>
  <si>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</si>
  <si>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</si>
  <si>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</si>
  <si>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</si>
  <si>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</si>
  <si>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</si>
  <si>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</si>
  <si>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</si>
  <si>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</si>
  <si>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</si>
  <si>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</si>
  <si>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</si>
  <si>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</si>
  <si>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</si>
  <si>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</si>
  <si>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</si>
  <si>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</si>
  <si>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</si>
  <si>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</si>
  <si>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</si>
  <si>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</si>
  <si>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</si>
  <si>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</si>
  <si>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</si>
  <si>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</si>
  <si>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</si>
  <si>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</si>
  <si>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</si>
  <si>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</si>
  <si>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</si>
  <si>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</si>
  <si>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</si>
  <si>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</si>
  <si>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</si>
  <si>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</si>
  <si>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</si>
  <si>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</si>
  <si>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</si>
  <si>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</si>
  <si>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</si>
  <si>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</si>
  <si>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</si>
  <si>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</si>
  <si>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</si>
  <si>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</si>
  <si>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</si>
  <si>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</si>
  <si>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</si>
  <si>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</si>
  <si>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</si>
  <si>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</si>
  <si>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</si>
  <si>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</si>
  <si>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</si>
  <si>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</si>
  <si>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</si>
  <si>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</si>
  <si>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</si>
  <si>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</si>
  <si>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</si>
  <si>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</si>
  <si>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</si>
  <si>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</si>
  <si>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</si>
  <si>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</si>
  <si>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</si>
  <si>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</si>
  <si>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</si>
  <si>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</si>
  <si>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</si>
  <si>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</si>
  <si>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</si>
  <si>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</si>
  <si>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</si>
  <si>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</si>
  <si>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</si>
  <si>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</si>
  <si>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</si>
  <si>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</si>
  <si>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</si>
  <si>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</si>
  <si>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</si>
  <si>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</si>
  <si>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</si>
  <si>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</si>
  <si>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</si>
  <si>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</si>
  <si>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</si>
  <si>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</si>
  <si>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</si>
  <si>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</si>
  <si>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</si>
  <si>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</si>
  <si>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</si>
  <si>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</si>
  <si>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</si>
  <si>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</si>
  <si>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</si>
  <si>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</si>
  <si>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</si>
  <si>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</si>
  <si>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</si>
  <si>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</si>
  <si>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</si>
  <si>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</si>
  <si>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</si>
  <si>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</si>
  <si>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</si>
  <si>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</si>
  <si>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</si>
  <si>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</si>
  <si>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</si>
  <si>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</si>
  <si>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</si>
  <si>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</si>
  <si>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</si>
  <si>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</si>
  <si>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</si>
  <si>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</si>
  <si>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</si>
  <si>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</si>
  <si>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</si>
  <si>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</si>
  <si>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</si>
  <si>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</si>
  <si>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</si>
  <si>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</si>
  <si>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</si>
  <si>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</si>
  <si>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</si>
  <si>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</si>
  <si>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</si>
  <si>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</si>
  <si>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</si>
  <si>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</si>
  <si>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</si>
  <si>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</si>
  <si>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</si>
  <si>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</si>
  <si>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</si>
  <si>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</si>
  <si>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</si>
  <si>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</si>
  <si>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</si>
  <si>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</si>
  <si>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</si>
  <si>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</si>
  <si>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</si>
  <si>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</si>
  <si>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</si>
  <si>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</si>
  <si>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</si>
  <si>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</si>
  <si>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</si>
  <si>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</si>
  <si>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</si>
  <si>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</si>
  <si>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</si>
  <si>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</si>
  <si>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</si>
  <si>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</si>
  <si>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</si>
  <si>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</si>
  <si>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</si>
  <si>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</si>
  <si>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</si>
  <si>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</si>
  <si>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</si>
  <si>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</si>
  <si>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</si>
  <si>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</si>
  <si>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</si>
  <si>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</si>
  <si>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</si>
  <si>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</si>
  <si>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</si>
  <si>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</si>
  <si>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</si>
  <si>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</si>
  <si>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</si>
  <si>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</si>
  <si>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</si>
  <si>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</si>
  <si>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</si>
  <si>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</si>
  <si>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</si>
  <si>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</si>
  <si>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</si>
  <si>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</si>
  <si>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</si>
  <si>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</si>
  <si>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</si>
  <si>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</si>
  <si>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</si>
  <si>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</si>
  <si>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</si>
  <si>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</si>
  <si>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</si>
  <si>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</si>
  <si>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</si>
  <si>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</si>
  <si>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</si>
  <si>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</si>
  <si>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</si>
  <si>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</si>
  <si>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</si>
  <si>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</si>
  <si>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</si>
  <si>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</si>
  <si>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</si>
  <si>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</si>
  <si>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</si>
  <si>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</si>
  <si>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</si>
  <si>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</si>
  <si>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</si>
  <si>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</si>
  <si>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</si>
  <si>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</si>
  <si>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</si>
  <si>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</si>
  <si>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</si>
  <si>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</si>
  <si>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</si>
  <si>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</si>
  <si>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</si>
  <si>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</si>
  <si>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</si>
  <si>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</si>
  <si>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</si>
  <si>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</si>
  <si>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</si>
  <si>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</si>
  <si>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</si>
  <si>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</si>
  <si>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</si>
  <si>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</si>
  <si>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</si>
  <si>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</si>
  <si>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</si>
  <si>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</si>
  <si>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</si>
  <si>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</si>
  <si>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</si>
  <si>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</si>
  <si>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</si>
  <si>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</si>
  <si>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</si>
  <si>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</si>
  <si>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</si>
  <si>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</si>
  <si>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</si>
  <si>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</si>
  <si>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</si>
  <si>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</si>
  <si>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</si>
  <si>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</si>
  <si>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</si>
  <si>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</si>
  <si>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</si>
  <si>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</si>
  <si>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</si>
  <si>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</si>
  <si>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</si>
  <si>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</si>
  <si>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</si>
  <si>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</si>
  <si>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</si>
  <si>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</si>
  <si>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</si>
  <si>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</si>
  <si>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</si>
  <si>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</si>
  <si>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</si>
  <si>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</si>
  <si>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</si>
  <si>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</si>
  <si>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</si>
  <si>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</si>
  <si>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</si>
  <si>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</si>
  <si>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</si>
  <si>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</si>
  <si>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</si>
  <si>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</si>
  <si>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</si>
  <si>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</si>
  <si>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</si>
  <si>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</si>
  <si>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</si>
  <si>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</si>
  <si>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</si>
  <si>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</si>
  <si>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</si>
  <si>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</si>
  <si>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</si>
  <si>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</si>
  <si>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</si>
  <si>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</si>
  <si>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</si>
  <si>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</si>
  <si>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</si>
  <si>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</si>
  <si>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</si>
  <si>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</si>
  <si>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</si>
  <si>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</si>
  <si>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</si>
  <si>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</si>
  <si>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</si>
  <si>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</si>
  <si>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</si>
  <si>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</si>
  <si>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</si>
  <si>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</si>
  <si>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</si>
  <si>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</si>
  <si>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</si>
  <si>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</si>
  <si>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</si>
  <si>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</si>
  <si>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</si>
  <si>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</si>
  <si>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</si>
  <si>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</si>
  <si>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</si>
  <si>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</si>
  <si>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</si>
  <si>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</si>
  <si>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</si>
  <si>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</si>
  <si>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</si>
  <si>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</si>
  <si>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</si>
  <si>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</si>
  <si>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</si>
  <si>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</si>
  <si>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</si>
  <si>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</si>
  <si>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</si>
  <si>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</si>
  <si>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</si>
  <si>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</si>
  <si>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</si>
  <si>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</si>
  <si>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</si>
  <si>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</si>
  <si>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</si>
  <si>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</si>
  <si>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</si>
  <si>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</si>
  <si>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</si>
  <si>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</si>
  <si>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</si>
  <si>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</si>
  <si>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</si>
  <si>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</si>
  <si>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</si>
  <si>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</si>
  <si>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</si>
  <si>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</si>
  <si>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</si>
  <si>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</si>
  <si>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</si>
  <si>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</si>
  <si>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</si>
  <si>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</si>
  <si>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</si>
  <si>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</si>
  <si>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</si>
  <si>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</si>
  <si>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</si>
  <si>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</si>
  <si>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</si>
  <si>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</si>
  <si>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</si>
  <si>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</si>
  <si>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</si>
  <si>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</si>
  <si>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</si>
  <si>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</si>
  <si>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</si>
  <si>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</si>
  <si>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</si>
  <si>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</si>
  <si>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</si>
  <si>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</si>
  <si>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</si>
  <si>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</si>
  <si>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</si>
  <si>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</si>
  <si>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</si>
  <si>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</si>
  <si>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</si>
  <si>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</si>
  <si>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</si>
  <si>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</si>
  <si>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</si>
  <si>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</si>
  <si>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</si>
  <si>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</si>
  <si>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</si>
  <si>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</si>
  <si>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</si>
  <si>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</si>
  <si>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</si>
  <si>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</si>
  <si>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</si>
  <si>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</si>
  <si>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</si>
  <si>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</si>
  <si>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</si>
  <si>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</si>
  <si>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</si>
  <si>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</si>
  <si>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</si>
  <si>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</si>
  <si>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</si>
  <si>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</si>
  <si>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</si>
  <si>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</si>
  <si>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</si>
  <si>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</si>
  <si>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</si>
  <si>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</si>
  <si>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</si>
  <si>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</si>
  <si>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</si>
  <si>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</si>
  <si>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</si>
  <si>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</si>
  <si>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</si>
  <si>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</si>
  <si>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</si>
  <si>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</si>
  <si>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</si>
  <si>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</si>
  <si>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</si>
  <si>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</si>
  <si>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</si>
  <si>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</si>
  <si>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</si>
  <si>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</si>
  <si>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</si>
  <si>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</si>
  <si>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</si>
  <si>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</si>
  <si>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</si>
  <si>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</si>
  <si>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</si>
  <si>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</si>
  <si>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</si>
  <si>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</si>
  <si>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</si>
  <si>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</si>
  <si>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</si>
  <si>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</si>
  <si>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</si>
  <si>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</si>
  <si>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</si>
  <si>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</si>
  <si>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</si>
  <si>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</si>
  <si>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</si>
  <si>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</si>
  <si>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</si>
  <si>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</si>
  <si>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</si>
  <si>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</si>
  <si>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</si>
  <si>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</si>
  <si>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</si>
  <si>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</si>
  <si>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</si>
  <si>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</si>
  <si>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</si>
  <si>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</si>
  <si>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</si>
  <si>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</si>
  <si>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</si>
  <si>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</si>
  <si>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</si>
  <si>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</si>
  <si>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</si>
  <si>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</si>
  <si>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</si>
  <si>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</si>
  <si>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</si>
  <si>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</si>
  <si>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</si>
  <si>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</si>
  <si>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</si>
  <si>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</si>
  <si>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</si>
  <si>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</si>
  <si>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</si>
  <si>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</si>
  <si>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</si>
  <si>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</si>
  <si>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</si>
  <si>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</si>
  <si>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</si>
  <si>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</si>
  <si>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</si>
  <si>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</si>
  <si>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</si>
  <si>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</si>
  <si>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</si>
  <si>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</si>
  <si>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</si>
  <si>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</si>
  <si>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</si>
  <si>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</si>
  <si>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</si>
  <si>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</si>
  <si>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</si>
  <si>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</si>
  <si>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</si>
  <si>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</si>
  <si>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</si>
  <si>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</si>
  <si>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</si>
  <si>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</si>
  <si>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</si>
  <si>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</si>
  <si>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</si>
  <si>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</si>
  <si>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</si>
  <si>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</si>
  <si>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</si>
  <si>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</si>
  <si>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</si>
  <si>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</si>
  <si>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</si>
  <si>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</si>
  <si>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</si>
  <si>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</si>
  <si>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</si>
  <si>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</si>
  <si>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</si>
  <si>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</si>
  <si>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</si>
  <si>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</si>
  <si>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</si>
  <si>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</si>
  <si>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</si>
  <si>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</si>
  <si>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</si>
  <si>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</si>
  <si>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</si>
  <si>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</si>
  <si>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</si>
  <si>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</si>
  <si>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</si>
  <si>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</si>
  <si>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</si>
  <si>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</si>
  <si>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</si>
  <si>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</si>
  <si>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</si>
  <si>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</si>
  <si>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</si>
  <si>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</si>
  <si>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</si>
  <si>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</si>
  <si>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</si>
  <si>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</si>
  <si>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</si>
  <si>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</si>
  <si>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</si>
  <si>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</si>
  <si>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</si>
  <si>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</si>
  <si>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</si>
  <si>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</si>
  <si>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</si>
  <si>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</si>
  <si>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</si>
  <si>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</si>
  <si>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</si>
  <si>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</si>
  <si>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</si>
  <si>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</si>
  <si>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</si>
  <si>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</si>
  <si>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</si>
  <si>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</si>
  <si>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</si>
  <si>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</si>
  <si>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</si>
  <si>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</si>
  <si>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</si>
  <si>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</si>
  <si>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</si>
  <si>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</si>
  <si>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</si>
  <si>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</si>
  <si>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</si>
  <si>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</si>
  <si>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</si>
  <si>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</si>
  <si>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</si>
  <si>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</si>
  <si>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</si>
  <si>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</si>
  <si>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</si>
  <si>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</si>
  <si>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</si>
  <si>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</si>
  <si>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</si>
  <si>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</si>
  <si>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</si>
  <si>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</si>
  <si>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</si>
  <si>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</si>
  <si>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</si>
  <si>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</si>
  <si>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</si>
  <si>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</si>
  <si>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Accum OCI/partially ofsetting unfunded SERP liability</t>
  </si>
  <si>
    <t>.</t>
  </si>
  <si>
    <t>&lt;--fixed</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</si>
  <si>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</si>
  <si>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</si>
  <si>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</si>
  <si>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</si>
  <si>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</si>
  <si>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</si>
  <si>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</si>
  <si>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Avian</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</si>
  <si>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</si>
  <si>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</si>
  <si>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</si>
  <si>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</si>
  <si>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</si>
  <si>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</si>
  <si>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</si>
  <si>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</si>
  <si>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</si>
  <si>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</si>
  <si>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</si>
  <si>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</si>
  <si>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</si>
  <si>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</si>
  <si>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</si>
  <si>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</si>
  <si>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</si>
  <si>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</si>
  <si>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</si>
  <si>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</si>
  <si>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</si>
  <si>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</si>
  <si>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</si>
  <si>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</si>
  <si>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</si>
  <si>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</si>
  <si>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</si>
  <si>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</si>
  <si>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</si>
  <si>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</si>
  <si>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</si>
  <si>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</si>
  <si>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</si>
  <si>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</si>
  <si>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</si>
  <si>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</si>
  <si>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</si>
  <si>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</si>
  <si>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</si>
  <si>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</si>
  <si>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</si>
  <si>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</si>
  <si>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</si>
  <si>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</si>
  <si>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</si>
  <si>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</si>
  <si>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</si>
  <si>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</si>
  <si>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</si>
  <si>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</si>
  <si>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</si>
  <si>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</si>
  <si>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</si>
  <si>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</si>
  <si>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</si>
  <si>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</si>
  <si>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</si>
  <si>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</si>
  <si>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</si>
  <si>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</si>
  <si>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</si>
  <si>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</si>
  <si>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</si>
  <si>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</si>
  <si>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</si>
  <si>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</si>
  <si>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</si>
  <si>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</si>
  <si>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</si>
  <si>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</si>
  <si>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</si>
  <si>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</si>
  <si>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</si>
  <si>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</si>
  <si>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</si>
  <si>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</si>
  <si>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</si>
  <si>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</si>
  <si>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</si>
  <si>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</si>
  <si>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</si>
  <si>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</si>
  <si>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</si>
  <si>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</si>
  <si>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</si>
  <si>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</si>
  <si>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</si>
  <si>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</si>
  <si>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</si>
  <si>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</si>
  <si>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</si>
  <si>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</si>
  <si>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</si>
  <si>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</si>
  <si>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</si>
  <si>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</si>
  <si>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</si>
  <si>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</si>
  <si>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</si>
  <si>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</si>
  <si>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</si>
  <si>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</si>
  <si>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</si>
  <si>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</si>
  <si>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</si>
  <si>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</si>
  <si>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</si>
  <si>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</si>
  <si>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</si>
  <si>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</si>
  <si>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</si>
  <si>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</si>
  <si>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</si>
  <si>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</si>
  <si>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</si>
  <si>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</si>
  <si>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</si>
  <si>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</si>
  <si>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</si>
  <si>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</si>
  <si>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</si>
  <si>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</si>
  <si>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</si>
  <si>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</si>
  <si>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</si>
  <si>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</si>
  <si>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</si>
  <si>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</si>
  <si>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</si>
  <si>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</si>
  <si>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</si>
  <si>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</si>
  <si>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</si>
  <si>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</si>
  <si>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</si>
  <si>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</si>
  <si>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</si>
  <si>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</si>
  <si>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</si>
  <si>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</si>
  <si>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</si>
  <si>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</si>
  <si>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</si>
  <si>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</si>
  <si>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</si>
  <si>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</si>
  <si>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</si>
  <si>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</si>
  <si>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</si>
  <si>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</si>
  <si>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</si>
  <si>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</si>
  <si>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</si>
  <si>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</si>
  <si>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</si>
  <si>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</si>
  <si>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</si>
  <si>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</si>
  <si>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</si>
  <si>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</si>
  <si>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</si>
  <si>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</si>
  <si>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</si>
  <si>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</si>
  <si>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</si>
  <si>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</si>
  <si>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</si>
  <si>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</si>
  <si>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</si>
  <si>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</si>
  <si>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</si>
  <si>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</si>
  <si>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</si>
  <si>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</si>
  <si>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</si>
  <si>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</si>
  <si>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</si>
  <si>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</si>
  <si>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</si>
  <si>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</si>
  <si>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</si>
  <si>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</si>
  <si>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</si>
  <si>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</si>
  <si>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</si>
  <si>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</si>
  <si>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</si>
  <si>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</si>
  <si>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</si>
  <si>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</si>
  <si>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</si>
  <si>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</si>
  <si>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</si>
  <si>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</si>
  <si>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</si>
  <si>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</si>
  <si>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</si>
  <si>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</si>
  <si>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</si>
  <si>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</si>
  <si>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</si>
  <si>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</si>
  <si>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</si>
  <si>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</si>
  <si>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</si>
  <si>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</si>
  <si>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</si>
  <si>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</si>
  <si>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</si>
  <si>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</si>
  <si>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</si>
  <si>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</si>
  <si>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</si>
  <si>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</si>
  <si>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</si>
  <si>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</si>
  <si>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</si>
  <si>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</si>
  <si>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</si>
  <si>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</si>
  <si>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</si>
  <si>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</si>
  <si>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</si>
  <si>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</si>
  <si>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</si>
  <si>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</si>
  <si>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</si>
  <si>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</si>
  <si>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</si>
  <si>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</si>
  <si>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</si>
  <si>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</si>
  <si>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</si>
  <si>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</si>
  <si>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</si>
  <si>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</si>
  <si>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</si>
  <si>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</si>
  <si>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</si>
  <si>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</si>
  <si>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</si>
  <si>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</si>
  <si>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</si>
  <si>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</si>
  <si>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</si>
  <si>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</si>
  <si>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</si>
  <si>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</si>
  <si>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</si>
  <si>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</si>
  <si>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</si>
  <si>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</si>
  <si>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</si>
  <si>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</si>
  <si>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</si>
  <si>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</si>
  <si>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</si>
  <si>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</si>
  <si>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</si>
  <si>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</si>
  <si>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</si>
  <si>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</si>
  <si>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</si>
  <si>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</si>
  <si>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</si>
  <si>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</si>
  <si>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</si>
  <si>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</si>
  <si>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</si>
  <si>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</si>
  <si>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</si>
  <si>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</si>
  <si>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</si>
  <si>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</si>
  <si>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</si>
  <si>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</si>
  <si>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</si>
  <si>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</si>
  <si>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</si>
  <si>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</si>
  <si>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</si>
  <si>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</si>
  <si>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</si>
  <si>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</si>
  <si>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</si>
  <si>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</si>
  <si>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</si>
  <si>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</si>
  <si>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</si>
  <si>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</si>
  <si>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</si>
  <si>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</si>
  <si>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</si>
  <si>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</si>
  <si>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</si>
  <si>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</si>
  <si>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</si>
  <si>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</si>
  <si>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</si>
  <si>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</si>
  <si>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</si>
  <si>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</si>
  <si>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</si>
  <si>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</si>
  <si>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</si>
  <si>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</si>
  <si>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</si>
  <si>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</si>
  <si>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</si>
  <si>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</si>
  <si>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</si>
  <si>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</si>
  <si>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</si>
  <si>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</si>
  <si>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</si>
  <si>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</si>
  <si>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</si>
  <si>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</si>
  <si>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</si>
  <si>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</si>
  <si>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</si>
  <si>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</si>
  <si>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SA 751</t>
  </si>
  <si>
    <t>SA 568</t>
  </si>
  <si>
    <t>Noble Americas</t>
  </si>
  <si>
    <t>Attachment 1 - Accumulated Deferred Income Taxes (ADIT) Worksheet</t>
  </si>
  <si>
    <t xml:space="preserve">2013 data in Settlement model </t>
  </si>
  <si>
    <t>A/Amort-Hydr-Klamath</t>
  </si>
  <si>
    <t>Prepaid CA GHG Cap &amp; Trade Allowances Wholesal</t>
  </si>
  <si>
    <t>Prepaid Lake Side CUWCD Water Fee</t>
  </si>
  <si>
    <t>CA GHG Retail Obligation</t>
  </si>
  <si>
    <t>CA GHG Wholesale Obligation</t>
  </si>
  <si>
    <t>EWEB Reserve</t>
  </si>
  <si>
    <t>2009-2014 Plant Additions including Unclassified Plant and Dec 2010 transfer of Goshen Cap Bank from 102 to 101</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</si>
  <si>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</si>
  <si>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</si>
  <si>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</si>
  <si>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</si>
  <si>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</si>
  <si>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</si>
  <si>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</si>
  <si>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</si>
  <si>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Thermo No. 1</t>
  </si>
  <si>
    <t xml:space="preserve">NextEra: </t>
  </si>
  <si>
    <t>SA 733</t>
  </si>
  <si>
    <t>SA 765</t>
  </si>
  <si>
    <t>SA 700</t>
  </si>
  <si>
    <t>SA 701</t>
  </si>
  <si>
    <t>SA 702</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</si>
  <si>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</si>
  <si>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</si>
  <si>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</si>
  <si>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</si>
  <si>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</si>
  <si>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</si>
  <si>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</si>
  <si>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</si>
  <si>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</si>
  <si>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</si>
  <si>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</si>
  <si>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</si>
  <si>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</si>
  <si>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</si>
  <si>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</si>
  <si>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</si>
  <si>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</si>
  <si>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</si>
  <si>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</si>
  <si>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</si>
  <si>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</si>
  <si>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</si>
  <si>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</si>
  <si>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</si>
  <si>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</si>
  <si>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</si>
  <si>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</si>
  <si>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</si>
  <si>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</si>
  <si>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</si>
  <si>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</si>
  <si>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</si>
  <si>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</si>
  <si>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</si>
  <si>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</si>
  <si>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</si>
  <si>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</si>
  <si>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</si>
  <si>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</si>
  <si>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</si>
  <si>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</si>
  <si>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</si>
  <si>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</si>
  <si>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</si>
  <si>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</si>
  <si>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</si>
  <si>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</si>
  <si>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</si>
  <si>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</si>
  <si>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</si>
  <si>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</si>
  <si>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</si>
  <si>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</si>
  <si>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</si>
  <si>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</si>
  <si>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</si>
  <si>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</si>
  <si>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</si>
  <si>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</si>
  <si>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</si>
  <si>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</si>
  <si>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</si>
  <si>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</si>
  <si>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</si>
  <si>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</si>
  <si>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</si>
  <si>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 xml:space="preserve"> Regulatory asset accrued for prepaid water rights and water fees.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</si>
  <si>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</si>
  <si>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</si>
  <si>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</si>
  <si>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</si>
  <si>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</si>
  <si>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</si>
  <si>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</si>
  <si>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</si>
  <si>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</si>
  <si>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</si>
  <si>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</si>
  <si>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</si>
  <si>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</si>
  <si>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</si>
  <si>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</si>
  <si>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</si>
  <si>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</si>
  <si>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</si>
  <si>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</si>
  <si>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</si>
  <si>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</si>
  <si>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</si>
  <si>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</si>
  <si>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</si>
  <si>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</si>
  <si>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</si>
  <si>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</si>
  <si>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</si>
  <si>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</si>
  <si>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</si>
  <si>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</si>
  <si>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</si>
  <si>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</si>
  <si>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</si>
  <si>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</si>
  <si>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</si>
  <si>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</si>
  <si>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</si>
  <si>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</si>
  <si>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</si>
  <si>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</si>
  <si>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</si>
  <si>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='ATT 5 - Cost Support'!$i$199</t>
  </si>
  <si>
    <t>Fixed settlement value and a product of PacifiCorp underbuild attachments to transmission poles or towers of 46,314 multiplied by $12.00 per pole.</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</si>
  <si>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</si>
  <si>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</si>
  <si>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Interconnection Customer Interconnection Facilities (ICIFs).</t>
  </si>
  <si>
    <t>&lt;--billing demand from FF1 p328 values</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</si>
  <si>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</si>
  <si>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</si>
  <si>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</si>
  <si>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</si>
  <si>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</si>
  <si>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</si>
  <si>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</si>
  <si>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</si>
  <si>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</si>
  <si>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</si>
  <si>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</si>
  <si>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</si>
  <si>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</si>
  <si>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2014 Projection (as-filed)</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</si>
  <si>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</si>
  <si>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</si>
  <si>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</si>
  <si>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</si>
  <si>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BPA Clark PUD</t>
  </si>
  <si>
    <t>SA 735</t>
  </si>
  <si>
    <t>2015 Projection (as-filed)</t>
  </si>
  <si>
    <t xml:space="preserve">2014 data in Settlement model </t>
  </si>
  <si>
    <t>Applied Depreciation Rates by State - 2015</t>
  </si>
  <si>
    <t>Intangible and Leasehold Improvements (rows 25 through 27) are composite rates based on the 13 month average balance divided into the 2015 amortization expense for each account.</t>
  </si>
  <si>
    <r>
      <t xml:space="preserve"> &lt;--</t>
    </r>
    <r>
      <rPr>
        <sz val="10"/>
        <color rgb="FF0000FF"/>
        <rFont val="Arial"/>
        <family val="2"/>
      </rPr>
      <t xml:space="preserve"> Matches 2015 FERC Form No. 1, page 200.21c </t>
    </r>
  </si>
  <si>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</si>
  <si>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</si>
  <si>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2015 Expense</t>
  </si>
  <si>
    <t>Total expense is negative for 2015.</t>
  </si>
  <si>
    <t>The decrease in expense in 2015 as compared to</t>
  </si>
  <si>
    <t>2014 is primarily due to changes in actuarial</t>
  </si>
  <si>
    <t>Prepayments Detail - 2015</t>
  </si>
  <si>
    <t>545500 / 148000</t>
  </si>
  <si>
    <t>566 / 589</t>
  </si>
  <si>
    <t>Lidar (Wood Hollow)</t>
  </si>
  <si>
    <t>Idaho Unreserved Use Penalties</t>
  </si>
  <si>
    <t>ST Cotter - Gadsby Turbine</t>
  </si>
  <si>
    <t>Lake Side Turbine Settlement - Siemens</t>
  </si>
  <si>
    <t>Chehalis Water Rights - City of Chehalis</t>
  </si>
  <si>
    <t>Employment Claims</t>
  </si>
  <si>
    <t>Cline Falls - Central Oregon Irrigation District</t>
  </si>
  <si>
    <t>BPA Short Distance Discount (SDD)</t>
  </si>
  <si>
    <t>Idaho Power Physical Loss (Bridger) - Reserve for Dispute</t>
  </si>
  <si>
    <t>Deseret Physical Loss - Reserve for Dispute</t>
  </si>
  <si>
    <t>BPA - Swift PTP SDD</t>
  </si>
  <si>
    <t>Accum Provision for Rate Refunds</t>
  </si>
  <si>
    <t xml:space="preserve">Trapper Mine Reclamation Obligation </t>
  </si>
  <si>
    <t>Accrued Right-of-Way Obligation</t>
  </si>
  <si>
    <t>Injuries &amp; Damages Reserve Risk (Insurance Recovery Rec)</t>
  </si>
  <si>
    <t>Estimate by PacTrans</t>
  </si>
  <si>
    <t>Estimate based upon 54¢ per ton of coal produced</t>
  </si>
  <si>
    <t>Estimate by RMP Finance</t>
  </si>
  <si>
    <t>Inventory Reserve - RMP (T&amp;D)</t>
  </si>
  <si>
    <t>Inventory Reserve - PP (T&amp;D)</t>
  </si>
  <si>
    <t>Safety Awards Payable</t>
  </si>
  <si>
    <t>Calc by RMP Finance</t>
  </si>
  <si>
    <t>Calc by PP Finance</t>
  </si>
  <si>
    <t>&lt;--2015 value (FERC 408.1)</t>
  </si>
  <si>
    <t>Nevada Commerce Tax</t>
  </si>
  <si>
    <t>232.29e</t>
  </si>
  <si>
    <t>232.30e</t>
  </si>
  <si>
    <t>Northwest Energy Efficiency Council</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</si>
  <si>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</si>
  <si>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</si>
  <si>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</si>
  <si>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</si>
  <si>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</si>
  <si>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</si>
  <si>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</si>
  <si>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</si>
  <si>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</si>
  <si>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</si>
  <si>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</si>
  <si>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</si>
  <si>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</si>
  <si>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</si>
  <si>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</si>
  <si>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</si>
  <si>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</si>
  <si>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</si>
  <si>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</si>
  <si>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</si>
  <si>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</si>
  <si>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</si>
  <si>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</si>
  <si>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</si>
  <si>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</si>
  <si>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</si>
  <si>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</si>
  <si>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</si>
  <si>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</si>
  <si>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</si>
  <si>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</si>
  <si>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</si>
  <si>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</si>
  <si>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</si>
  <si>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</si>
  <si>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</si>
  <si>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</si>
  <si>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</si>
  <si>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</si>
  <si>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</si>
  <si>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</si>
  <si>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</si>
  <si>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</si>
  <si>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</si>
  <si>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</si>
  <si>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</si>
  <si>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</si>
  <si>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</si>
  <si>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</si>
  <si>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</si>
  <si>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</si>
  <si>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</si>
  <si>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</si>
  <si>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</si>
  <si>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</si>
  <si>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</si>
  <si>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</si>
  <si>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</si>
  <si>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</si>
  <si>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</si>
  <si>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</si>
  <si>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</si>
  <si>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</si>
  <si>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</si>
  <si>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</si>
  <si>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</si>
  <si>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</si>
  <si>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</si>
  <si>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</si>
  <si>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</si>
  <si>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</si>
  <si>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</si>
  <si>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</si>
  <si>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</si>
  <si>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</si>
  <si>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</si>
  <si>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</si>
  <si>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</si>
  <si>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</si>
  <si>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</si>
  <si>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</si>
  <si>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</si>
  <si>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</si>
  <si>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</si>
  <si>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</si>
  <si>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</si>
  <si>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</si>
  <si>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</si>
  <si>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</si>
  <si>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</si>
  <si>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</si>
  <si>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</si>
  <si>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</si>
  <si>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</si>
  <si>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</si>
  <si>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</si>
  <si>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</si>
  <si>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</si>
  <si>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</si>
  <si>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</si>
  <si>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</si>
  <si>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</si>
  <si>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</si>
  <si>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</si>
  <si>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</si>
  <si>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</si>
  <si>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</si>
  <si>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</si>
  <si>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</si>
  <si>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</si>
  <si>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</si>
  <si>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</si>
  <si>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 xml:space="preserve">Book-tax difference basis difference for costs incurred to maintain normal mine production in view of the recession of the working face of the mine.  For book purposes, these costs are capitalized.  For income tax purposes the costs are deductible in the period paid or incurred.
</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</si>
  <si>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</si>
  <si>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</si>
  <si>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</si>
  <si>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</si>
  <si>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</si>
  <si>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</si>
  <si>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</si>
  <si>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Regulatory asset established to reclass noncurrent portion of OR asset sale gain giveback</t>
  </si>
  <si>
    <t>Regulatory asset established to capture the current portion of the difference between renewable energy credits (RECs) included in rates and actual RECs for the Washington jurisdiction.</t>
  </si>
  <si>
    <t xml:space="preserve">Regulatory asset accrued for prepaid surety bond costs (e.g., supersedes bond obligations) that will be amortized ratably over the period of coverage. </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</si>
  <si>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</si>
  <si>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</si>
  <si>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</si>
  <si>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</si>
  <si>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</si>
  <si>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1 - ADIT'!$E$160</t>
  </si>
  <si>
    <t>='Att 1a - ADIT'!$E$196</t>
  </si>
  <si>
    <t>='Att 1 - ADIT'!$E$186</t>
  </si>
  <si>
    <t>='Att 1 - ADIT'!$E$257</t>
  </si>
  <si>
    <t>='Att 1 - ADIT'!$E$400</t>
  </si>
  <si>
    <t>='ATT 5 - Cost Support'!$H$245</t>
  </si>
  <si>
    <t>='ATT 5 - Cost Support'!$H$248</t>
  </si>
  <si>
    <t>='ATT 5 - Cost Support'!$H$253</t>
  </si>
  <si>
    <t>='ATT 5 - Cost Support'!$H$242</t>
  </si>
  <si>
    <t>='ATT 5 - Cost Support'!$H$288</t>
  </si>
  <si>
    <t>='ATT 5 - Cost Support'!$H$289</t>
  </si>
  <si>
    <t>='ATT 5 - Cost Support'!$H$279</t>
  </si>
  <si>
    <t>='ATT 5 - Cost Support'!$H$278</t>
  </si>
  <si>
    <t>='ATT 5 - Cost Support'!$H$283</t>
  </si>
  <si>
    <t>='ATT 5 - Cost Support'!$H$284</t>
  </si>
  <si>
    <t>Fiber Optic Leases</t>
  </si>
  <si>
    <t>&lt;-- 2015</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</si>
  <si>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</si>
  <si>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</si>
  <si>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</si>
  <si>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</si>
  <si>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</si>
  <si>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</si>
  <si>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</si>
  <si>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</si>
  <si>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</si>
  <si>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</si>
  <si>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Comapby Records: FERC 345 capital assets details</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</si>
  <si>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</si>
  <si>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</si>
  <si>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</si>
  <si>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</si>
  <si>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</si>
  <si>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Exelon/ Constellation</t>
  </si>
  <si>
    <t>SA 370</t>
  </si>
  <si>
    <t>SA 789</t>
  </si>
  <si>
    <t>g9</t>
  </si>
  <si>
    <t>g20</t>
  </si>
  <si>
    <t>BPA</t>
  </si>
  <si>
    <t>State of SD</t>
  </si>
  <si>
    <t>Enel Cove Fort LLC (Salt River Project)</t>
  </si>
  <si>
    <t>Enel Cove Fort LLC</t>
  </si>
  <si>
    <t>Eugene Water &amp; Electric Board</t>
  </si>
  <si>
    <t>(see note)</t>
  </si>
  <si>
    <t>&lt;-- Contractual value of zero (included in PacifiCorp Energy amount)</t>
  </si>
  <si>
    <t>2016 projection</t>
  </si>
  <si>
    <r>
      <t xml:space="preserve">Gateway plant-in-service detail </t>
    </r>
    <r>
      <rPr>
        <sz val="10"/>
        <rFont val="Arial"/>
        <family val="2"/>
      </rPr>
      <t xml:space="preserve">(2016 projection) </t>
    </r>
  </si>
  <si>
    <t>g21</t>
  </si>
  <si>
    <t>Salt River Project</t>
  </si>
  <si>
    <t>SA 775/780</t>
  </si>
  <si>
    <t>SA 779</t>
  </si>
  <si>
    <t>SA 809</t>
  </si>
  <si>
    <t>SA 426</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</si>
  <si>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</si>
  <si>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</si>
  <si>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</si>
  <si>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</si>
  <si>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</si>
  <si>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</si>
  <si>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</si>
  <si>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</si>
  <si>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</si>
  <si>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</si>
  <si>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</si>
  <si>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</si>
  <si>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</si>
  <si>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</si>
  <si>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</si>
  <si>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</si>
  <si>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</si>
  <si>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</si>
  <si>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</si>
  <si>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</si>
  <si>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</si>
  <si>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</si>
  <si>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</si>
  <si>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</si>
  <si>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</si>
  <si>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</si>
  <si>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</si>
  <si>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</si>
  <si>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</si>
  <si>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</si>
  <si>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</si>
  <si>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</si>
  <si>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</si>
  <si>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</si>
  <si>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</si>
  <si>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</si>
  <si>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</si>
  <si>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</si>
  <si>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</si>
  <si>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</si>
  <si>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</si>
  <si>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</si>
  <si>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</si>
  <si>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</si>
  <si>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</si>
  <si>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</si>
  <si>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</si>
  <si>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</si>
  <si>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</si>
  <si>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</si>
  <si>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</si>
  <si>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</si>
  <si>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</si>
  <si>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</si>
  <si>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</si>
  <si>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</si>
  <si>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</si>
  <si>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</si>
  <si>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</si>
  <si>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</si>
  <si>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</si>
  <si>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</si>
  <si>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</si>
  <si>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</si>
  <si>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</si>
  <si>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</si>
  <si>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</si>
  <si>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</si>
  <si>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</si>
  <si>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</si>
  <si>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</si>
  <si>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</si>
  <si>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</si>
  <si>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</si>
  <si>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</si>
  <si>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</si>
  <si>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</si>
  <si>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</si>
  <si>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</si>
  <si>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</si>
  <si>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(At December 31, 2015)</t>
  </si>
  <si>
    <t xml:space="preserve">The total 2015 Industry Dues charged to FERC Account 930.2, Miscellaneous Expenses, and reported in 2015 FERC Form No. 1, page 335, were $1,206,198. Pursuant to PacifiCorp's Settlement of the rate case, the values identified in Attachment 5  are not directly or indirectly related to transmission activities and excluded from the A&amp;G expenses recovered through the transmission rates. </t>
  </si>
  <si>
    <t>&lt;-- This item includes all Interconnection Customer Interconnection Facilities (ICIFs) and EIM assets that should be excluded from the rate base.</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</si>
  <si>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</si>
  <si>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</si>
  <si>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</si>
  <si>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</si>
  <si>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</si>
  <si>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</si>
  <si>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</si>
  <si>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</si>
  <si>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</si>
  <si>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</si>
  <si>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</si>
  <si>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</si>
  <si>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</si>
  <si>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</si>
  <si>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</si>
  <si>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</si>
  <si>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</si>
  <si>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</si>
  <si>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</si>
  <si>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</si>
  <si>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</si>
  <si>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</si>
  <si>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</si>
  <si>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</si>
  <si>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</si>
  <si>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</si>
  <si>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</si>
  <si>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</si>
  <si>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</si>
  <si>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</si>
  <si>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</si>
  <si>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</si>
  <si>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Additional OS Revenue Credit</t>
  </si>
  <si>
    <t xml:space="preserve">n/a </t>
  </si>
  <si>
    <t>Airbreak Switch</t>
  </si>
  <si>
    <t>Breaker</t>
  </si>
  <si>
    <t>Bus</t>
  </si>
  <si>
    <t>Fire Protection</t>
  </si>
  <si>
    <t>Foundation And Substructure</t>
  </si>
  <si>
    <t>Insulator</t>
  </si>
  <si>
    <t>Lightning Arrester</t>
  </si>
  <si>
    <t>Misc</t>
  </si>
  <si>
    <t>Relay And Control</t>
  </si>
  <si>
    <t>Steel Structure</t>
  </si>
  <si>
    <t>Step-Up Transformer</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</si>
  <si>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</si>
  <si>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</si>
  <si>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</si>
  <si>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</si>
  <si>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</si>
  <si>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</si>
  <si>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</si>
  <si>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</si>
  <si>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</si>
  <si>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</si>
  <si>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</si>
  <si>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</si>
  <si>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</si>
  <si>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</si>
  <si>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</si>
  <si>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</si>
  <si>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</si>
  <si>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</si>
  <si>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</si>
  <si>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</si>
  <si>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</si>
  <si>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</si>
  <si>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</si>
  <si>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</si>
  <si>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</si>
  <si>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</si>
  <si>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</si>
  <si>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</si>
  <si>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</si>
  <si>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</si>
  <si>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</si>
  <si>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</si>
  <si>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</si>
  <si>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</si>
  <si>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</si>
  <si>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</si>
  <si>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</si>
  <si>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</si>
  <si>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</si>
  <si>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</si>
  <si>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</si>
  <si>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</si>
  <si>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</si>
  <si>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</si>
  <si>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</si>
  <si>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</si>
  <si>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</si>
  <si>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</si>
  <si>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</si>
  <si>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Common Affiliate - Kern River</t>
  </si>
  <si>
    <t>Rents - non Common</t>
  </si>
  <si>
    <t>Olene KBG LLC</t>
  </si>
  <si>
    <t>SA 706</t>
  </si>
  <si>
    <t>SA 766</t>
  </si>
  <si>
    <t>SA 818</t>
  </si>
  <si>
    <t>&lt;-------</t>
  </si>
  <si>
    <t>='Att 1a - ADIT'!$E$221</t>
  </si>
  <si>
    <t>='Att 1a - ADIT'!$E$296</t>
  </si>
  <si>
    <t>='Att 1a - ADIT'!$E$461</t>
  </si>
  <si>
    <r>
      <t xml:space="preserve">Attachment 9a2 - Load </t>
    </r>
    <r>
      <rPr>
        <sz val="12"/>
        <color theme="1"/>
        <rFont val="Arial"/>
        <family val="2"/>
      </rPr>
      <t>(One Year Prior)</t>
    </r>
  </si>
  <si>
    <r>
      <t xml:space="preserve">Attachment 9a3 - Load </t>
    </r>
    <r>
      <rPr>
        <sz val="12"/>
        <color theme="1"/>
        <rFont val="Arial"/>
        <family val="2"/>
      </rPr>
      <t>(Two Years Prior)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</si>
</sst>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00FFCC"/>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s>
  <cellStyleXfs count="62577">
    <xf numFmtId="0" fontId="0" fillId="0" borderId="0"/>
    <xf numFmtId="43" fontId="3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3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30" fillId="0" borderId="0"/>
    <xf numFmtId="0" fontId="30" fillId="0" borderId="0"/>
    <xf numFmtId="0" fontId="42" fillId="0" borderId="0"/>
    <xf numFmtId="9" fontId="3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75" fillId="0" borderId="1">
      <alignment horizontal="center"/>
    </xf>
    <xf numFmtId="3" fontId="74" fillId="0" borderId="0" applyFont="0" applyFill="0" applyBorder="0" applyAlignment="0" applyProtection="0"/>
    <xf numFmtId="0" fontId="74" fillId="2" borderId="0" applyNumberFormat="0" applyFont="0" applyBorder="0" applyAlignment="0" applyProtection="0"/>
    <xf numFmtId="165" fontId="34" fillId="0" borderId="0"/>
    <xf numFmtId="176" fontId="88" fillId="0" borderId="0">
      <alignment horizontal="center" wrapText="1"/>
    </xf>
    <xf numFmtId="177" fontId="34" fillId="0" borderId="0">
      <protection locked="0"/>
    </xf>
    <xf numFmtId="178" fontId="34" fillId="0" borderId="0">
      <alignment horizontal="center"/>
      <protection locked="0"/>
    </xf>
    <xf numFmtId="0" fontId="30" fillId="0" borderId="0"/>
    <xf numFmtId="165" fontId="35" fillId="0" borderId="0"/>
    <xf numFmtId="0" fontId="29" fillId="0" borderId="0"/>
    <xf numFmtId="0" fontId="28"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30" fillId="8" borderId="35" applyNumberFormat="0" applyProtection="0">
      <alignment horizontal="left" vertical="center" indent="1"/>
    </xf>
    <xf numFmtId="0" fontId="30" fillId="8" borderId="35" applyNumberFormat="0" applyProtection="0">
      <alignment horizontal="left" vertical="center" indent="1"/>
    </xf>
    <xf numFmtId="0" fontId="30" fillId="8" borderId="35" applyNumberFormat="0" applyProtection="0">
      <alignment horizontal="left" vertical="center" indent="1"/>
    </xf>
    <xf numFmtId="4" fontId="80" fillId="9" borderId="35" applyNumberFormat="0" applyProtection="0">
      <alignment horizontal="right" vertical="center"/>
    </xf>
    <xf numFmtId="0" fontId="74" fillId="0" borderId="0"/>
    <xf numFmtId="0" fontId="27" fillId="0" borderId="0"/>
    <xf numFmtId="43" fontId="27" fillId="0" borderId="0" applyFont="0" applyFill="0" applyBorder="0" applyAlignment="0" applyProtection="0"/>
    <xf numFmtId="0" fontId="26" fillId="0" borderId="0"/>
    <xf numFmtId="43" fontId="95" fillId="0" borderId="0" applyFont="0" applyFill="0" applyBorder="0" applyAlignment="0" applyProtection="0"/>
    <xf numFmtId="0" fontId="25" fillId="0" borderId="0"/>
    <xf numFmtId="0" fontId="25" fillId="0" borderId="0"/>
    <xf numFmtId="0" fontId="24" fillId="0" borderId="0"/>
    <xf numFmtId="0" fontId="30" fillId="0" borderId="0"/>
    <xf numFmtId="43" fontId="24" fillId="0" borderId="0" applyFont="0" applyFill="0" applyBorder="0" applyAlignment="0" applyProtection="0"/>
    <xf numFmtId="0" fontId="101" fillId="0" borderId="0"/>
    <xf numFmtId="43" fontId="101" fillId="0" borderId="0" applyNumberFormat="0" applyFill="0" applyBorder="0" applyAlignment="0" applyProtection="0"/>
    <xf numFmtId="9" fontId="30"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1" fillId="0" borderId="0" applyFont="0" applyFill="0" applyBorder="0" applyAlignment="0" applyProtection="0"/>
    <xf numFmtId="43" fontId="20" fillId="0" borderId="0" applyFont="0" applyFill="0" applyBorder="0" applyAlignment="0" applyProtection="0"/>
    <xf numFmtId="0" fontId="30" fillId="0" borderId="0"/>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110" fillId="22" borderId="0" applyNumberFormat="0" applyBorder="0" applyAlignment="0" applyProtection="0"/>
    <xf numFmtId="0" fontId="110" fillId="19" borderId="0" applyNumberFormat="0" applyBorder="0" applyAlignment="0" applyProtection="0"/>
    <xf numFmtId="0" fontId="110" fillId="20"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5" borderId="0" applyNumberFormat="0" applyBorder="0" applyAlignment="0" applyProtection="0"/>
    <xf numFmtId="0" fontId="110" fillId="26" borderId="0" applyNumberFormat="0" applyBorder="0" applyAlignment="0" applyProtection="0"/>
    <xf numFmtId="0" fontId="110" fillId="27" borderId="0" applyNumberFormat="0" applyBorder="0" applyAlignment="0" applyProtection="0"/>
    <xf numFmtId="0" fontId="110" fillId="28"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9" borderId="0" applyNumberFormat="0" applyBorder="0" applyAlignment="0" applyProtection="0"/>
    <xf numFmtId="0" fontId="111" fillId="13" borderId="0" applyNumberFormat="0" applyBorder="0" applyAlignment="0" applyProtection="0"/>
    <xf numFmtId="0" fontId="112" fillId="30" borderId="51" applyNumberFormat="0" applyAlignment="0" applyProtection="0"/>
    <xf numFmtId="0" fontId="113" fillId="31" borderId="52" applyNumberFormat="0" applyAlignment="0" applyProtection="0"/>
    <xf numFmtId="4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NumberForma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95"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30" fillId="32" borderId="0" applyFont="0" applyFill="0" applyBorder="0" applyAlignment="0" applyProtection="0"/>
    <xf numFmtId="44" fontId="30" fillId="0" borderId="0" applyFont="0" applyFill="0" applyBorder="0" applyAlignment="0" applyProtection="0"/>
    <xf numFmtId="44" fontId="114" fillId="0" borderId="0" applyFont="0" applyFill="0" applyBorder="0" applyAlignment="0" applyProtection="0"/>
    <xf numFmtId="44" fontId="3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30" fillId="32" borderId="0" applyFont="0" applyFill="0" applyBorder="0" applyAlignment="0" applyProtection="0"/>
    <xf numFmtId="0" fontId="30" fillId="32" borderId="0" applyFont="0" applyFill="0" applyBorder="0" applyAlignment="0" applyProtection="0"/>
    <xf numFmtId="0" fontId="115" fillId="0" borderId="0" applyNumberFormat="0" applyFill="0" applyBorder="0" applyAlignment="0" applyProtection="0"/>
    <xf numFmtId="2" fontId="30" fillId="32" borderId="0" applyFont="0" applyFill="0" applyBorder="0" applyAlignment="0" applyProtection="0"/>
    <xf numFmtId="0" fontId="116" fillId="14" borderId="0" applyNumberFormat="0" applyBorder="0" applyAlignment="0" applyProtection="0"/>
    <xf numFmtId="0" fontId="117" fillId="0" borderId="53" applyNumberFormat="0" applyFill="0" applyAlignment="0" applyProtection="0"/>
    <xf numFmtId="0" fontId="118" fillId="0" borderId="54" applyNumberFormat="0" applyFill="0" applyAlignment="0" applyProtection="0"/>
    <xf numFmtId="0" fontId="119" fillId="0" borderId="55"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17" borderId="51" applyNumberFormat="0" applyAlignment="0" applyProtection="0"/>
    <xf numFmtId="0" fontId="122" fillId="0" borderId="56" applyNumberFormat="0" applyFill="0" applyAlignment="0" applyProtection="0"/>
    <xf numFmtId="0" fontId="123" fillId="33" borderId="0" applyNumberFormat="0" applyBorder="0" applyAlignment="0" applyProtection="0"/>
    <xf numFmtId="0" fontId="30" fillId="0" borderId="0"/>
    <xf numFmtId="0" fontId="30" fillId="0" borderId="0"/>
    <xf numFmtId="0" fontId="19" fillId="0" borderId="0"/>
    <xf numFmtId="0" fontId="30" fillId="0" borderId="0"/>
    <xf numFmtId="0" fontId="30" fillId="0" borderId="0"/>
    <xf numFmtId="0" fontId="19" fillId="0" borderId="0"/>
    <xf numFmtId="0" fontId="95" fillId="0" borderId="0"/>
    <xf numFmtId="0" fontId="95" fillId="0" borderId="0"/>
    <xf numFmtId="0" fontId="30" fillId="0" borderId="0"/>
    <xf numFmtId="0" fontId="19" fillId="0" borderId="0"/>
    <xf numFmtId="0" fontId="19" fillId="0" borderId="0"/>
    <xf numFmtId="0" fontId="19" fillId="0" borderId="0"/>
    <xf numFmtId="0" fontId="19" fillId="0" borderId="0"/>
    <xf numFmtId="0" fontId="30" fillId="0" borderId="0"/>
    <xf numFmtId="0" fontId="19" fillId="0" borderId="0"/>
    <xf numFmtId="0" fontId="30" fillId="0" borderId="0"/>
    <xf numFmtId="180" fontId="30" fillId="0" borderId="0"/>
    <xf numFmtId="180" fontId="30" fillId="0" borderId="0"/>
    <xf numFmtId="0" fontId="30" fillId="0" borderId="0"/>
    <xf numFmtId="0" fontId="34" fillId="0" borderId="0"/>
    <xf numFmtId="0" fontId="30" fillId="0" borderId="0"/>
    <xf numFmtId="0" fontId="30" fillId="0" borderId="0"/>
    <xf numFmtId="0" fontId="30"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8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125" fillId="0" borderId="0" applyNumberFormat="0" applyFill="0" applyBorder="0" applyAlignment="0" applyProtection="0"/>
    <xf numFmtId="0" fontId="106" fillId="0" borderId="59" applyNumberFormat="0" applyFill="0" applyAlignment="0" applyProtection="0"/>
    <xf numFmtId="0" fontId="126" fillId="0" borderId="0" applyNumberFormat="0" applyFill="0" applyBorder="0" applyAlignment="0" applyProtection="0"/>
    <xf numFmtId="4" fontId="80" fillId="35" borderId="60" applyNumberFormat="0" applyProtection="0">
      <alignment horizontal="left" vertical="center" indent="1"/>
    </xf>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43" fontId="17" fillId="0" borderId="0" applyFont="0" applyFill="0" applyBorder="0" applyAlignment="0" applyProtection="0"/>
    <xf numFmtId="43" fontId="1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 fillId="0" borderId="0" applyFont="0" applyFill="0" applyBorder="0" applyAlignment="0" applyProtection="0"/>
    <xf numFmtId="44" fontId="136" fillId="0" borderId="0" applyFont="0" applyFill="0" applyBorder="0" applyAlignment="0" applyProtection="0"/>
    <xf numFmtId="0" fontId="15" fillId="0" borderId="0"/>
    <xf numFmtId="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30"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0" fillId="35" borderId="75" applyNumberFormat="0" applyProtection="0">
      <alignment horizontal="left" vertical="center" indent="1"/>
    </xf>
    <xf numFmtId="0" fontId="106" fillId="0" borderId="74" applyNumberFormat="0" applyFill="0" applyAlignment="0" applyProtection="0"/>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4" fontId="80" fillId="9" borderId="73" applyNumberFormat="0" applyProtection="0">
      <alignment horizontal="right" vertical="center"/>
    </xf>
    <xf numFmtId="4" fontId="80" fillId="9" borderId="73" applyNumberFormat="0" applyProtection="0">
      <alignment horizontal="right" vertical="center"/>
    </xf>
    <xf numFmtId="4" fontId="80" fillId="9" borderId="73" applyNumberFormat="0" applyProtection="0">
      <alignment horizontal="right" vertical="center"/>
    </xf>
    <xf numFmtId="0" fontId="30" fillId="8" borderId="73" applyNumberFormat="0" applyProtection="0">
      <alignment horizontal="left" vertical="center" indent="1"/>
    </xf>
    <xf numFmtId="0" fontId="30" fillId="8" borderId="73" applyNumberFormat="0" applyProtection="0">
      <alignment horizontal="left" vertical="center" indent="1"/>
    </xf>
    <xf numFmtId="0" fontId="124" fillId="30" borderId="73" applyNumberForma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30"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4" fontId="30" fillId="0" borderId="0" applyFont="0" applyFill="0" applyBorder="0" applyAlignment="0" applyProtection="0"/>
    <xf numFmtId="0" fontId="14" fillId="0" borderId="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75" fillId="0" borderId="76">
      <alignment horizontal="center"/>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0" fillId="35" borderId="75" applyNumberFormat="0" applyProtection="0">
      <alignment horizontal="left" vertical="center" indent="1"/>
    </xf>
    <xf numFmtId="43" fontId="13" fillId="0" borderId="0" applyFont="0" applyFill="0" applyBorder="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2" fillId="30" borderId="8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1" fillId="17" borderId="8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4" fontId="80" fillId="35" borderId="90" applyNumberFormat="0" applyProtection="0">
      <alignment horizontal="left" vertical="center" indent="1"/>
    </xf>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 fontId="80" fillId="35" borderId="94" applyNumberFormat="0" applyProtection="0">
      <alignment horizontal="left" vertical="center" indent="1"/>
    </xf>
    <xf numFmtId="0" fontId="106" fillId="0" borderId="93" applyNumberFormat="0" applyFill="0" applyAlignment="0" applyProtection="0"/>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4" fontId="80" fillId="9" borderId="92" applyNumberFormat="0" applyProtection="0">
      <alignment horizontal="right" vertical="center"/>
    </xf>
    <xf numFmtId="4" fontId="80" fillId="9" borderId="92" applyNumberFormat="0" applyProtection="0">
      <alignment horizontal="right" vertical="center"/>
    </xf>
    <xf numFmtId="4" fontId="80" fillId="9" borderId="92" applyNumberFormat="0" applyProtection="0">
      <alignment horizontal="right" vertical="center"/>
    </xf>
    <xf numFmtId="0" fontId="30" fillId="8" borderId="92" applyNumberFormat="0" applyProtection="0">
      <alignment horizontal="left" vertical="center" indent="1"/>
    </xf>
    <xf numFmtId="0" fontId="30" fillId="8" borderId="92" applyNumberFormat="0" applyProtection="0">
      <alignment horizontal="left" vertical="center" indent="1"/>
    </xf>
    <xf numFmtId="0" fontId="124" fillId="30" borderId="92" applyNumberForma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30"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80" fillId="35" borderId="94" applyNumberFormat="0" applyProtection="0">
      <alignment horizontal="left" vertical="center" indent="1"/>
    </xf>
    <xf numFmtId="43" fontId="12" fillId="0" borderId="0" applyFont="0" applyFill="0" applyBorder="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2" fillId="0" borderId="0"/>
    <xf numFmtId="0" fontId="12" fillId="0" borderId="0"/>
    <xf numFmtId="43" fontId="12" fillId="0" borderId="0" applyFont="0" applyFill="0" applyBorder="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0" fontId="106" fillId="0" borderId="97" applyNumberFormat="0" applyFill="0" applyAlignment="0" applyProtection="0"/>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4" fontId="80" fillId="9" borderId="96" applyNumberFormat="0" applyProtection="0">
      <alignment horizontal="right" vertical="center"/>
    </xf>
    <xf numFmtId="4" fontId="80" fillId="9" borderId="96" applyNumberFormat="0" applyProtection="0">
      <alignment horizontal="right" vertical="center"/>
    </xf>
    <xf numFmtId="4" fontId="80" fillId="9" borderId="96" applyNumberFormat="0" applyProtection="0">
      <alignment horizontal="right" vertical="center"/>
    </xf>
    <xf numFmtId="0" fontId="30" fillId="8" borderId="96" applyNumberFormat="0" applyProtection="0">
      <alignment horizontal="left" vertical="center" indent="1"/>
    </xf>
    <xf numFmtId="0" fontId="30" fillId="8" borderId="96" applyNumberFormat="0" applyProtection="0">
      <alignment horizontal="left" vertical="center" indent="1"/>
    </xf>
    <xf numFmtId="0" fontId="124" fillId="30" borderId="96" applyNumberForma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30"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2" applyNumberFormat="0" applyProtection="0">
      <alignment horizontal="left" vertical="center" indent="1"/>
    </xf>
    <xf numFmtId="0" fontId="30" fillId="8" borderId="112" applyNumberFormat="0" applyProtection="0">
      <alignment horizontal="left" vertical="center" indent="1"/>
    </xf>
    <xf numFmtId="0" fontId="30" fillId="8" borderId="112" applyNumberFormat="0" applyProtection="0">
      <alignment horizontal="left" vertical="center" indent="1"/>
    </xf>
    <xf numFmtId="4" fontId="80" fillId="9" borderId="112"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9" fontId="11" fillId="0" borderId="0" applyFont="0" applyFill="0" applyBorder="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4" fontId="80" fillId="35" borderId="117"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4" fontId="80" fillId="35" borderId="122"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0" fillId="35" borderId="122" applyNumberFormat="0" applyProtection="0">
      <alignment horizontal="left" vertical="center" indent="1"/>
    </xf>
    <xf numFmtId="43" fontId="11" fillId="0" borderId="0" applyFont="0" applyFill="0" applyBorder="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1" fillId="0" borderId="0"/>
    <xf numFmtId="0" fontId="11" fillId="0" borderId="0"/>
    <xf numFmtId="43" fontId="11" fillId="0" borderId="0" applyFont="0" applyFill="0" applyBorder="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30" fillId="49" borderId="133" applyNumberFormat="0" applyProtection="0">
      <alignment horizontal="left" vertical="top" indent="1"/>
    </xf>
    <xf numFmtId="43" fontId="30" fillId="0" borderId="0" applyFont="0" applyFill="0" applyBorder="0" applyAlignment="0" applyProtection="0"/>
    <xf numFmtId="0" fontId="30" fillId="8" borderId="142" applyNumberFormat="0" applyProtection="0">
      <alignment horizontal="left" vertical="center" indent="1"/>
    </xf>
    <xf numFmtId="44" fontId="30" fillId="0" borderId="0" applyFont="0" applyFill="0" applyBorder="0" applyAlignment="0" applyProtection="0"/>
    <xf numFmtId="4" fontId="177" fillId="0" borderId="0" applyNumberFormat="0" applyProtection="0">
      <alignment horizontal="left" vertical="center" indent="1"/>
    </xf>
    <xf numFmtId="9" fontId="30" fillId="0" borderId="0" applyFont="0" applyFill="0" applyBorder="0" applyAlignment="0" applyProtection="0"/>
    <xf numFmtId="41" fontId="30" fillId="0" borderId="0" applyFont="0" applyFill="0" applyBorder="0" applyAlignment="0" applyProtection="0"/>
    <xf numFmtId="195" fontId="30" fillId="0" borderId="0"/>
    <xf numFmtId="4" fontId="43" fillId="54" borderId="0" applyNumberFormat="0" applyProtection="0">
      <alignment horizontal="left"/>
    </xf>
    <xf numFmtId="196" fontId="171" fillId="0" borderId="0" applyFont="0" applyFill="0" applyBorder="0" applyProtection="0">
      <alignment horizontal="right"/>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46" borderId="133"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30" fillId="49" borderId="133" applyNumberFormat="0" applyProtection="0">
      <alignment horizontal="left" vertical="top" indent="1"/>
    </xf>
    <xf numFmtId="43" fontId="9" fillId="0" borderId="0" applyFont="0" applyFill="0" applyBorder="0" applyAlignment="0" applyProtection="0"/>
    <xf numFmtId="43" fontId="1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180" fillId="48" borderId="133" applyNumberFormat="0" applyProtection="0">
      <alignment horizontal="right" vertical="center"/>
    </xf>
    <xf numFmtId="0" fontId="31" fillId="0" borderId="0" applyNumberFormat="0" applyFill="0" applyBorder="0">
      <alignment horizontal="center" wrapText="1"/>
    </xf>
    <xf numFmtId="197" fontId="173" fillId="0" borderId="0" applyNumberFormat="0" applyFill="0" applyBorder="0" applyAlignment="0" applyProtection="0"/>
    <xf numFmtId="195" fontId="30" fillId="0" borderId="0"/>
    <xf numFmtId="0" fontId="30" fillId="52" borderId="133" applyNumberFormat="0" applyProtection="0">
      <alignment horizontal="left" vertical="center" indent="1"/>
    </xf>
    <xf numFmtId="0" fontId="112" fillId="30" borderId="130" applyNumberFormat="0" applyAlignment="0" applyProtection="0"/>
    <xf numFmtId="43" fontId="9" fillId="0" borderId="0" applyFont="0" applyFill="0" applyBorder="0" applyAlignment="0" applyProtection="0"/>
    <xf numFmtId="0" fontId="30" fillId="8" borderId="142" applyNumberFormat="0" applyProtection="0">
      <alignment horizontal="left" vertical="center" indent="1"/>
    </xf>
    <xf numFmtId="0" fontId="3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 fontId="182" fillId="55" borderId="141" applyProtection="0"/>
    <xf numFmtId="37" fontId="79" fillId="0" borderId="0"/>
    <xf numFmtId="4" fontId="43" fillId="54" borderId="0" applyNumberFormat="0" applyProtection="0">
      <alignment horizontal="left"/>
    </xf>
    <xf numFmtId="4" fontId="43" fillId="54" borderId="0" applyNumberFormat="0" applyProtection="0">
      <alignment horizontal="left"/>
    </xf>
    <xf numFmtId="0" fontId="121" fillId="17" borderId="130" applyNumberFormat="0" applyAlignment="0" applyProtection="0"/>
    <xf numFmtId="4" fontId="181" fillId="0" borderId="0" applyNumberFormat="0" applyProtection="0">
      <alignment horizontal="left" vertical="center"/>
    </xf>
    <xf numFmtId="0" fontId="80" fillId="45" borderId="133" applyNumberFormat="0" applyProtection="0">
      <alignment horizontal="left" vertical="top"/>
    </xf>
    <xf numFmtId="4" fontId="80" fillId="0" borderId="133" applyNumberFormat="0" applyProtection="0">
      <alignment horizontal="right" vertical="center"/>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45" borderId="133" applyNumberFormat="0" applyProtection="0">
      <alignment horizontal="left" vertical="top" indent="1"/>
    </xf>
    <xf numFmtId="0" fontId="30" fillId="45" borderId="133" applyNumberFormat="0" applyProtection="0">
      <alignment horizontal="left" vertical="top" indent="1"/>
    </xf>
    <xf numFmtId="0" fontId="9" fillId="0" borderId="0"/>
    <xf numFmtId="0" fontId="9" fillId="0" borderId="0"/>
    <xf numFmtId="0" fontId="9" fillId="0" borderId="0"/>
    <xf numFmtId="0" fontId="9" fillId="0" borderId="0"/>
    <xf numFmtId="0" fontId="30" fillId="45" borderId="133" applyNumberFormat="0" applyProtection="0">
      <alignment horizontal="left" vertical="top" indent="1"/>
    </xf>
    <xf numFmtId="0" fontId="9" fillId="0" borderId="0"/>
    <xf numFmtId="0" fontId="30" fillId="49" borderId="133" applyNumberFormat="0" applyProtection="0">
      <alignment horizontal="left" vertical="center" indent="1"/>
    </xf>
    <xf numFmtId="0" fontId="30" fillId="49" borderId="133" applyNumberFormat="0" applyProtection="0">
      <alignment horizontal="left" vertical="center" indent="1"/>
    </xf>
    <xf numFmtId="4" fontId="178" fillId="50" borderId="0" applyNumberFormat="0" applyProtection="0">
      <alignment horizontal="left" indent="1"/>
    </xf>
    <xf numFmtId="4" fontId="178" fillId="50" borderId="0" applyNumberFormat="0" applyProtection="0">
      <alignment horizontal="left" indent="1"/>
    </xf>
    <xf numFmtId="4" fontId="178" fillId="50" borderId="0" applyNumberFormat="0" applyProtection="0">
      <alignment horizontal="left" indent="1"/>
    </xf>
    <xf numFmtId="4" fontId="80" fillId="28" borderId="133" applyNumberFormat="0" applyProtection="0">
      <alignment horizontal="right" vertical="center"/>
    </xf>
    <xf numFmtId="4" fontId="80" fillId="29" borderId="133" applyNumberFormat="0" applyProtection="0">
      <alignment horizontal="right" vertical="center"/>
    </xf>
    <xf numFmtId="4" fontId="80" fillId="25" borderId="133" applyNumberFormat="0" applyProtection="0">
      <alignment horizontal="right" vertical="center"/>
    </xf>
    <xf numFmtId="4" fontId="81" fillId="45" borderId="133" applyNumberFormat="0" applyProtection="0"/>
    <xf numFmtId="0" fontId="81" fillId="4" borderId="133" applyNumberFormat="0" applyProtection="0">
      <alignment horizontal="left" vertical="top" indent="1"/>
    </xf>
    <xf numFmtId="4" fontId="81" fillId="4" borderId="133" applyNumberFormat="0" applyProtection="0">
      <alignment horizontal="left" vertical="center" indent="1"/>
    </xf>
    <xf numFmtId="10" fontId="30" fillId="0" borderId="0" applyFont="0" applyFill="0" applyBorder="0" applyAlignment="0" applyProtection="0"/>
    <xf numFmtId="12" fontId="32" fillId="44" borderId="76">
      <alignment horizontal="left"/>
    </xf>
    <xf numFmtId="0" fontId="30" fillId="0" borderId="0"/>
    <xf numFmtId="0" fontId="137" fillId="0" borderId="0"/>
    <xf numFmtId="0" fontId="137" fillId="0" borderId="0"/>
    <xf numFmtId="0" fontId="9" fillId="0" borderId="0"/>
    <xf numFmtId="198" fontId="30" fillId="0" borderId="0"/>
    <xf numFmtId="195" fontId="30" fillId="0" borderId="0"/>
    <xf numFmtId="195" fontId="30" fillId="0" borderId="0"/>
    <xf numFmtId="195" fontId="30"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30" fillId="53" borderId="133" applyNumberFormat="0" applyProtection="0">
      <alignment horizontal="left" vertical="top" indent="1"/>
    </xf>
    <xf numFmtId="4" fontId="43" fillId="54" borderId="0" applyNumberFormat="0" applyProtection="0">
      <alignment horizontal="left"/>
    </xf>
    <xf numFmtId="4" fontId="80" fillId="35" borderId="133" applyNumberFormat="0" applyProtection="0">
      <alignment horizontal="right" vertical="center"/>
    </xf>
    <xf numFmtId="4" fontId="176" fillId="49" borderId="0" applyNumberFormat="0" applyProtection="0">
      <alignment horizontal="left" vertical="center" indent="1"/>
    </xf>
    <xf numFmtId="0" fontId="30" fillId="52" borderId="133" applyNumberFormat="0" applyProtection="0">
      <alignment horizontal="left" vertical="center" indent="1"/>
    </xf>
    <xf numFmtId="0" fontId="30" fillId="49" borderId="133" applyNumberFormat="0" applyProtection="0">
      <alignment horizontal="left" vertical="center" indent="1"/>
    </xf>
    <xf numFmtId="0" fontId="30" fillId="52" borderId="133" applyNumberFormat="0" applyProtection="0">
      <alignment horizontal="left" vertical="center" indent="1"/>
    </xf>
    <xf numFmtId="4" fontId="176" fillId="49" borderId="0" applyNumberFormat="0" applyProtection="0">
      <alignment horizontal="left" vertical="center" indent="1"/>
    </xf>
    <xf numFmtId="37" fontId="79" fillId="4" borderId="0" applyNumberFormat="0" applyBorder="0" applyAlignment="0" applyProtection="0"/>
    <xf numFmtId="4" fontId="179" fillId="51" borderId="0" applyNumberFormat="0" applyProtection="0"/>
    <xf numFmtId="195" fontId="30" fillId="0" borderId="0"/>
    <xf numFmtId="4" fontId="81" fillId="33" borderId="133" applyNumberFormat="0" applyProtection="0">
      <alignment vertical="center"/>
    </xf>
    <xf numFmtId="4" fontId="33" fillId="48" borderId="133" applyNumberFormat="0" applyProtection="0">
      <alignment horizontal="right" vertical="center"/>
    </xf>
    <xf numFmtId="4" fontId="81" fillId="4" borderId="133" applyNumberFormat="0" applyProtection="0">
      <alignment horizontal="left" vertical="center" indent="1"/>
    </xf>
    <xf numFmtId="4" fontId="80" fillId="48" borderId="0" applyNumberFormat="0" applyProtection="0">
      <alignment horizontal="left" indent="1"/>
    </xf>
    <xf numFmtId="4" fontId="176" fillId="49" borderId="0" applyNumberFormat="0" applyProtection="0">
      <alignment horizontal="left" vertical="center" indent="1"/>
    </xf>
    <xf numFmtId="4" fontId="178" fillId="50" borderId="0" applyNumberFormat="0" applyProtection="0">
      <alignment horizontal="left" indent="1"/>
    </xf>
    <xf numFmtId="0" fontId="80" fillId="43" borderId="133" applyNumberFormat="0" applyProtection="0">
      <alignment horizontal="left" vertical="top" indent="1"/>
    </xf>
    <xf numFmtId="4" fontId="179" fillId="51" borderId="0" applyNumberFormat="0" applyProtection="0"/>
    <xf numFmtId="0" fontId="137" fillId="0" borderId="0"/>
    <xf numFmtId="4" fontId="80" fillId="27" borderId="133" applyNumberFormat="0" applyProtection="0">
      <alignment horizontal="right" vertical="center"/>
    </xf>
    <xf numFmtId="4" fontId="80" fillId="19" borderId="133" applyNumberFormat="0" applyProtection="0">
      <alignment horizontal="right" vertical="center"/>
    </xf>
    <xf numFmtId="0" fontId="30" fillId="49" borderId="133" applyNumberFormat="0" applyProtection="0">
      <alignment horizontal="left" vertical="center" indent="1"/>
    </xf>
    <xf numFmtId="4" fontId="43" fillId="54" borderId="0" applyNumberFormat="0" applyProtection="0">
      <alignment horizontal="left"/>
    </xf>
    <xf numFmtId="0" fontId="30" fillId="45" borderId="133" applyNumberFormat="0" applyProtection="0">
      <alignment horizontal="left" vertical="top" indent="1"/>
    </xf>
    <xf numFmtId="0" fontId="137" fillId="0" borderId="0"/>
    <xf numFmtId="4" fontId="81" fillId="4" borderId="133" applyNumberFormat="0" applyProtection="0">
      <alignment horizontal="left" vertical="center" indent="1"/>
    </xf>
    <xf numFmtId="0" fontId="30" fillId="53" borderId="133" applyNumberFormat="0" applyProtection="0">
      <alignment horizontal="left" vertical="center" indent="1"/>
    </xf>
    <xf numFmtId="4" fontId="80" fillId="9" borderId="142" applyNumberFormat="0" applyProtection="0">
      <alignment horizontal="right" vertical="center"/>
    </xf>
    <xf numFmtId="0" fontId="30" fillId="0" borderId="0"/>
    <xf numFmtId="4" fontId="178" fillId="50" borderId="0" applyNumberFormat="0" applyProtection="0">
      <alignment horizontal="left" indent="1"/>
    </xf>
    <xf numFmtId="4" fontId="80" fillId="13" borderId="133" applyNumberFormat="0" applyProtection="0">
      <alignment horizontal="right" vertical="center"/>
    </xf>
    <xf numFmtId="0" fontId="30" fillId="49" borderId="133" applyNumberFormat="0" applyProtection="0">
      <alignment horizontal="left" vertical="top" indent="1"/>
    </xf>
    <xf numFmtId="4" fontId="80" fillId="48" borderId="0" applyNumberFormat="0" applyProtection="0">
      <alignment horizontal="left" indent="1"/>
    </xf>
    <xf numFmtId="0" fontId="30" fillId="53" borderId="133" applyNumberFormat="0" applyProtection="0">
      <alignment horizontal="left" vertical="center" indent="1"/>
    </xf>
    <xf numFmtId="4" fontId="80" fillId="0" borderId="133" applyNumberFormat="0" applyProtection="0">
      <alignment horizontal="left" vertical="center" indent="1"/>
    </xf>
    <xf numFmtId="4" fontId="175" fillId="4" borderId="133" applyNumberFormat="0" applyProtection="0">
      <alignment vertical="center"/>
    </xf>
    <xf numFmtId="0" fontId="30" fillId="53" borderId="133" applyNumberFormat="0" applyProtection="0">
      <alignment horizontal="left" vertical="top" indent="1"/>
    </xf>
    <xf numFmtId="0" fontId="30" fillId="45" borderId="133" applyNumberFormat="0" applyProtection="0">
      <alignment horizontal="left" vertical="center" indent="1"/>
    </xf>
    <xf numFmtId="4" fontId="80" fillId="48" borderId="0" applyNumberFormat="0" applyProtection="0">
      <alignment horizontal="left" indent="1"/>
    </xf>
    <xf numFmtId="0" fontId="30" fillId="49" borderId="133" applyNumberFormat="0" applyProtection="0">
      <alignment horizontal="left" vertical="center" indent="1"/>
    </xf>
    <xf numFmtId="4" fontId="80" fillId="48" borderId="0" applyNumberFormat="0" applyProtection="0">
      <alignment horizontal="left" indent="1"/>
    </xf>
    <xf numFmtId="43" fontId="30" fillId="0" borderId="0" applyFont="0" applyFill="0" applyBorder="0" applyAlignment="0" applyProtection="0"/>
    <xf numFmtId="0" fontId="79" fillId="0" borderId="139" applyNumberFormat="0" applyBorder="0" applyAlignment="0"/>
    <xf numFmtId="4" fontId="179" fillId="0" borderId="0" applyNumberFormat="0" applyProtection="0">
      <alignment horizontal="left" vertical="center" indent="1"/>
    </xf>
    <xf numFmtId="4" fontId="80" fillId="21" borderId="133" applyNumberFormat="0" applyProtection="0">
      <alignment horizontal="right" vertical="center"/>
    </xf>
    <xf numFmtId="0" fontId="30" fillId="49" borderId="133" applyNumberFormat="0" applyProtection="0">
      <alignment horizontal="left" vertical="top" indent="1"/>
    </xf>
    <xf numFmtId="4" fontId="176" fillId="49" borderId="0" applyNumberFormat="0" applyProtection="0">
      <alignment horizontal="left" vertical="center" indent="1"/>
    </xf>
    <xf numFmtId="0" fontId="31" fillId="0" borderId="0" applyNumberFormat="0" applyFill="0" applyBorder="0">
      <alignment horizontal="center" wrapText="1"/>
    </xf>
    <xf numFmtId="4" fontId="80" fillId="20" borderId="133" applyNumberFormat="0" applyProtection="0">
      <alignment horizontal="right" vertical="center"/>
    </xf>
    <xf numFmtId="0" fontId="30" fillId="52" borderId="133" applyNumberFormat="0" applyProtection="0">
      <alignment horizontal="left" vertical="center" indent="1"/>
    </xf>
    <xf numFmtId="0" fontId="30" fillId="45" borderId="133" applyNumberFormat="0" applyProtection="0">
      <alignment horizontal="left" vertical="center" indent="1"/>
    </xf>
    <xf numFmtId="0" fontId="30" fillId="52" borderId="133" applyNumberFormat="0" applyProtection="0">
      <alignment horizontal="left" vertical="center" indent="1"/>
    </xf>
    <xf numFmtId="0" fontId="30" fillId="52" borderId="133" applyNumberFormat="0" applyProtection="0">
      <alignment horizontal="left" vertical="top" indent="1"/>
    </xf>
    <xf numFmtId="0" fontId="137" fillId="0" borderId="0"/>
    <xf numFmtId="0" fontId="30" fillId="45" borderId="133" applyNumberFormat="0" applyProtection="0">
      <alignment horizontal="left" vertical="center" indent="1"/>
    </xf>
    <xf numFmtId="43" fontId="137" fillId="0" borderId="0" applyFont="0" applyFill="0" applyBorder="0" applyAlignment="0" applyProtection="0"/>
    <xf numFmtId="4" fontId="80" fillId="43" borderId="133" applyNumberFormat="0" applyProtection="0">
      <alignment vertical="center"/>
    </xf>
    <xf numFmtId="0" fontId="30" fillId="53" borderId="133" applyNumberFormat="0" applyProtection="0">
      <alignment horizontal="left" vertical="top" indent="1"/>
    </xf>
    <xf numFmtId="195" fontId="30" fillId="0" borderId="0"/>
    <xf numFmtId="4" fontId="80" fillId="43" borderId="133" applyNumberFormat="0" applyProtection="0">
      <alignment horizontal="left" vertical="center" indent="1"/>
    </xf>
    <xf numFmtId="0" fontId="30" fillId="8" borderId="142" applyNumberFormat="0" applyProtection="0">
      <alignment horizontal="left" vertical="center" indent="1"/>
    </xf>
    <xf numFmtId="38" fontId="79" fillId="42" borderId="0" applyNumberFormat="0" applyBorder="0" applyAlignment="0" applyProtection="0"/>
    <xf numFmtId="4" fontId="81" fillId="4" borderId="133" applyNumberFormat="0" applyProtection="0">
      <alignment horizontal="left" vertical="center" indent="1"/>
    </xf>
    <xf numFmtId="4" fontId="80" fillId="48" borderId="0" applyNumberFormat="0" applyProtection="0">
      <alignment horizontal="left" indent="1"/>
    </xf>
    <xf numFmtId="0" fontId="30" fillId="53" borderId="133" applyNumberFormat="0" applyProtection="0">
      <alignment horizontal="left" vertical="center" indent="1"/>
    </xf>
    <xf numFmtId="4" fontId="43" fillId="54" borderId="0" applyNumberFormat="0" applyProtection="0">
      <alignment horizontal="left"/>
    </xf>
    <xf numFmtId="4" fontId="179" fillId="51" borderId="0" applyNumberFormat="0" applyProtection="0"/>
    <xf numFmtId="4" fontId="179" fillId="51" borderId="0" applyNumberFormat="0" applyProtection="0"/>
    <xf numFmtId="0" fontId="30" fillId="45" borderId="133" applyNumberFormat="0" applyProtection="0">
      <alignment horizontal="left" vertical="center" indent="1"/>
    </xf>
    <xf numFmtId="4" fontId="81" fillId="4" borderId="133" applyNumberFormat="0" applyProtection="0">
      <alignment horizontal="left" vertical="center" indent="1"/>
    </xf>
    <xf numFmtId="4" fontId="80" fillId="48" borderId="0" applyNumberFormat="0" applyProtection="0">
      <alignment horizontal="left" vertical="center" indent="1"/>
    </xf>
    <xf numFmtId="0" fontId="30" fillId="53" borderId="133" applyNumberFormat="0" applyProtection="0">
      <alignment horizontal="left" vertical="center" indent="1"/>
    </xf>
    <xf numFmtId="0" fontId="32" fillId="0" borderId="5" applyNumberFormat="0" applyAlignment="0" applyProtection="0">
      <alignment horizontal="left" vertical="center"/>
    </xf>
    <xf numFmtId="4" fontId="81" fillId="4" borderId="133" applyNumberFormat="0" applyProtection="0">
      <alignment horizontal="left" vertical="center" indent="1"/>
    </xf>
    <xf numFmtId="4" fontId="176" fillId="49" borderId="0" applyNumberFormat="0" applyProtection="0">
      <alignment horizontal="left" vertical="center" indent="1"/>
    </xf>
    <xf numFmtId="4" fontId="178" fillId="50" borderId="0" applyNumberFormat="0" applyProtection="0">
      <alignment horizontal="left" indent="1"/>
    </xf>
    <xf numFmtId="4" fontId="179" fillId="51" borderId="0" applyNumberFormat="0" applyProtection="0"/>
    <xf numFmtId="43" fontId="137" fillId="0" borderId="0" applyFont="0" applyFill="0" applyBorder="0" applyAlignment="0" applyProtection="0"/>
    <xf numFmtId="43" fontId="137" fillId="0" borderId="0" applyFont="0" applyFill="0" applyBorder="0" applyAlignment="0" applyProtection="0"/>
    <xf numFmtId="195" fontId="30" fillId="0" borderId="0"/>
    <xf numFmtId="4" fontId="180" fillId="43" borderId="133" applyNumberFormat="0" applyProtection="0">
      <alignment vertical="center"/>
    </xf>
    <xf numFmtId="4" fontId="43" fillId="54" borderId="0" applyNumberFormat="0" applyProtection="0">
      <alignment horizontal="left"/>
    </xf>
    <xf numFmtId="4" fontId="179" fillId="51" borderId="0" applyNumberFormat="0" applyProtection="0"/>
    <xf numFmtId="4" fontId="178" fillId="50" borderId="0" applyNumberFormat="0" applyProtection="0">
      <alignment horizontal="left" indent="1"/>
    </xf>
    <xf numFmtId="0" fontId="172" fillId="0" borderId="0"/>
    <xf numFmtId="0" fontId="30" fillId="53" borderId="133" applyNumberFormat="0" applyProtection="0">
      <alignment horizontal="left" vertical="top" indent="1"/>
    </xf>
    <xf numFmtId="4" fontId="81" fillId="4" borderId="133" applyNumberFormat="0" applyProtection="0">
      <alignment vertical="center"/>
    </xf>
    <xf numFmtId="0" fontId="74" fillId="0" borderId="0"/>
    <xf numFmtId="4" fontId="81" fillId="47" borderId="140" applyNumberFormat="0" applyProtection="0">
      <alignment horizontal="left" vertical="center" indent="1"/>
    </xf>
    <xf numFmtId="0" fontId="30" fillId="45" borderId="133" applyNumberFormat="0" applyProtection="0">
      <alignment horizontal="left" vertical="top" indent="1"/>
    </xf>
    <xf numFmtId="0" fontId="32" fillId="0" borderId="138">
      <alignment horizontal="left" vertical="center"/>
    </xf>
    <xf numFmtId="0" fontId="30" fillId="53" borderId="133" applyNumberFormat="0" applyProtection="0">
      <alignment horizontal="left" vertical="top" indent="1"/>
    </xf>
    <xf numFmtId="189" fontId="30" fillId="0" borderId="0" applyFill="0" applyBorder="0" applyAlignment="0" applyProtection="0">
      <alignment wrapText="1"/>
    </xf>
    <xf numFmtId="37" fontId="174" fillId="0" borderId="0" applyNumberFormat="0" applyFill="0" applyBorder="0"/>
    <xf numFmtId="0" fontId="30" fillId="45" borderId="133" applyNumberFormat="0" applyProtection="0">
      <alignment horizontal="left" vertical="center" indent="1"/>
    </xf>
    <xf numFmtId="10" fontId="79" fillId="43" borderId="126" applyNumberFormat="0" applyBorder="0" applyAlignment="0" applyProtection="0"/>
    <xf numFmtId="0" fontId="30" fillId="53" borderId="133" applyNumberFormat="0" applyProtection="0">
      <alignment horizontal="left" vertical="center" indent="1"/>
    </xf>
    <xf numFmtId="4" fontId="179" fillId="51" borderId="0" applyNumberFormat="0" applyProtection="0"/>
    <xf numFmtId="0" fontId="30" fillId="49" borderId="133" applyNumberFormat="0" applyProtection="0">
      <alignment horizontal="left" vertical="top" indent="1"/>
    </xf>
    <xf numFmtId="0" fontId="31" fillId="0" borderId="126">
      <alignment horizontal="center" vertical="center" wrapText="1"/>
    </xf>
    <xf numFmtId="4" fontId="80" fillId="48" borderId="0" applyNumberFormat="0" applyProtection="0">
      <alignment horizontal="left" indent="1"/>
    </xf>
    <xf numFmtId="0" fontId="8"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43" fontId="8" fillId="0" borderId="0" applyFont="0" applyFill="0" applyBorder="0" applyAlignment="0" applyProtection="0"/>
    <xf numFmtId="0" fontId="75" fillId="0" borderId="76">
      <alignment horizontal="center"/>
    </xf>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5" fillId="0" borderId="1">
      <alignment horizont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5" fillId="12"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5" fillId="1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5"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5" fillId="1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95" fillId="2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5"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2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10" fillId="22"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110" fillId="24" borderId="0" applyNumberFormat="0" applyBorder="0" applyAlignment="0" applyProtection="0"/>
    <xf numFmtId="0" fontId="110" fillId="22" borderId="0" applyNumberFormat="0" applyBorder="0" applyAlignment="0" applyProtection="0"/>
    <xf numFmtId="0" fontId="203" fillId="65" borderId="0" applyNumberFormat="0" applyBorder="0" applyAlignment="0" applyProtection="0"/>
    <xf numFmtId="0" fontId="203" fillId="29" borderId="0" applyNumberFormat="0" applyBorder="0" applyAlignment="0" applyProtection="0"/>
    <xf numFmtId="0" fontId="203" fillId="68" borderId="0" applyNumberFormat="0" applyBorder="0" applyAlignment="0" applyProtection="0"/>
    <xf numFmtId="0" fontId="110" fillId="20"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110" fillId="33" borderId="0" applyNumberFormat="0" applyBorder="0" applyAlignment="0" applyProtection="0"/>
    <xf numFmtId="0" fontId="110" fillId="20" borderId="0" applyNumberFormat="0" applyBorder="0" applyAlignment="0" applyProtection="0"/>
    <xf numFmtId="0" fontId="203" fillId="70" borderId="0" applyNumberFormat="0" applyBorder="0" applyAlignment="0" applyProtection="0"/>
    <xf numFmtId="0" fontId="110" fillId="2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110" fillId="30" borderId="0" applyNumberFormat="0" applyBorder="0" applyAlignment="0" applyProtection="0"/>
    <xf numFmtId="0" fontId="110" fillId="23" borderId="0" applyNumberFormat="0" applyBorder="0" applyAlignment="0" applyProtection="0"/>
    <xf numFmtId="0" fontId="203" fillId="72" borderId="0" applyNumberFormat="0" applyBorder="0" applyAlignment="0" applyProtection="0"/>
    <xf numFmtId="0" fontId="203" fillId="16" borderId="0" applyNumberFormat="0" applyBorder="0" applyAlignment="0" applyProtection="0"/>
    <xf numFmtId="0" fontId="203" fillId="75" borderId="0" applyNumberFormat="0" applyBorder="0" applyAlignment="0" applyProtection="0"/>
    <xf numFmtId="0" fontId="110" fillId="25"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110" fillId="17" borderId="0" applyNumberFormat="0" applyBorder="0" applyAlignment="0" applyProtection="0"/>
    <xf numFmtId="0" fontId="110" fillId="25" borderId="0" applyNumberFormat="0" applyBorder="0" applyAlignment="0" applyProtection="0"/>
    <xf numFmtId="0" fontId="203" fillId="77" borderId="0" applyNumberFormat="0" applyBorder="0" applyAlignment="0" applyProtection="0"/>
    <xf numFmtId="0" fontId="110" fillId="26"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203" fillId="64" borderId="0" applyNumberFormat="0" applyBorder="0" applyAlignment="0" applyProtection="0"/>
    <xf numFmtId="0" fontId="203" fillId="29" borderId="0" applyNumberFormat="0" applyBorder="0" applyAlignment="0" applyProtection="0"/>
    <xf numFmtId="0" fontId="203" fillId="66" borderId="0" applyNumberFormat="0" applyBorder="0" applyAlignment="0" applyProtection="0"/>
    <xf numFmtId="0" fontId="203" fillId="21" borderId="0" applyNumberFormat="0" applyBorder="0" applyAlignment="0" applyProtection="0"/>
    <xf numFmtId="0" fontId="203" fillId="69" borderId="0" applyNumberFormat="0" applyBorder="0" applyAlignment="0" applyProtection="0"/>
    <xf numFmtId="0" fontId="110" fillId="23"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110" fillId="79" borderId="0" applyNumberFormat="0" applyBorder="0" applyAlignment="0" applyProtection="0"/>
    <xf numFmtId="0" fontId="110" fillId="23" borderId="0" applyNumberFormat="0" applyBorder="0" applyAlignment="0" applyProtection="0"/>
    <xf numFmtId="0" fontId="203" fillId="71" borderId="0" applyNumberFormat="0" applyBorder="0" applyAlignment="0" applyProtection="0"/>
    <xf numFmtId="0" fontId="203" fillId="73" borderId="0" applyNumberFormat="0" applyBorder="0" applyAlignment="0" applyProtection="0"/>
    <xf numFmtId="0" fontId="203" fillId="27" borderId="0" applyNumberFormat="0" applyBorder="0" applyAlignment="0" applyProtection="0"/>
    <xf numFmtId="0" fontId="203" fillId="76" borderId="0" applyNumberFormat="0" applyBorder="0" applyAlignment="0" applyProtection="0"/>
    <xf numFmtId="0" fontId="194" fillId="15" borderId="0" applyNumberFormat="0" applyBorder="0" applyAlignment="0" applyProtection="0"/>
    <xf numFmtId="0" fontId="194" fillId="58" borderId="0" applyNumberFormat="0" applyBorder="0" applyAlignment="0" applyProtection="0"/>
    <xf numFmtId="0" fontId="206" fillId="80" borderId="162" applyNumberFormat="0" applyAlignment="0" applyProtection="0"/>
    <xf numFmtId="0" fontId="112" fillId="80" borderId="172" applyNumberFormat="0" applyAlignment="0" applyProtection="0"/>
    <xf numFmtId="0" fontId="112" fillId="30" borderId="172" applyNumberFormat="0" applyAlignment="0" applyProtection="0"/>
    <xf numFmtId="0" fontId="198" fillId="61" borderId="162" applyNumberFormat="0" applyAlignment="0" applyProtection="0"/>
    <xf numFmtId="0" fontId="207" fillId="0" borderId="0"/>
    <xf numFmtId="0" fontId="200" fillId="62" borderId="165"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 fontId="208" fillId="0" borderId="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30"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10" fillId="0" borderId="0"/>
    <xf numFmtId="0" fontId="210" fillId="0" borderId="0"/>
    <xf numFmtId="0" fontId="210" fillId="0" borderId="0"/>
    <xf numFmtId="0" fontId="210" fillId="0" borderId="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0" fontId="210" fillId="0" borderId="0"/>
    <xf numFmtId="0" fontId="210" fillId="0" borderId="0"/>
    <xf numFmtId="0" fontId="210" fillId="0" borderId="0"/>
    <xf numFmtId="5" fontId="210" fillId="0" borderId="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0" fontId="211" fillId="0" borderId="0"/>
    <xf numFmtId="0" fontId="211" fillId="0" borderId="173"/>
    <xf numFmtId="0" fontId="210" fillId="0" borderId="0"/>
    <xf numFmtId="0" fontId="210" fillId="0" borderId="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2" fillId="0" borderId="0" applyNumberForma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0" fontId="210" fillId="0" borderId="0"/>
    <xf numFmtId="0" fontId="193" fillId="16" borderId="0" applyNumberFormat="0" applyBorder="0" applyAlignment="0" applyProtection="0"/>
    <xf numFmtId="0" fontId="193" fillId="57"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74"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90" fillId="0" borderId="159"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1" fillId="0" borderId="160" applyNumberFormat="0" applyFill="0" applyAlignment="0" applyProtection="0"/>
    <xf numFmtId="0" fontId="119" fillId="0" borderId="55"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7" fillId="0" borderId="177" applyNumberFormat="0" applyFill="0" applyAlignment="0" applyProtection="0"/>
    <xf numFmtId="0" fontId="119" fillId="0" borderId="55" applyNumberFormat="0" applyFill="0" applyAlignment="0" applyProtection="0"/>
    <xf numFmtId="0" fontId="192" fillId="0" borderId="161" applyNumberFormat="0" applyFill="0" applyAlignment="0" applyProtection="0"/>
    <xf numFmtId="0" fontId="11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19" fillId="0" borderId="0" applyNumberFormat="0" applyFill="0" applyBorder="0" applyAlignment="0" applyProtection="0"/>
    <xf numFmtId="0" fontId="192" fillId="0" borderId="0" applyNumberFormat="0" applyFill="0" applyBorder="0" applyAlignment="0" applyProtection="0"/>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0" fontId="196" fillId="33"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38" fontId="48" fillId="0" borderId="0">
      <alignment horizontal="left" wrapText="1"/>
    </xf>
    <xf numFmtId="38" fontId="218" fillId="0" borderId="0">
      <alignment horizontal="left" wrapText="1"/>
    </xf>
    <xf numFmtId="0" fontId="219" fillId="81" borderId="178"/>
    <xf numFmtId="0" fontId="220" fillId="0" borderId="179" applyNumberFormat="0" applyFill="0" applyAlignment="0" applyProtection="0"/>
    <xf numFmtId="0" fontId="199" fillId="0" borderId="164" applyNumberFormat="0" applyFill="0" applyAlignment="0" applyProtection="0"/>
    <xf numFmtId="0" fontId="221" fillId="59" borderId="0" applyNumberFormat="0" applyBorder="0" applyAlignment="0" applyProtection="0"/>
    <xf numFmtId="0" fontId="195" fillId="59" borderId="0" applyNumberFormat="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10" fillId="0" borderId="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34" borderId="147"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197" fillId="80" borderId="163" applyNumberFormat="0" applyAlignment="0" applyProtection="0"/>
    <xf numFmtId="0" fontId="124" fillId="80" borderId="148" applyNumberFormat="0" applyAlignment="0" applyProtection="0"/>
    <xf numFmtId="0" fontId="124" fillId="30" borderId="148" applyNumberFormat="0" applyAlignment="0" applyProtection="0"/>
    <xf numFmtId="0" fontId="197" fillId="61" borderId="163" applyNumberFormat="0" applyAlignment="0" applyProtection="0"/>
    <xf numFmtId="40" fontId="80" fillId="5" borderId="0">
      <alignment horizontal="right"/>
    </xf>
    <xf numFmtId="0" fontId="81" fillId="5" borderId="0">
      <alignment horizontal="left"/>
    </xf>
    <xf numFmtId="0" fontId="210" fillId="0" borderId="0"/>
    <xf numFmtId="0" fontId="210"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2" fillId="0" borderId="0"/>
    <xf numFmtId="9" fontId="222" fillId="0" borderId="0"/>
    <xf numFmtId="9" fontId="223" fillId="0" borderId="0"/>
    <xf numFmtId="9" fontId="222" fillId="0" borderId="0"/>
    <xf numFmtId="9" fontId="223" fillId="0" borderId="0"/>
    <xf numFmtId="9" fontId="222" fillId="0" borderId="0"/>
    <xf numFmtId="0" fontId="211" fillId="0" borderId="0"/>
    <xf numFmtId="37" fontId="224" fillId="82" borderId="0" applyNumberFormat="0" applyFont="0" applyBorder="0" applyAlignment="0" applyProtection="0"/>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0" fontId="66" fillId="83" borderId="180"/>
    <xf numFmtId="0" fontId="66" fillId="83" borderId="180"/>
    <xf numFmtId="0" fontId="211" fillId="0" borderId="178"/>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0" fontId="225" fillId="84" borderId="0"/>
    <xf numFmtId="0" fontId="1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25"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82"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67"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10" fillId="0" borderId="183"/>
    <xf numFmtId="0" fontId="219" fillId="0" borderId="184"/>
    <xf numFmtId="0" fontId="219" fillId="0" borderId="178"/>
    <xf numFmtId="205" fontId="30" fillId="0" borderId="0" applyFont="0" applyFill="0" applyBorder="0" applyAlignment="0" applyProtection="0"/>
    <xf numFmtId="206" fontId="30" fillId="0" borderId="0" applyFont="0" applyFill="0" applyBorder="0" applyAlignment="0" applyProtection="0"/>
    <xf numFmtId="0" fontId="210" fillId="0" borderId="185"/>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207" fontId="30" fillId="0" borderId="0" applyFont="0" applyFill="0" applyBorder="0" applyAlignment="0" applyProtection="0"/>
    <xf numFmtId="208" fontId="30" fillId="0" borderId="0" applyFont="0" applyFill="0" applyBorder="0" applyAlignment="0" applyProtection="0"/>
    <xf numFmtId="0" fontId="201" fillId="0" borderId="0" applyNumberForma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3"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2" fillId="0" borderId="168">
      <alignment horizontal="left" vertical="center"/>
    </xf>
    <xf numFmtId="0" fontId="32" fillId="0" borderId="168">
      <alignment horizontal="left" vertical="center"/>
    </xf>
    <xf numFmtId="0" fontId="32" fillId="0" borderId="168">
      <alignment horizontal="left" vertical="center"/>
    </xf>
    <xf numFmtId="0" fontId="32" fillId="0" borderId="168">
      <alignment horizontal="left" vertical="center"/>
    </xf>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7" fillId="0" borderId="0"/>
    <xf numFmtId="0" fontId="137" fillId="0" borderId="0"/>
    <xf numFmtId="0" fontId="1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2" fillId="0" borderId="0"/>
    <xf numFmtId="0" fontId="30" fillId="8" borderId="186" applyNumberFormat="0" applyProtection="0">
      <alignment horizontal="left" vertical="center" indent="1"/>
    </xf>
    <xf numFmtId="0" fontId="2" fillId="0" borderId="0"/>
    <xf numFmtId="0" fontId="30" fillId="8" borderId="186" applyNumberFormat="0" applyProtection="0">
      <alignment horizontal="left" vertical="center" indent="1"/>
    </xf>
    <xf numFmtId="0" fontId="30" fillId="0" borderId="0"/>
    <xf numFmtId="43" fontId="1" fillId="0" borderId="0" applyFont="0" applyFill="0" applyBorder="0" applyAlignment="0" applyProtection="0"/>
  </cellStyleXfs>
  <cellXfs count="2616">
    <xf numFmtId="0" fontId="0" fillId="0" borderId="0" xfId="0"/>
    <xf numFmtId="0" fontId="32" fillId="0" borderId="0" xfId="0" applyFont="1"/>
    <xf numFmtId="0" fontId="0" fillId="0" borderId="0" xfId="0" applyFill="1"/>
    <xf numFmtId="169" fontId="36" fillId="0" borderId="0" xfId="0" applyNumberFormat="1" applyFont="1" applyAlignment="1"/>
    <xf numFmtId="0" fontId="32" fillId="0" borderId="0" xfId="0" applyNumberFormat="1" applyFont="1" applyAlignment="1">
      <alignment horizontal="center"/>
    </xf>
    <xf numFmtId="168" fontId="36" fillId="0" borderId="0" xfId="0" applyNumberFormat="1" applyFont="1" applyAlignment="1">
      <alignment horizontal="left"/>
    </xf>
    <xf numFmtId="3" fontId="36" fillId="0" borderId="0" xfId="0" applyNumberFormat="1" applyFont="1" applyFill="1" applyAlignment="1">
      <alignment horizontal="right"/>
    </xf>
    <xf numFmtId="0" fontId="32" fillId="0" borderId="0" xfId="0" applyNumberFormat="1" applyFont="1" applyFill="1" applyAlignment="1"/>
    <xf numFmtId="0" fontId="34" fillId="0" borderId="0" xfId="0" applyNumberFormat="1" applyFont="1" applyAlignment="1">
      <alignment horizontal="center"/>
    </xf>
    <xf numFmtId="0" fontId="34" fillId="0" borderId="0" xfId="0" applyFont="1" applyAlignment="1"/>
    <xf numFmtId="0" fontId="36" fillId="0" borderId="0" xfId="0" applyFont="1"/>
    <xf numFmtId="172" fontId="32" fillId="0" borderId="0" xfId="13" applyNumberFormat="1" applyFont="1" applyAlignment="1"/>
    <xf numFmtId="0" fontId="32" fillId="0" borderId="2" xfId="0" applyNumberFormat="1" applyFont="1" applyFill="1" applyBorder="1" applyAlignment="1"/>
    <xf numFmtId="0" fontId="32" fillId="0" borderId="3" xfId="0" applyNumberFormat="1" applyFont="1" applyFill="1" applyBorder="1" applyAlignment="1"/>
    <xf numFmtId="3" fontId="32" fillId="0" borderId="3" xfId="0" applyNumberFormat="1" applyFont="1" applyBorder="1" applyAlignment="1"/>
    <xf numFmtId="0" fontId="32" fillId="0" borderId="3" xfId="0" applyFont="1" applyBorder="1"/>
    <xf numFmtId="0" fontId="32" fillId="0" borderId="0" xfId="0" applyNumberFormat="1" applyFont="1" applyFill="1" applyAlignment="1">
      <alignment horizontal="center"/>
    </xf>
    <xf numFmtId="0" fontId="32" fillId="0" borderId="0" xfId="0" applyNumberFormat="1" applyFont="1" applyFill="1" applyBorder="1" applyAlignment="1"/>
    <xf numFmtId="0" fontId="34" fillId="0" borderId="0" xfId="0" applyFont="1"/>
    <xf numFmtId="0" fontId="34" fillId="0" borderId="0" xfId="0" applyNumberFormat="1" applyFont="1" applyAlignment="1">
      <alignment horizontal="left"/>
    </xf>
    <xf numFmtId="0" fontId="34" fillId="0" borderId="0" xfId="0" applyNumberFormat="1" applyFont="1" applyFill="1" applyAlignment="1">
      <alignment horizontal="right"/>
    </xf>
    <xf numFmtId="0" fontId="34" fillId="0" borderId="0" xfId="0" applyNumberFormat="1" applyFont="1" applyFill="1" applyAlignment="1">
      <alignment horizontal="left"/>
    </xf>
    <xf numFmtId="0" fontId="34" fillId="0" borderId="0" xfId="0" applyFont="1" applyFill="1" applyAlignment="1"/>
    <xf numFmtId="0" fontId="34" fillId="0" borderId="0" xfId="0" applyFont="1" applyFill="1"/>
    <xf numFmtId="0" fontId="34" fillId="0" borderId="2" xfId="0" applyFont="1" applyFill="1" applyBorder="1" applyAlignment="1"/>
    <xf numFmtId="0" fontId="34" fillId="0" borderId="2" xfId="0" applyFont="1" applyBorder="1"/>
    <xf numFmtId="0" fontId="34" fillId="0" borderId="2" xfId="0" applyFont="1" applyFill="1" applyBorder="1"/>
    <xf numFmtId="0" fontId="34" fillId="0" borderId="2" xfId="0" applyFont="1" applyBorder="1" applyAlignment="1"/>
    <xf numFmtId="0" fontId="34" fillId="0" borderId="0" xfId="0" applyFont="1" applyBorder="1" applyAlignment="1"/>
    <xf numFmtId="0" fontId="34" fillId="0" borderId="0" xfId="0" applyFont="1" applyFill="1" applyAlignment="1">
      <alignment horizontal="left"/>
    </xf>
    <xf numFmtId="0" fontId="34" fillId="0" borderId="0" xfId="0" applyFont="1" applyAlignment="1">
      <alignment horizontal="left"/>
    </xf>
    <xf numFmtId="0" fontId="40" fillId="0" borderId="0" xfId="0" applyFont="1"/>
    <xf numFmtId="0" fontId="34" fillId="0" borderId="0" xfId="0" applyFont="1" applyAlignment="1">
      <alignment horizontal="right"/>
    </xf>
    <xf numFmtId="166" fontId="32" fillId="0" borderId="0" xfId="0" applyNumberFormat="1" applyFont="1" applyAlignment="1"/>
    <xf numFmtId="0" fontId="34" fillId="0" borderId="0" xfId="0" applyNumberFormat="1" applyFont="1" applyFill="1" applyAlignment="1">
      <alignment horizontal="center"/>
    </xf>
    <xf numFmtId="0" fontId="34" fillId="0" borderId="0" xfId="0" applyNumberFormat="1" applyFont="1" applyBorder="1" applyAlignment="1">
      <alignment horizontal="center"/>
    </xf>
    <xf numFmtId="0" fontId="34" fillId="0" borderId="0" xfId="0" applyNumberFormat="1" applyFont="1" applyBorder="1" applyAlignment="1">
      <alignment horizontal="left"/>
    </xf>
    <xf numFmtId="0" fontId="34" fillId="0" borderId="0" xfId="0" applyFont="1" applyFill="1" applyBorder="1" applyAlignment="1"/>
    <xf numFmtId="0" fontId="34" fillId="0" borderId="0" xfId="0" applyFont="1" applyBorder="1"/>
    <xf numFmtId="0" fontId="32" fillId="0" borderId="0" xfId="0" applyNumberFormat="1" applyFont="1" applyBorder="1" applyAlignment="1"/>
    <xf numFmtId="3" fontId="32" fillId="0" borderId="0" xfId="0" applyNumberFormat="1" applyFont="1" applyBorder="1" applyAlignment="1"/>
    <xf numFmtId="3" fontId="32" fillId="0" borderId="0" xfId="0" quotePrefix="1" applyNumberFormat="1" applyFont="1" applyBorder="1" applyAlignment="1">
      <alignment horizontal="right"/>
    </xf>
    <xf numFmtId="3" fontId="34" fillId="0" borderId="0" xfId="0" applyNumberFormat="1" applyFont="1"/>
    <xf numFmtId="0" fontId="45" fillId="3" borderId="0" xfId="0" applyFont="1" applyFill="1" applyBorder="1" applyAlignment="1"/>
    <xf numFmtId="0" fontId="34" fillId="0" borderId="0" xfId="0" applyFont="1" applyAlignment="1">
      <alignment horizontal="center"/>
    </xf>
    <xf numFmtId="0" fontId="34" fillId="0" borderId="0" xfId="0" applyFont="1" applyFill="1" applyAlignment="1">
      <alignment horizontal="center"/>
    </xf>
    <xf numFmtId="0" fontId="34" fillId="0" borderId="4" xfId="0" applyFont="1" applyFill="1" applyBorder="1" applyAlignment="1">
      <alignment horizontal="left"/>
    </xf>
    <xf numFmtId="0" fontId="34" fillId="0" borderId="0" xfId="0" applyFont="1" applyFill="1" applyBorder="1" applyAlignment="1">
      <alignment horizontal="left"/>
    </xf>
    <xf numFmtId="0" fontId="34" fillId="0" borderId="4" xfId="0" applyFont="1" applyBorder="1" applyAlignment="1"/>
    <xf numFmtId="0" fontId="32" fillId="0" borderId="0" xfId="0" applyNumberFormat="1" applyFont="1" applyAlignment="1">
      <alignment horizontal="left"/>
    </xf>
    <xf numFmtId="0" fontId="34" fillId="0" borderId="0" xfId="0" applyFont="1" applyFill="1" applyAlignment="1">
      <alignment horizontal="right"/>
    </xf>
    <xf numFmtId="0" fontId="34" fillId="0" borderId="0" xfId="0" applyFont="1" applyFill="1" applyBorder="1"/>
    <xf numFmtId="0" fontId="32" fillId="0" borderId="3" xfId="0" applyFont="1" applyBorder="1" applyAlignment="1"/>
    <xf numFmtId="0" fontId="34" fillId="0" borderId="3" xfId="0" applyFont="1" applyBorder="1"/>
    <xf numFmtId="168" fontId="32" fillId="0" borderId="3" xfId="0" applyNumberFormat="1" applyFont="1" applyBorder="1" applyAlignment="1">
      <alignment horizontal="left"/>
    </xf>
    <xf numFmtId="169" fontId="32" fillId="0" borderId="3" xfId="0" applyNumberFormat="1" applyFont="1" applyBorder="1" applyAlignment="1">
      <alignment horizontal="center"/>
    </xf>
    <xf numFmtId="0" fontId="34" fillId="3" borderId="0" xfId="0" applyFont="1" applyFill="1" applyBorder="1" applyAlignment="1"/>
    <xf numFmtId="0" fontId="34" fillId="3" borderId="0" xfId="0" applyFont="1" applyFill="1" applyBorder="1"/>
    <xf numFmtId="0" fontId="34" fillId="0" borderId="3" xfId="0" applyFont="1" applyFill="1" applyBorder="1" applyAlignment="1"/>
    <xf numFmtId="0" fontId="34" fillId="0" borderId="3" xfId="0" applyFont="1" applyBorder="1" applyAlignment="1"/>
    <xf numFmtId="0" fontId="44" fillId="0" borderId="0" xfId="0" applyFont="1" applyFill="1" applyBorder="1" applyAlignment="1">
      <alignment horizontal="center"/>
    </xf>
    <xf numFmtId="0" fontId="45" fillId="0" borderId="0" xfId="0" applyFont="1" applyFill="1" applyBorder="1" applyAlignment="1"/>
    <xf numFmtId="0" fontId="34" fillId="3" borderId="0" xfId="0" applyFont="1" applyFill="1" applyAlignment="1"/>
    <xf numFmtId="0" fontId="34" fillId="3" borderId="0" xfId="0" applyFont="1" applyFill="1"/>
    <xf numFmtId="0" fontId="34" fillId="3" borderId="0" xfId="0" applyFont="1" applyFill="1" applyBorder="1" applyAlignment="1">
      <alignment horizontal="center" wrapText="1"/>
    </xf>
    <xf numFmtId="0" fontId="32" fillId="0" borderId="0" xfId="0" applyFont="1" applyBorder="1" applyAlignment="1"/>
    <xf numFmtId="3" fontId="32" fillId="0" borderId="0" xfId="0" applyNumberFormat="1" applyFont="1" applyFill="1" applyBorder="1" applyAlignment="1"/>
    <xf numFmtId="169" fontId="32" fillId="0" borderId="3" xfId="0" applyNumberFormat="1" applyFont="1" applyBorder="1" applyAlignment="1"/>
    <xf numFmtId="168" fontId="32" fillId="0" borderId="0" xfId="0" applyNumberFormat="1" applyFont="1" applyBorder="1" applyAlignment="1">
      <alignment horizontal="left"/>
    </xf>
    <xf numFmtId="173" fontId="36" fillId="0" borderId="0" xfId="13" applyNumberFormat="1" applyFont="1" applyFill="1" applyAlignment="1">
      <alignment horizontal="right"/>
    </xf>
    <xf numFmtId="0" fontId="32" fillId="0" borderId="2" xfId="0" applyFont="1" applyFill="1" applyBorder="1" applyAlignment="1"/>
    <xf numFmtId="0" fontId="32" fillId="0" borderId="2" xfId="0" applyFont="1" applyBorder="1" applyAlignment="1"/>
    <xf numFmtId="0" fontId="46" fillId="0" borderId="5" xfId="0" applyNumberFormat="1" applyFont="1" applyBorder="1" applyAlignment="1">
      <alignment horizontal="center"/>
    </xf>
    <xf numFmtId="0" fontId="46" fillId="0" borderId="5" xfId="0" applyFont="1" applyBorder="1" applyAlignment="1"/>
    <xf numFmtId="0" fontId="43" fillId="0" borderId="6" xfId="0" applyNumberFormat="1" applyFont="1" applyBorder="1" applyAlignment="1">
      <alignment horizontal="center"/>
    </xf>
    <xf numFmtId="0" fontId="43" fillId="0" borderId="5" xfId="0" applyNumberFormat="1" applyFont="1" applyBorder="1" applyAlignment="1">
      <alignment horizontal="left"/>
    </xf>
    <xf numFmtId="0" fontId="43" fillId="0" borderId="5" xfId="0" applyFont="1" applyFill="1" applyBorder="1"/>
    <xf numFmtId="0" fontId="43" fillId="0" borderId="5" xfId="0" applyFont="1" applyBorder="1" applyAlignment="1"/>
    <xf numFmtId="0" fontId="34" fillId="0" borderId="4" xfId="0" applyNumberFormat="1" applyFont="1" applyFill="1" applyBorder="1" applyAlignment="1">
      <alignment horizontal="left"/>
    </xf>
    <xf numFmtId="0" fontId="32" fillId="0" borderId="5" xfId="0" applyFont="1" applyBorder="1"/>
    <xf numFmtId="0" fontId="43" fillId="0" borderId="0" xfId="0" applyNumberFormat="1" applyFont="1" applyBorder="1" applyAlignment="1">
      <alignment horizontal="center"/>
    </xf>
    <xf numFmtId="0" fontId="43" fillId="0" borderId="5" xfId="0" applyNumberFormat="1" applyFont="1" applyBorder="1" applyAlignment="1">
      <alignment horizontal="center"/>
    </xf>
    <xf numFmtId="0" fontId="32" fillId="0" borderId="0" xfId="0" applyNumberFormat="1" applyFont="1" applyBorder="1" applyAlignment="1">
      <alignment horizontal="left"/>
    </xf>
    <xf numFmtId="0" fontId="34" fillId="0" borderId="4" xfId="0" applyNumberFormat="1" applyFont="1" applyBorder="1" applyAlignment="1">
      <alignment horizontal="center"/>
    </xf>
    <xf numFmtId="0" fontId="39" fillId="0" borderId="0" xfId="0" applyFont="1" applyFill="1" applyAlignment="1">
      <alignment horizontal="center"/>
    </xf>
    <xf numFmtId="0" fontId="37" fillId="0" borderId="0" xfId="0" applyFont="1" applyFill="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2" fillId="0" borderId="3" xfId="0" applyFont="1" applyBorder="1" applyAlignment="1">
      <alignment horizontal="center"/>
    </xf>
    <xf numFmtId="0" fontId="34" fillId="0" borderId="4" xfId="0" applyNumberFormat="1" applyFont="1" applyFill="1" applyBorder="1" applyAlignment="1">
      <alignment horizontal="center"/>
    </xf>
    <xf numFmtId="0" fontId="34" fillId="0" borderId="2" xfId="0" applyFont="1" applyFill="1" applyBorder="1" applyAlignment="1">
      <alignment horizontal="center"/>
    </xf>
    <xf numFmtId="0" fontId="34" fillId="0" borderId="4" xfId="0" applyFont="1" applyBorder="1" applyAlignment="1">
      <alignment horizontal="center"/>
    </xf>
    <xf numFmtId="0" fontId="40" fillId="0" borderId="0" xfId="0" applyFont="1" applyBorder="1" applyAlignment="1">
      <alignment horizontal="center"/>
    </xf>
    <xf numFmtId="0" fontId="32" fillId="0" borderId="0" xfId="0" applyFont="1" applyBorder="1" applyAlignment="1">
      <alignment horizontal="center"/>
    </xf>
    <xf numFmtId="3" fontId="32" fillId="0" borderId="3" xfId="0" applyNumberFormat="1" applyFont="1" applyBorder="1" applyAlignment="1">
      <alignment horizontal="center"/>
    </xf>
    <xf numFmtId="0" fontId="34" fillId="0" borderId="0" xfId="0" applyNumberFormat="1" applyFont="1" applyFill="1" applyBorder="1" applyAlignment="1">
      <alignment horizontal="center"/>
    </xf>
    <xf numFmtId="3" fontId="32" fillId="0" borderId="2" xfId="0" applyNumberFormat="1" applyFont="1" applyBorder="1" applyAlignment="1">
      <alignment horizontal="center"/>
    </xf>
    <xf numFmtId="0" fontId="43" fillId="0" borderId="5" xfId="0" applyFont="1" applyBorder="1" applyAlignment="1">
      <alignment horizontal="center"/>
    </xf>
    <xf numFmtId="0" fontId="34" fillId="0" borderId="4" xfId="0" applyFont="1" applyFill="1" applyBorder="1" applyAlignment="1"/>
    <xf numFmtId="0" fontId="37" fillId="0" borderId="0" xfId="0" applyFont="1" applyFill="1" applyBorder="1" applyAlignment="1">
      <alignment horizontal="center"/>
    </xf>
    <xf numFmtId="0" fontId="37" fillId="0" borderId="2" xfId="0" applyFont="1" applyFill="1" applyBorder="1" applyAlignment="1"/>
    <xf numFmtId="0" fontId="37" fillId="0" borderId="4" xfId="0" applyFont="1" applyFill="1" applyBorder="1" applyAlignment="1"/>
    <xf numFmtId="0" fontId="37" fillId="0" borderId="4" xfId="0" applyFont="1" applyFill="1" applyBorder="1" applyAlignment="1">
      <alignment horizontal="center"/>
    </xf>
    <xf numFmtId="0" fontId="34" fillId="0" borderId="0" xfId="0" applyFont="1" applyFill="1" applyBorder="1" applyAlignment="1">
      <alignment horizontal="center"/>
    </xf>
    <xf numFmtId="0" fontId="37" fillId="0" borderId="0" xfId="0" applyFont="1" applyFill="1" applyAlignment="1">
      <alignment horizontal="left"/>
    </xf>
    <xf numFmtId="0" fontId="46" fillId="0" borderId="0" xfId="0" applyNumberFormat="1" applyFont="1" applyBorder="1" applyAlignment="1">
      <alignment horizontal="center"/>
    </xf>
    <xf numFmtId="0" fontId="46" fillId="0" borderId="0" xfId="0" applyFont="1" applyBorder="1" applyAlignment="1"/>
    <xf numFmtId="0" fontId="32" fillId="0" borderId="0" xfId="0" applyFont="1" applyFill="1"/>
    <xf numFmtId="0" fontId="32" fillId="0" borderId="0" xfId="0" applyFont="1" applyFill="1" applyBorder="1"/>
    <xf numFmtId="10" fontId="38" fillId="0" borderId="0" xfId="0" applyNumberFormat="1" applyFont="1" applyFill="1" applyAlignment="1">
      <alignment horizontal="right"/>
    </xf>
    <xf numFmtId="3" fontId="39" fillId="0" borderId="0" xfId="0" applyNumberFormat="1" applyFont="1" applyBorder="1" applyAlignment="1"/>
    <xf numFmtId="0" fontId="39" fillId="0" borderId="0" xfId="0" applyNumberFormat="1" applyFont="1" applyFill="1" applyBorder="1" applyAlignment="1">
      <alignment horizontal="center"/>
    </xf>
    <xf numFmtId="0" fontId="0" fillId="0" borderId="0" xfId="0" applyAlignment="1">
      <alignment horizontal="center"/>
    </xf>
    <xf numFmtId="0" fontId="50" fillId="0" borderId="0" xfId="0" applyFont="1" applyAlignment="1">
      <alignment horizontal="left"/>
    </xf>
    <xf numFmtId="0" fontId="50" fillId="0" borderId="0" xfId="0" applyFont="1"/>
    <xf numFmtId="0" fontId="51" fillId="0" borderId="0" xfId="0" applyFont="1"/>
    <xf numFmtId="0" fontId="51" fillId="0" borderId="0" xfId="0" applyFont="1" applyBorder="1"/>
    <xf numFmtId="0" fontId="51" fillId="0" borderId="0" xfId="0" applyFont="1" applyFill="1" applyBorder="1"/>
    <xf numFmtId="0" fontId="41" fillId="0" borderId="0" xfId="0" applyFont="1"/>
    <xf numFmtId="0" fontId="41" fillId="0" borderId="0" xfId="0" applyFont="1" applyFill="1"/>
    <xf numFmtId="3" fontId="34" fillId="0" borderId="0" xfId="0" applyNumberFormat="1" applyFont="1" applyFill="1" applyBorder="1" applyAlignment="1">
      <alignment horizontal="right"/>
    </xf>
    <xf numFmtId="0" fontId="40" fillId="0" borderId="0" xfId="0" applyFont="1" applyFill="1"/>
    <xf numFmtId="0" fontId="0" fillId="0" borderId="0" xfId="0" applyBorder="1"/>
    <xf numFmtId="0" fontId="31" fillId="0" borderId="0" xfId="0" applyFont="1" applyAlignment="1">
      <alignment horizontal="left"/>
    </xf>
    <xf numFmtId="0" fontId="40" fillId="0" borderId="0" xfId="0" applyNumberFormat="1" applyFont="1" applyFill="1" applyBorder="1" applyAlignment="1">
      <alignment horizontal="left"/>
    </xf>
    <xf numFmtId="0" fontId="34" fillId="0" borderId="4" xfId="0" applyFont="1" applyFill="1" applyBorder="1" applyAlignment="1">
      <alignment horizontal="center"/>
    </xf>
    <xf numFmtId="0" fontId="51" fillId="0" borderId="7" xfId="0" applyFont="1" applyBorder="1"/>
    <xf numFmtId="0" fontId="51" fillId="0" borderId="8" xfId="0" applyFont="1" applyBorder="1"/>
    <xf numFmtId="0" fontId="51" fillId="0" borderId="9" xfId="0" applyFont="1" applyBorder="1"/>
    <xf numFmtId="0" fontId="45" fillId="3" borderId="0" xfId="0" applyFont="1" applyFill="1" applyBorder="1" applyAlignment="1">
      <alignment horizontal="center"/>
    </xf>
    <xf numFmtId="0" fontId="51" fillId="0" borderId="0" xfId="0" applyFont="1" applyFill="1" applyBorder="1" applyAlignment="1">
      <alignment horizontal="center"/>
    </xf>
    <xf numFmtId="0" fontId="51" fillId="0" borderId="11" xfId="0" applyFont="1" applyBorder="1" applyAlignment="1">
      <alignment horizontal="center"/>
    </xf>
    <xf numFmtId="0" fontId="51" fillId="0" borderId="0" xfId="0" applyFont="1" applyBorder="1" applyAlignment="1">
      <alignment horizontal="center"/>
    </xf>
    <xf numFmtId="164" fontId="51" fillId="0" borderId="7" xfId="1" applyNumberFormat="1" applyFont="1" applyBorder="1" applyAlignment="1">
      <alignment horizontal="center"/>
    </xf>
    <xf numFmtId="0" fontId="51" fillId="0" borderId="7" xfId="0" applyFont="1" applyBorder="1" applyAlignment="1">
      <alignment horizontal="center"/>
    </xf>
    <xf numFmtId="164" fontId="51" fillId="0" borderId="7" xfId="1" applyNumberFormat="1" applyFont="1" applyBorder="1"/>
    <xf numFmtId="164" fontId="51" fillId="0" borderId="0" xfId="1" applyNumberFormat="1" applyFont="1" applyBorder="1"/>
    <xf numFmtId="0" fontId="51" fillId="0" borderId="14" xfId="0" applyFont="1" applyBorder="1" applyAlignment="1">
      <alignment horizontal="center"/>
    </xf>
    <xf numFmtId="164" fontId="51" fillId="0" borderId="0" xfId="0" applyNumberFormat="1" applyFont="1" applyBorder="1"/>
    <xf numFmtId="167" fontId="51" fillId="0" borderId="7" xfId="0" applyNumberFormat="1" applyFont="1" applyBorder="1"/>
    <xf numFmtId="164" fontId="51" fillId="0" borderId="8" xfId="0" applyNumberFormat="1" applyFont="1" applyBorder="1"/>
    <xf numFmtId="164" fontId="54" fillId="0" borderId="14" xfId="0" applyNumberFormat="1" applyFont="1" applyBorder="1"/>
    <xf numFmtId="164" fontId="54" fillId="0" borderId="0" xfId="0" applyNumberFormat="1" applyFont="1" applyBorder="1"/>
    <xf numFmtId="164" fontId="54" fillId="0" borderId="7" xfId="1" applyNumberFormat="1" applyFont="1" applyBorder="1"/>
    <xf numFmtId="164" fontId="54" fillId="0" borderId="15" xfId="0" applyNumberFormat="1" applyFont="1" applyBorder="1"/>
    <xf numFmtId="164" fontId="54" fillId="0" borderId="9" xfId="1" applyNumberFormat="1" applyFont="1" applyBorder="1"/>
    <xf numFmtId="0" fontId="51" fillId="0" borderId="0" xfId="0" applyFont="1" applyAlignment="1">
      <alignment horizontal="center"/>
    </xf>
    <xf numFmtId="164" fontId="51" fillId="0" borderId="0" xfId="1" applyNumberFormat="1" applyFont="1"/>
    <xf numFmtId="167" fontId="51" fillId="0" borderId="0" xfId="5" applyNumberFormat="1" applyFont="1"/>
    <xf numFmtId="167" fontId="51" fillId="0" borderId="14" xfId="5" applyNumberFormat="1" applyFont="1" applyBorder="1"/>
    <xf numFmtId="167" fontId="51" fillId="0" borderId="15" xfId="5" applyNumberFormat="1" applyFont="1" applyBorder="1"/>
    <xf numFmtId="0" fontId="51" fillId="0" borderId="8" xfId="0" applyFont="1" applyFill="1" applyBorder="1"/>
    <xf numFmtId="164" fontId="51" fillId="0" borderId="0" xfId="1" applyNumberFormat="1" applyFont="1" applyFill="1" applyBorder="1"/>
    <xf numFmtId="164" fontId="51" fillId="0" borderId="7" xfId="1" applyNumberFormat="1" applyFont="1" applyFill="1" applyBorder="1"/>
    <xf numFmtId="0" fontId="32"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4" fillId="0" borderId="0" xfId="0" applyNumberFormat="1" applyFont="1" applyAlignment="1">
      <alignment horizontal="center"/>
    </xf>
    <xf numFmtId="0" fontId="0" fillId="0" borderId="0" xfId="0" applyFill="1" applyAlignment="1">
      <alignment wrapText="1"/>
    </xf>
    <xf numFmtId="0" fontId="33" fillId="0" borderId="0" xfId="0" applyFont="1" applyFill="1"/>
    <xf numFmtId="0" fontId="31"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0" fillId="0" borderId="0" xfId="1" applyNumberFormat="1"/>
    <xf numFmtId="172" fontId="30" fillId="0" borderId="0" xfId="13" applyNumberFormat="1"/>
    <xf numFmtId="3" fontId="53" fillId="0" borderId="0" xfId="0" applyNumberFormat="1" applyFont="1"/>
    <xf numFmtId="0" fontId="0" fillId="0" borderId="0" xfId="0" applyFill="1" applyAlignment="1">
      <alignment horizontal="left"/>
    </xf>
    <xf numFmtId="0" fontId="0" fillId="0" borderId="0" xfId="0" applyFill="1" applyAlignment="1"/>
    <xf numFmtId="0" fontId="59" fillId="0" borderId="0" xfId="0" applyFont="1" applyFill="1" applyBorder="1"/>
    <xf numFmtId="0" fontId="32" fillId="0" borderId="3" xfId="0" applyFont="1" applyFill="1" applyBorder="1"/>
    <xf numFmtId="0" fontId="0" fillId="0" borderId="0" xfId="0" applyBorder="1" applyAlignment="1">
      <alignment horizontal="center"/>
    </xf>
    <xf numFmtId="0" fontId="51" fillId="0" borderId="10" xfId="0" applyFont="1" applyFill="1" applyBorder="1"/>
    <xf numFmtId="0" fontId="39" fillId="0" borderId="0" xfId="0" applyFont="1" applyFill="1" applyBorder="1" applyAlignment="1"/>
    <xf numFmtId="0" fontId="34" fillId="0" borderId="0" xfId="0" applyFont="1" applyFill="1" applyAlignment="1">
      <alignment wrapText="1"/>
    </xf>
    <xf numFmtId="3" fontId="32" fillId="0" borderId="3" xfId="0" applyNumberFormat="1" applyFont="1" applyFill="1" applyBorder="1" applyAlignment="1"/>
    <xf numFmtId="0" fontId="66" fillId="0" borderId="0" xfId="0" applyFont="1" applyBorder="1"/>
    <xf numFmtId="164" fontId="54" fillId="0" borderId="8" xfId="0" applyNumberFormat="1" applyFont="1" applyBorder="1"/>
    <xf numFmtId="164" fontId="54" fillId="0" borderId="24" xfId="0" applyNumberFormat="1" applyFont="1" applyBorder="1"/>
    <xf numFmtId="0" fontId="68" fillId="0" borderId="0" xfId="0" applyFont="1" applyFill="1" applyBorder="1" applyAlignment="1">
      <alignment horizontal="left"/>
    </xf>
    <xf numFmtId="0" fontId="32" fillId="0" borderId="2" xfId="0" applyNumberFormat="1" applyFont="1" applyFill="1" applyBorder="1" applyAlignment="1">
      <alignment horizontal="left"/>
    </xf>
    <xf numFmtId="0" fontId="32" fillId="0" borderId="0" xfId="0" applyNumberFormat="1" applyFont="1" applyFill="1" applyAlignment="1">
      <alignment horizontal="left"/>
    </xf>
    <xf numFmtId="0" fontId="69" fillId="0" borderId="0" xfId="0" applyNumberFormat="1" applyFont="1" applyFill="1" applyAlignment="1">
      <alignment horizontal="left"/>
    </xf>
    <xf numFmtId="0" fontId="32" fillId="0" borderId="2" xfId="0" applyFont="1" applyFill="1" applyBorder="1"/>
    <xf numFmtId="0" fontId="32" fillId="0" borderId="0" xfId="0" applyNumberFormat="1" applyFont="1" applyFill="1" applyAlignment="1">
      <alignment horizontal="right"/>
    </xf>
    <xf numFmtId="0" fontId="32" fillId="0" borderId="3" xfId="0" applyNumberFormat="1" applyFont="1" applyBorder="1" applyAlignment="1">
      <alignment horizontal="left"/>
    </xf>
    <xf numFmtId="0" fontId="45" fillId="3" borderId="0" xfId="0" applyFont="1" applyFill="1" applyAlignment="1"/>
    <xf numFmtId="0" fontId="32" fillId="3" borderId="0" xfId="0" applyNumberFormat="1" applyFont="1" applyFill="1" applyAlignment="1">
      <alignment horizontal="left"/>
    </xf>
    <xf numFmtId="0" fontId="70" fillId="0" borderId="8" xfId="0" applyFont="1" applyFill="1" applyBorder="1"/>
    <xf numFmtId="37" fontId="32" fillId="0" borderId="0" xfId="0" applyNumberFormat="1" applyFont="1" applyBorder="1" applyAlignment="1">
      <alignment horizontal="right"/>
    </xf>
    <xf numFmtId="3" fontId="37"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Fill="1" applyAlignment="1">
      <alignment horizontal="right"/>
    </xf>
    <xf numFmtId="0" fontId="32" fillId="0" borderId="3" xfId="0" applyFont="1" applyFill="1" applyBorder="1" applyAlignment="1">
      <alignment horizontal="center"/>
    </xf>
    <xf numFmtId="0" fontId="43" fillId="0" borderId="5" xfId="0" applyNumberFormat="1" applyFont="1" applyFill="1" applyBorder="1" applyAlignment="1"/>
    <xf numFmtId="0" fontId="43" fillId="0" borderId="0" xfId="0" applyNumberFormat="1" applyFont="1" applyFill="1" applyBorder="1" applyAlignment="1"/>
    <xf numFmtId="0" fontId="34" fillId="0" borderId="4" xfId="0" applyFont="1" applyFill="1" applyBorder="1"/>
    <xf numFmtId="0" fontId="34" fillId="0" borderId="2" xfId="0" applyNumberFormat="1" applyFont="1" applyFill="1" applyBorder="1" applyAlignment="1">
      <alignment horizontal="left"/>
    </xf>
    <xf numFmtId="0" fontId="32" fillId="0" borderId="3" xfId="0" applyFont="1" applyBorder="1" applyAlignment="1">
      <alignment horizontal="left"/>
    </xf>
    <xf numFmtId="164" fontId="34" fillId="0" borderId="0" xfId="1" applyNumberFormat="1" applyFont="1" applyFill="1" applyBorder="1"/>
    <xf numFmtId="0" fontId="51" fillId="0" borderId="14" xfId="0" applyFont="1" applyBorder="1"/>
    <xf numFmtId="0" fontId="51" fillId="0" borderId="14" xfId="0" applyFont="1" applyFill="1" applyBorder="1" applyAlignment="1">
      <alignment horizontal="center"/>
    </xf>
    <xf numFmtId="0" fontId="51" fillId="0" borderId="15" xfId="0" applyFont="1" applyBorder="1"/>
    <xf numFmtId="0" fontId="71" fillId="0" borderId="0" xfId="0" applyNumberFormat="1" applyFont="1" applyFill="1" applyBorder="1" applyAlignment="1">
      <alignment horizontal="center"/>
    </xf>
    <xf numFmtId="0" fontId="77" fillId="0" borderId="0" xfId="0" applyFont="1" applyFill="1" applyAlignment="1"/>
    <xf numFmtId="0" fontId="77" fillId="0" borderId="0" xfId="0" applyFont="1" applyFill="1"/>
    <xf numFmtId="0" fontId="77" fillId="0" borderId="0" xfId="0" applyFont="1" applyFill="1" applyAlignment="1">
      <alignment horizontal="left"/>
    </xf>
    <xf numFmtId="0" fontId="77" fillId="0" borderId="0" xfId="0" applyFont="1" applyFill="1" applyAlignment="1">
      <alignment horizontal="center"/>
    </xf>
    <xf numFmtId="0" fontId="77" fillId="0" borderId="0" xfId="0" applyFont="1" applyAlignment="1">
      <alignment horizontal="left"/>
    </xf>
    <xf numFmtId="0" fontId="77" fillId="0" borderId="0" xfId="0" applyFont="1" applyAlignment="1"/>
    <xf numFmtId="0" fontId="77" fillId="0" borderId="0" xfId="0" applyFont="1" applyAlignment="1">
      <alignment horizontal="center"/>
    </xf>
    <xf numFmtId="0" fontId="77" fillId="0" borderId="0" xfId="0" applyFont="1"/>
    <xf numFmtId="37" fontId="43" fillId="0" borderId="0" xfId="0" applyNumberFormat="1" applyFont="1" applyFill="1" applyBorder="1" applyAlignment="1">
      <alignment horizontal="right"/>
    </xf>
    <xf numFmtId="0" fontId="55" fillId="0" borderId="0" xfId="0" applyFont="1" applyFill="1" applyBorder="1" applyAlignment="1">
      <alignment horizontal="center"/>
    </xf>
    <xf numFmtId="0" fontId="51" fillId="0" borderId="24" xfId="0" applyFont="1" applyFill="1" applyBorder="1"/>
    <xf numFmtId="167" fontId="51" fillId="0" borderId="8" xfId="0" applyNumberFormat="1" applyFont="1" applyBorder="1"/>
    <xf numFmtId="167" fontId="51" fillId="0" borderId="24" xfId="0" applyNumberFormat="1" applyFont="1" applyBorder="1"/>
    <xf numFmtId="0" fontId="46" fillId="0" borderId="4" xfId="0" applyFont="1" applyBorder="1" applyAlignment="1"/>
    <xf numFmtId="0" fontId="34" fillId="0" borderId="0" xfId="0" applyNumberFormat="1" applyFont="1" applyFill="1" applyBorder="1" applyAlignment="1">
      <alignment horizontal="left"/>
    </xf>
    <xf numFmtId="0" fontId="32" fillId="0" borderId="0" xfId="0" applyFont="1" applyAlignment="1">
      <alignment horizontal="left"/>
    </xf>
    <xf numFmtId="0" fontId="66" fillId="0" borderId="0" xfId="0" applyFont="1" applyFill="1" applyBorder="1"/>
    <xf numFmtId="0" fontId="67" fillId="0" borderId="0" xfId="0" applyFont="1" applyFill="1" applyBorder="1" applyAlignment="1">
      <alignment horizontal="left"/>
    </xf>
    <xf numFmtId="172" fontId="51" fillId="0" borderId="8" xfId="0" applyNumberFormat="1" applyFont="1" applyBorder="1"/>
    <xf numFmtId="0" fontId="32" fillId="0" borderId="0" xfId="0" applyFont="1" applyFill="1" applyAlignment="1"/>
    <xf numFmtId="0" fontId="38" fillId="0" borderId="0" xfId="0" applyFont="1" applyBorder="1" applyAlignment="1">
      <alignment horizontal="center"/>
    </xf>
    <xf numFmtId="37" fontId="34" fillId="0" borderId="0" xfId="0" applyNumberFormat="1" applyFont="1" applyBorder="1" applyAlignment="1">
      <alignment horizontal="left"/>
    </xf>
    <xf numFmtId="0" fontId="38" fillId="0" borderId="0" xfId="0" applyFont="1" applyFill="1" applyBorder="1" applyAlignment="1">
      <alignment horizontal="center"/>
    </xf>
    <xf numFmtId="0" fontId="40" fillId="0" borderId="0" xfId="0" applyNumberFormat="1" applyFont="1" applyFill="1" applyBorder="1" applyAlignment="1"/>
    <xf numFmtId="0" fontId="34" fillId="0" borderId="7" xfId="0" applyFont="1" applyBorder="1"/>
    <xf numFmtId="0" fontId="34" fillId="0" borderId="8" xfId="0" applyNumberFormat="1" applyFont="1" applyFill="1" applyBorder="1" applyAlignment="1">
      <alignment horizontal="center"/>
    </xf>
    <xf numFmtId="0" fontId="37" fillId="0" borderId="0" xfId="0" applyNumberFormat="1" applyFont="1" applyFill="1" applyBorder="1" applyAlignment="1">
      <alignment horizontal="center"/>
    </xf>
    <xf numFmtId="0" fontId="34" fillId="0" borderId="8" xfId="0" applyFont="1" applyFill="1" applyBorder="1" applyAlignment="1">
      <alignment horizontal="center"/>
    </xf>
    <xf numFmtId="3" fontId="37" fillId="0" borderId="0" xfId="0" applyNumberFormat="1" applyFont="1" applyFill="1" applyBorder="1" applyAlignment="1">
      <alignment horizontal="center"/>
    </xf>
    <xf numFmtId="0" fontId="34" fillId="0" borderId="7" xfId="0" applyFont="1" applyBorder="1" applyAlignment="1"/>
    <xf numFmtId="0" fontId="34" fillId="0" borderId="0" xfId="0" applyNumberFormat="1" applyFont="1" applyFill="1" applyBorder="1" applyAlignment="1">
      <alignment horizontal="right"/>
    </xf>
    <xf numFmtId="0" fontId="37" fillId="0" borderId="0" xfId="0" applyNumberFormat="1" applyFont="1" applyBorder="1" applyAlignment="1">
      <alignment horizontal="center"/>
    </xf>
    <xf numFmtId="0" fontId="34" fillId="0" borderId="7" xfId="0" applyNumberFormat="1" applyFont="1" applyBorder="1" applyAlignment="1"/>
    <xf numFmtId="0" fontId="34" fillId="0" borderId="24" xfId="0" applyNumberFormat="1" applyFont="1" applyFill="1" applyBorder="1" applyAlignment="1">
      <alignment horizontal="center"/>
    </xf>
    <xf numFmtId="0" fontId="37" fillId="0" borderId="1" xfId="0" applyNumberFormat="1" applyFont="1" applyFill="1" applyBorder="1" applyAlignment="1">
      <alignment horizontal="center"/>
    </xf>
    <xf numFmtId="0" fontId="34" fillId="0" borderId="9" xfId="0" applyNumberFormat="1" applyFont="1" applyFill="1" applyBorder="1" applyAlignment="1"/>
    <xf numFmtId="0" fontId="34" fillId="0" borderId="7" xfId="0" applyNumberFormat="1" applyFont="1" applyFill="1" applyBorder="1" applyAlignment="1">
      <alignment horizontal="left"/>
    </xf>
    <xf numFmtId="3" fontId="34" fillId="0" borderId="0" xfId="0" applyNumberFormat="1" applyFont="1" applyFill="1" applyBorder="1" applyAlignment="1"/>
    <xf numFmtId="3" fontId="37" fillId="0" borderId="0" xfId="0" applyNumberFormat="1" applyFont="1" applyBorder="1" applyAlignment="1">
      <alignment horizontal="center"/>
    </xf>
    <xf numFmtId="0" fontId="34" fillId="0" borderId="9" xfId="0" applyNumberFormat="1" applyFont="1" applyFill="1" applyBorder="1" applyAlignment="1">
      <alignment horizontal="left"/>
    </xf>
    <xf numFmtId="3" fontId="34" fillId="0" borderId="0" xfId="0" applyNumberFormat="1" applyFont="1" applyFill="1" applyBorder="1" applyAlignment="1">
      <alignment horizontal="center"/>
    </xf>
    <xf numFmtId="0" fontId="34" fillId="0" borderId="1" xfId="0" applyNumberFormat="1" applyFont="1" applyFill="1" applyBorder="1" applyAlignment="1">
      <alignment horizontal="center"/>
    </xf>
    <xf numFmtId="0" fontId="34" fillId="0" borderId="1" xfId="0" applyFont="1" applyBorder="1"/>
    <xf numFmtId="3" fontId="34" fillId="0" borderId="8" xfId="0" applyNumberFormat="1" applyFont="1" applyFill="1" applyBorder="1" applyAlignment="1">
      <alignment horizontal="right"/>
    </xf>
    <xf numFmtId="0" fontId="34" fillId="0" borderId="0" xfId="0" applyNumberFormat="1" applyFont="1" applyFill="1" applyBorder="1" applyAlignment="1"/>
    <xf numFmtId="0" fontId="34" fillId="0" borderId="1" xfId="0" applyFont="1" applyFill="1" applyBorder="1"/>
    <xf numFmtId="0" fontId="31" fillId="0" borderId="0" xfId="0" applyFont="1" applyBorder="1" applyAlignment="1">
      <alignment horizontal="center"/>
    </xf>
    <xf numFmtId="3" fontId="34" fillId="0" borderId="0" xfId="0" applyNumberFormat="1" applyFont="1" applyBorder="1" applyAlignment="1">
      <alignment horizontal="center"/>
    </xf>
    <xf numFmtId="0" fontId="34" fillId="0" borderId="9" xfId="0" applyNumberFormat="1" applyFont="1" applyFill="1" applyBorder="1" applyAlignment="1">
      <alignment horizontal="center"/>
    </xf>
    <xf numFmtId="3" fontId="34" fillId="0" borderId="0" xfId="0" applyNumberFormat="1" applyFont="1" applyFill="1" applyAlignment="1"/>
    <xf numFmtId="0" fontId="34" fillId="0" borderId="8" xfId="0" applyFont="1" applyBorder="1"/>
    <xf numFmtId="3" fontId="34" fillId="0" borderId="8" xfId="0" applyNumberFormat="1" applyFont="1" applyBorder="1" applyAlignment="1">
      <alignment horizontal="center"/>
    </xf>
    <xf numFmtId="3" fontId="34" fillId="0" borderId="24" xfId="0" applyNumberFormat="1" applyFont="1" applyBorder="1" applyAlignment="1">
      <alignment horizontal="center"/>
    </xf>
    <xf numFmtId="3" fontId="34" fillId="0" borderId="1" xfId="0" applyNumberFormat="1" applyFont="1" applyFill="1" applyBorder="1" applyAlignment="1">
      <alignment horizontal="center"/>
    </xf>
    <xf numFmtId="3" fontId="34" fillId="0" borderId="1" xfId="0" applyNumberFormat="1" applyFont="1" applyBorder="1" applyAlignment="1">
      <alignment horizontal="center"/>
    </xf>
    <xf numFmtId="0" fontId="34" fillId="0" borderId="24" xfId="0" applyFont="1" applyBorder="1"/>
    <xf numFmtId="0" fontId="34" fillId="0" borderId="9" xfId="0" applyFont="1" applyBorder="1"/>
    <xf numFmtId="0" fontId="34" fillId="0" borderId="7" xfId="0" applyFont="1" applyFill="1" applyBorder="1"/>
    <xf numFmtId="0" fontId="34" fillId="0" borderId="1" xfId="0" applyFont="1" applyBorder="1" applyAlignment="1">
      <alignment horizontal="center"/>
    </xf>
    <xf numFmtId="0" fontId="39" fillId="0" borderId="24" xfId="0" applyFont="1" applyFill="1" applyBorder="1" applyAlignment="1">
      <alignment horizontal="left"/>
    </xf>
    <xf numFmtId="0" fontId="34" fillId="0" borderId="1" xfId="0" applyFont="1" applyFill="1" applyBorder="1" applyAlignment="1">
      <alignment horizontal="center"/>
    </xf>
    <xf numFmtId="0" fontId="34" fillId="0" borderId="1" xfId="0" applyFont="1" applyFill="1" applyBorder="1" applyAlignment="1">
      <alignment horizontal="left"/>
    </xf>
    <xf numFmtId="0" fontId="34" fillId="0" borderId="9" xfId="0" applyFont="1" applyFill="1" applyBorder="1" applyAlignment="1">
      <alignment horizontal="center"/>
    </xf>
    <xf numFmtId="0" fontId="40" fillId="0" borderId="8" xfId="0" applyFont="1" applyBorder="1" applyAlignment="1">
      <alignment horizontal="center"/>
    </xf>
    <xf numFmtId="0" fontId="34" fillId="0" borderId="0" xfId="0" applyFont="1" applyFill="1" applyBorder="1" applyAlignment="1">
      <alignment horizontal="right"/>
    </xf>
    <xf numFmtId="0" fontId="38" fillId="0" borderId="0" xfId="0" applyFont="1" applyBorder="1"/>
    <xf numFmtId="0" fontId="38" fillId="0" borderId="1" xfId="0" applyFont="1" applyFill="1" applyBorder="1"/>
    <xf numFmtId="0" fontId="34"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0" fillId="0" borderId="16" xfId="0" applyFont="1" applyFill="1" applyBorder="1"/>
    <xf numFmtId="0" fontId="46" fillId="0" borderId="0" xfId="0" applyFont="1" applyFill="1" applyAlignment="1">
      <alignment horizontal="left"/>
    </xf>
    <xf numFmtId="0" fontId="46" fillId="0" borderId="0" xfId="0" applyFont="1" applyFill="1"/>
    <xf numFmtId="0" fontId="46" fillId="0" borderId="0" xfId="0" applyFont="1" applyFill="1" applyAlignment="1"/>
    <xf numFmtId="0" fontId="42" fillId="0" borderId="0" xfId="8"/>
    <xf numFmtId="0" fontId="42" fillId="0" borderId="0" xfId="8" applyAlignment="1">
      <alignment horizontal="center"/>
    </xf>
    <xf numFmtId="0" fontId="63" fillId="0" borderId="0" xfId="8" applyFont="1"/>
    <xf numFmtId="0" fontId="56" fillId="0" borderId="0" xfId="8" applyFont="1" applyAlignment="1">
      <alignment horizontal="center"/>
    </xf>
    <xf numFmtId="0" fontId="56" fillId="0" borderId="0" xfId="8" applyFont="1"/>
    <xf numFmtId="0" fontId="57" fillId="0" borderId="0" xfId="8" applyFont="1"/>
    <xf numFmtId="0" fontId="56" fillId="0" borderId="0" xfId="8" applyFont="1" applyFill="1" applyAlignment="1">
      <alignment horizontal="center"/>
    </xf>
    <xf numFmtId="0" fontId="56" fillId="0" borderId="0" xfId="8" applyFont="1" applyAlignment="1">
      <alignment horizontal="left"/>
    </xf>
    <xf numFmtId="16" fontId="56" fillId="0" borderId="0" xfId="8" applyNumberFormat="1" applyFont="1" applyAlignment="1">
      <alignment horizontal="center"/>
    </xf>
    <xf numFmtId="0" fontId="42" fillId="0" borderId="0" xfId="8" applyAlignment="1"/>
    <xf numFmtId="164" fontId="56" fillId="0" borderId="0" xfId="2" applyNumberFormat="1" applyFont="1"/>
    <xf numFmtId="0" fontId="64" fillId="0" borderId="0" xfId="8" applyFont="1" applyFill="1" applyAlignment="1">
      <alignment horizontal="left"/>
    </xf>
    <xf numFmtId="164" fontId="56" fillId="0" borderId="0" xfId="8" applyNumberFormat="1" applyFont="1"/>
    <xf numFmtId="43" fontId="56" fillId="0" borderId="0" xfId="8" applyNumberFormat="1" applyFont="1"/>
    <xf numFmtId="167" fontId="56" fillId="0" borderId="0" xfId="8" applyNumberFormat="1" applyFont="1"/>
    <xf numFmtId="167" fontId="56" fillId="0" borderId="0" xfId="6" applyNumberFormat="1" applyFont="1"/>
    <xf numFmtId="0" fontId="56" fillId="0" borderId="0" xfId="8" applyFont="1" applyBorder="1" applyAlignment="1">
      <alignment horizontal="center"/>
    </xf>
    <xf numFmtId="0" fontId="56" fillId="0" borderId="0" xfId="8" applyFont="1" applyBorder="1"/>
    <xf numFmtId="0" fontId="65" fillId="0" borderId="0" xfId="8" applyFont="1" applyBorder="1"/>
    <xf numFmtId="167" fontId="56" fillId="0" borderId="0" xfId="6" applyNumberFormat="1" applyFont="1" applyFill="1" applyAlignment="1">
      <alignment horizontal="left"/>
    </xf>
    <xf numFmtId="167" fontId="56" fillId="0" borderId="0" xfId="6" applyNumberFormat="1" applyFont="1" applyAlignment="1">
      <alignment horizontal="left"/>
    </xf>
    <xf numFmtId="0" fontId="56" fillId="0" borderId="0" xfId="8" applyFont="1" applyFill="1"/>
    <xf numFmtId="0" fontId="56" fillId="0" borderId="0" xfId="6" applyNumberFormat="1" applyFont="1" applyFill="1" applyAlignment="1">
      <alignment horizontal="left"/>
    </xf>
    <xf numFmtId="164" fontId="56" fillId="0" borderId="0" xfId="8" applyNumberFormat="1" applyFont="1" applyFill="1"/>
    <xf numFmtId="0" fontId="56" fillId="0" borderId="0" xfId="8" applyFont="1" applyFill="1" applyAlignment="1">
      <alignment horizontal="left"/>
    </xf>
    <xf numFmtId="0" fontId="47" fillId="0" borderId="0" xfId="8" applyFont="1" applyAlignment="1">
      <alignment horizontal="center"/>
    </xf>
    <xf numFmtId="0" fontId="47" fillId="0" borderId="0" xfId="8" applyFont="1"/>
    <xf numFmtId="0" fontId="42" fillId="0" borderId="0" xfId="8" applyFill="1" applyBorder="1" applyAlignment="1">
      <alignment horizontal="center"/>
    </xf>
    <xf numFmtId="0" fontId="42" fillId="0" borderId="0" xfId="8" applyFill="1" applyBorder="1"/>
    <xf numFmtId="0" fontId="34" fillId="0" borderId="0" xfId="0" applyNumberFormat="1" applyFont="1" applyFill="1" applyAlignment="1"/>
    <xf numFmtId="3" fontId="34" fillId="0" borderId="7" xfId="0" applyNumberFormat="1" applyFont="1" applyFill="1" applyBorder="1" applyAlignment="1">
      <alignment vertical="center" wrapText="1"/>
    </xf>
    <xf numFmtId="0" fontId="84" fillId="0" borderId="0" xfId="0" applyNumberFormat="1" applyFont="1" applyFill="1" applyBorder="1" applyAlignment="1">
      <alignment horizontal="left"/>
    </xf>
    <xf numFmtId="0" fontId="46" fillId="0" borderId="0" xfId="0" applyNumberFormat="1" applyFont="1" applyFill="1"/>
    <xf numFmtId="0" fontId="34" fillId="0" borderId="2" xfId="0" applyNumberFormat="1" applyFont="1" applyFill="1" applyBorder="1" applyAlignment="1"/>
    <xf numFmtId="164" fontId="51" fillId="0" borderId="7" xfId="0" applyNumberFormat="1" applyFont="1" applyBorder="1"/>
    <xf numFmtId="0" fontId="51" fillId="0" borderId="7" xfId="0" applyFont="1" applyFill="1" applyBorder="1" applyAlignment="1">
      <alignment horizontal="left" wrapText="1"/>
    </xf>
    <xf numFmtId="10" fontId="51" fillId="0" borderId="7" xfId="13" applyNumberFormat="1" applyFont="1" applyFill="1" applyBorder="1" applyAlignment="1">
      <alignment horizontal="center"/>
    </xf>
    <xf numFmtId="0" fontId="51" fillId="0" borderId="7" xfId="0" applyFont="1" applyFill="1" applyBorder="1" applyAlignment="1">
      <alignment wrapText="1"/>
    </xf>
    <xf numFmtId="172" fontId="32" fillId="0" borderId="0" xfId="13" applyNumberFormat="1" applyFont="1" applyFill="1" applyAlignment="1"/>
    <xf numFmtId="0" fontId="34" fillId="0" borderId="0" xfId="0" applyFont="1" applyFill="1" applyBorder="1" applyAlignment="1">
      <alignment wrapText="1"/>
    </xf>
    <xf numFmtId="0" fontId="34" fillId="0" borderId="7" xfId="0" applyFont="1" applyFill="1" applyBorder="1" applyAlignment="1">
      <alignment wrapText="1"/>
    </xf>
    <xf numFmtId="164" fontId="0" fillId="0" borderId="0" xfId="1" applyNumberFormat="1" applyFont="1"/>
    <xf numFmtId="0" fontId="30" fillId="0" borderId="0" xfId="0" applyFont="1"/>
    <xf numFmtId="0" fontId="30"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9" fillId="0" borderId="0" xfId="0" applyNumberFormat="1" applyFont="1" applyAlignment="1">
      <alignment horizontal="right"/>
    </xf>
    <xf numFmtId="0" fontId="74" fillId="0" borderId="0" xfId="37"/>
    <xf numFmtId="167" fontId="87" fillId="0" borderId="0" xfId="6" applyNumberFormat="1" applyFont="1" applyFill="1" applyAlignment="1">
      <alignment horizontal="left"/>
    </xf>
    <xf numFmtId="164" fontId="30" fillId="0" borderId="0" xfId="1" applyNumberFormat="1" applyFont="1" applyFill="1"/>
    <xf numFmtId="0" fontId="0" fillId="0" borderId="0" xfId="0" applyAlignment="1">
      <alignment vertical="center"/>
    </xf>
    <xf numFmtId="0" fontId="34" fillId="0" borderId="0" xfId="0" applyNumberFormat="1" applyFont="1" applyFill="1" applyBorder="1" applyAlignment="1">
      <alignment horizontal="left"/>
    </xf>
    <xf numFmtId="0" fontId="30" fillId="0" borderId="37" xfId="0" applyFont="1" applyFill="1" applyBorder="1" applyAlignment="1">
      <alignment horizontal="center"/>
    </xf>
    <xf numFmtId="0" fontId="30" fillId="0" borderId="37" xfId="0" applyFont="1" applyFill="1" applyBorder="1"/>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30" fillId="0" borderId="0" xfId="26"/>
    <xf numFmtId="0" fontId="92" fillId="0" borderId="0" xfId="29" applyFont="1"/>
    <xf numFmtId="0" fontId="73" fillId="0" borderId="0" xfId="0" applyFont="1" applyFill="1"/>
    <xf numFmtId="3" fontId="30" fillId="0" borderId="0" xfId="0" applyNumberFormat="1" applyFont="1"/>
    <xf numFmtId="0" fontId="93" fillId="10" borderId="39" xfId="37" applyFont="1" applyFill="1" applyBorder="1" applyAlignment="1" applyProtection="1">
      <alignment horizontal="center" vertical="center"/>
    </xf>
    <xf numFmtId="0" fontId="34" fillId="0" borderId="0" xfId="0" applyFont="1"/>
    <xf numFmtId="0" fontId="34" fillId="7" borderId="0" xfId="0" applyNumberFormat="1" applyFont="1" applyFill="1" applyAlignment="1">
      <alignment horizontal="center"/>
    </xf>
    <xf numFmtId="164" fontId="30" fillId="0" borderId="0" xfId="1" applyNumberFormat="1" applyFont="1" applyFill="1" applyAlignment="1">
      <alignment vertical="top"/>
    </xf>
    <xf numFmtId="0" fontId="34" fillId="0" borderId="0" xfId="0" applyFont="1"/>
    <xf numFmtId="10" fontId="32" fillId="0" borderId="0" xfId="13" applyNumberFormat="1" applyFont="1" applyAlignment="1"/>
    <xf numFmtId="172" fontId="51" fillId="0" borderId="0" xfId="0" applyNumberFormat="1" applyFont="1" applyBorder="1"/>
    <xf numFmtId="0" fontId="34" fillId="0" borderId="0" xfId="0" applyFont="1"/>
    <xf numFmtId="0" fontId="30" fillId="0" borderId="0" xfId="26" applyFont="1"/>
    <xf numFmtId="0" fontId="30" fillId="0" borderId="42" xfId="26" applyFont="1" applyBorder="1" applyAlignment="1">
      <alignment horizontal="center" wrapText="1"/>
    </xf>
    <xf numFmtId="0" fontId="94" fillId="0" borderId="0" xfId="26" applyFont="1"/>
    <xf numFmtId="0" fontId="87" fillId="0" borderId="0" xfId="8" applyFont="1" applyAlignment="1">
      <alignment horizontal="center"/>
    </xf>
    <xf numFmtId="0" fontId="43" fillId="0" borderId="0" xfId="0" applyFont="1" applyAlignment="1">
      <alignment horizontal="centerContinuous"/>
    </xf>
    <xf numFmtId="0" fontId="46" fillId="0" borderId="0" xfId="0" applyFont="1" applyFill="1" applyBorder="1" applyAlignment="1"/>
    <xf numFmtId="0" fontId="102" fillId="0" borderId="0" xfId="0" applyFont="1" applyFill="1" applyBorder="1" applyAlignment="1"/>
    <xf numFmtId="0" fontId="56" fillId="0" borderId="0" xfId="45" applyFont="1"/>
    <xf numFmtId="0" fontId="51" fillId="0" borderId="0" xfId="0" applyFont="1" applyFill="1" applyBorder="1" applyAlignment="1">
      <alignment horizontal="left" wrapText="1"/>
    </xf>
    <xf numFmtId="0" fontId="53" fillId="0" borderId="0" xfId="0" applyFont="1" applyFill="1"/>
    <xf numFmtId="0" fontId="53" fillId="0" borderId="0" xfId="0" applyFont="1" applyFill="1" applyAlignment="1">
      <alignment horizontal="center"/>
    </xf>
    <xf numFmtId="0" fontId="62" fillId="0" borderId="0" xfId="0" applyFont="1" applyFill="1" applyAlignment="1">
      <alignment horizontal="centerContinuous"/>
    </xf>
    <xf numFmtId="0" fontId="57" fillId="0" borderId="0" xfId="8" applyFont="1" applyFill="1"/>
    <xf numFmtId="0" fontId="42" fillId="0" borderId="0" xfId="8" applyFill="1"/>
    <xf numFmtId="16" fontId="56" fillId="0" borderId="0" xfId="8" applyNumberFormat="1" applyFont="1" applyFill="1" applyAlignment="1">
      <alignment horizontal="center"/>
    </xf>
    <xf numFmtId="0" fontId="43" fillId="0" borderId="0" xfId="8" applyFont="1" applyAlignment="1">
      <alignment horizontal="centerContinuous"/>
    </xf>
    <xf numFmtId="0" fontId="42" fillId="0" borderId="0" xfId="8" applyAlignment="1">
      <alignment horizontal="centerContinuous"/>
    </xf>
    <xf numFmtId="0" fontId="82" fillId="0" borderId="0" xfId="8" applyFont="1" applyAlignment="1">
      <alignment horizontal="centerContinuous"/>
    </xf>
    <xf numFmtId="0" fontId="83" fillId="0" borderId="0" xfId="8" applyFont="1" applyAlignment="1">
      <alignment horizontal="centerContinuous"/>
    </xf>
    <xf numFmtId="0" fontId="32" fillId="0" borderId="0" xfId="26" applyFont="1" applyAlignment="1">
      <alignment horizontal="centerContinuous"/>
    </xf>
    <xf numFmtId="0" fontId="90" fillId="0" borderId="0" xfId="26" applyFont="1" applyAlignment="1">
      <alignment horizontal="centerContinuous"/>
    </xf>
    <xf numFmtId="172" fontId="32" fillId="0" borderId="3" xfId="13" applyNumberFormat="1" applyFont="1" applyFill="1" applyBorder="1" applyAlignment="1"/>
    <xf numFmtId="3" fontId="34" fillId="0" borderId="2" xfId="0" applyNumberFormat="1" applyFont="1" applyFill="1" applyBorder="1" applyAlignment="1"/>
    <xf numFmtId="3" fontId="34" fillId="0" borderId="0" xfId="0" applyNumberFormat="1" applyFont="1" applyFill="1" applyAlignment="1">
      <alignment horizontal="center"/>
    </xf>
    <xf numFmtId="172" fontId="34" fillId="0" borderId="0" xfId="0" applyNumberFormat="1" applyFont="1" applyFill="1" applyAlignment="1">
      <alignment horizontal="right"/>
    </xf>
    <xf numFmtId="10" fontId="34" fillId="0" borderId="0" xfId="0" applyNumberFormat="1" applyFont="1" applyFill="1" applyAlignment="1"/>
    <xf numFmtId="0" fontId="46" fillId="0" borderId="0" xfId="0" applyNumberFormat="1" applyFont="1" applyFill="1" applyAlignment="1">
      <alignment horizontal="left"/>
    </xf>
    <xf numFmtId="0" fontId="46" fillId="0" borderId="0" xfId="0" applyNumberFormat="1" applyFont="1" applyFill="1" applyBorder="1" applyAlignment="1">
      <alignment horizontal="center"/>
    </xf>
    <xf numFmtId="0" fontId="46" fillId="0" borderId="0" xfId="0" applyNumberFormat="1" applyFont="1" applyFill="1" applyAlignment="1">
      <alignment horizontal="center"/>
    </xf>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4" fillId="0" borderId="0" xfId="0" applyFont="1" applyFill="1" applyBorder="1" applyAlignment="1">
      <alignment horizontal="left" wrapText="1"/>
    </xf>
    <xf numFmtId="0" fontId="34" fillId="0" borderId="7" xfId="0" applyFont="1" applyFill="1" applyBorder="1" applyAlignment="1">
      <alignment horizontal="left" wrapText="1"/>
    </xf>
    <xf numFmtId="0" fontId="34" fillId="0" borderId="0" xfId="0" applyFont="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Font="1" applyBorder="1"/>
    <xf numFmtId="3" fontId="34" fillId="0" borderId="0" xfId="37" applyNumberFormat="1" applyFont="1" applyFill="1" applyBorder="1" applyAlignment="1"/>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3" fontId="34" fillId="0" borderId="4" xfId="37" applyNumberFormat="1" applyFont="1" applyFill="1" applyBorder="1" applyAlignment="1"/>
    <xf numFmtId="0" fontId="105" fillId="0" borderId="0" xfId="37" applyNumberFormat="1" applyFont="1" applyFill="1" applyBorder="1" applyAlignment="1">
      <alignment horizontal="center"/>
    </xf>
    <xf numFmtId="164" fontId="30" fillId="0" borderId="0" xfId="48" applyNumberFormat="1" applyFont="1" applyFill="1" applyBorder="1" applyAlignment="1">
      <alignment horizontal="right"/>
    </xf>
    <xf numFmtId="0" fontId="43" fillId="0" borderId="0" xfId="0" applyFont="1" applyFill="1" applyBorder="1" applyAlignment="1"/>
    <xf numFmtId="0" fontId="30" fillId="0" borderId="0" xfId="45" applyAlignment="1">
      <alignment horizontal="center"/>
    </xf>
    <xf numFmtId="0" fontId="56" fillId="0" borderId="0" xfId="45" applyFont="1" applyAlignment="1">
      <alignment horizontal="center"/>
    </xf>
    <xf numFmtId="0" fontId="56" fillId="0" borderId="0" xfId="45" applyFont="1" applyFill="1"/>
    <xf numFmtId="164" fontId="56" fillId="0" borderId="0" xfId="45" applyNumberFormat="1" applyFont="1" applyFill="1"/>
    <xf numFmtId="0" fontId="57" fillId="0" borderId="0" xfId="45" applyFont="1"/>
    <xf numFmtId="0" fontId="30" fillId="0" borderId="0" xfId="45"/>
    <xf numFmtId="0" fontId="30" fillId="0" borderId="0" xfId="45" applyFont="1"/>
    <xf numFmtId="171" fontId="43" fillId="0" borderId="0" xfId="13" applyNumberFormat="1" applyFont="1" applyFill="1" applyBorder="1" applyAlignment="1">
      <alignment horizontal="right"/>
    </xf>
    <xf numFmtId="3" fontId="34" fillId="11" borderId="0" xfId="0" applyNumberFormat="1" applyFont="1" applyFill="1" applyBorder="1" applyAlignment="1">
      <alignment horizontal="center"/>
    </xf>
    <xf numFmtId="167" fontId="56" fillId="11" borderId="0" xfId="6" applyNumberFormat="1" applyFont="1" applyFill="1"/>
    <xf numFmtId="167" fontId="56" fillId="11" borderId="0" xfId="8" applyNumberFormat="1" applyFont="1" applyFill="1"/>
    <xf numFmtId="167" fontId="56" fillId="11" borderId="0" xfId="6" applyNumberFormat="1" applyFont="1" applyFill="1" applyAlignment="1">
      <alignment horizontal="left"/>
    </xf>
    <xf numFmtId="164" fontId="30" fillId="0" borderId="0" xfId="1" applyNumberFormat="1" applyFill="1"/>
    <xf numFmtId="0" fontId="30" fillId="0" borderId="0" xfId="26" applyFont="1" applyAlignment="1">
      <alignment horizontal="centerContinuous"/>
    </xf>
    <xf numFmtId="0" fontId="56" fillId="0" borderId="41" xfId="8" applyFont="1" applyBorder="1" applyAlignment="1">
      <alignment horizontal="center"/>
    </xf>
    <xf numFmtId="0" fontId="56" fillId="0" borderId="20" xfId="8" applyFont="1" applyBorder="1" applyAlignment="1">
      <alignment horizontal="center"/>
    </xf>
    <xf numFmtId="0" fontId="56" fillId="0" borderId="46" xfId="12" applyFont="1" applyBorder="1" applyAlignment="1">
      <alignment horizontal="center"/>
    </xf>
    <xf numFmtId="0" fontId="56" fillId="0" borderId="48" xfId="12" applyFont="1" applyBorder="1" applyAlignment="1">
      <alignment horizontal="center"/>
    </xf>
    <xf numFmtId="0" fontId="56" fillId="0" borderId="18" xfId="8" applyFont="1" applyBorder="1" applyAlignment="1">
      <alignment horizontal="center"/>
    </xf>
    <xf numFmtId="0" fontId="56" fillId="0" borderId="17" xfId="8" applyFont="1" applyBorder="1" applyAlignment="1">
      <alignment horizontal="center"/>
    </xf>
    <xf numFmtId="0" fontId="56" fillId="0" borderId="46" xfId="8" applyFont="1" applyBorder="1" applyAlignment="1">
      <alignment horizontal="center"/>
    </xf>
    <xf numFmtId="0" fontId="56" fillId="0" borderId="48" xfId="8" applyFont="1" applyBorder="1" applyAlignment="1">
      <alignment horizontal="center"/>
    </xf>
    <xf numFmtId="0" fontId="56" fillId="0" borderId="47" xfId="8" applyFont="1" applyBorder="1" applyAlignment="1">
      <alignment horizontal="center"/>
    </xf>
    <xf numFmtId="164" fontId="56" fillId="0" borderId="18" xfId="8" applyNumberFormat="1" applyFont="1" applyBorder="1"/>
    <xf numFmtId="164" fontId="56" fillId="0" borderId="0" xfId="8" applyNumberFormat="1" applyFont="1" applyBorder="1"/>
    <xf numFmtId="0" fontId="30" fillId="0" borderId="0" xfId="0" applyNumberFormat="1" applyFont="1" applyFill="1" applyBorder="1" applyAlignment="1"/>
    <xf numFmtId="0" fontId="30" fillId="0" borderId="23" xfId="26" applyFont="1" applyBorder="1" applyAlignment="1">
      <alignment horizontal="center" wrapText="1"/>
    </xf>
    <xf numFmtId="0" fontId="34" fillId="0" borderId="0" xfId="0" applyFont="1" applyBorder="1" applyAlignment="1">
      <alignment horizontal="center"/>
    </xf>
    <xf numFmtId="37" fontId="46" fillId="0" borderId="0" xfId="0" applyNumberFormat="1" applyFont="1" applyFill="1" applyBorder="1" applyAlignment="1">
      <alignment horizontal="left"/>
    </xf>
    <xf numFmtId="164" fontId="51" fillId="0" borderId="9" xfId="1" applyNumberFormat="1" applyFont="1" applyBorder="1"/>
    <xf numFmtId="43" fontId="30" fillId="0" borderId="0" xfId="26" applyNumberFormat="1" applyFont="1"/>
    <xf numFmtId="0" fontId="31" fillId="0" borderId="0" xfId="26" applyFont="1" applyAlignment="1">
      <alignment horizontal="center" vertical="center"/>
    </xf>
    <xf numFmtId="0" fontId="46" fillId="0" borderId="0" xfId="0" applyFont="1"/>
    <xf numFmtId="0" fontId="46" fillId="0" borderId="0" xfId="0" applyFont="1" applyFill="1" applyAlignment="1">
      <alignment horizontal="center"/>
    </xf>
    <xf numFmtId="37" fontId="107" fillId="0" borderId="0" xfId="45" applyNumberFormat="1" applyFont="1"/>
    <xf numFmtId="37" fontId="30" fillId="0" borderId="0" xfId="45" applyNumberFormat="1" applyFont="1" applyFill="1" applyBorder="1"/>
    <xf numFmtId="37" fontId="33" fillId="0" borderId="0" xfId="45" applyNumberFormat="1" applyFont="1"/>
    <xf numFmtId="0" fontId="30" fillId="0" borderId="0" xfId="57"/>
    <xf numFmtId="0" fontId="30" fillId="0" borderId="0" xfId="57" applyFont="1"/>
    <xf numFmtId="37" fontId="34" fillId="0" borderId="0" xfId="0" applyNumberFormat="1" applyFont="1" applyFill="1" applyAlignment="1">
      <alignment horizontal="center"/>
    </xf>
    <xf numFmtId="37" fontId="34" fillId="0" borderId="0" xfId="0" applyNumberFormat="1" applyFont="1" applyFill="1" applyAlignment="1">
      <alignment horizontal="left"/>
    </xf>
    <xf numFmtId="10" fontId="34" fillId="0" borderId="0" xfId="13" applyNumberFormat="1" applyFont="1" applyFill="1" applyAlignment="1">
      <alignment horizontal="right"/>
    </xf>
    <xf numFmtId="10" fontId="34" fillId="0" borderId="0" xfId="0" applyNumberFormat="1" applyFont="1" applyAlignment="1">
      <alignment horizontal="right"/>
    </xf>
    <xf numFmtId="37" fontId="127" fillId="0" borderId="0" xfId="45" applyNumberFormat="1" applyFont="1"/>
    <xf numFmtId="37" fontId="34" fillId="0" borderId="0" xfId="45" applyNumberFormat="1" applyFont="1"/>
    <xf numFmtId="37" fontId="34" fillId="0" borderId="0" xfId="45" applyNumberFormat="1" applyFont="1" applyFill="1" applyBorder="1" applyAlignment="1"/>
    <xf numFmtId="37" fontId="34" fillId="0" borderId="0" xfId="45" applyNumberFormat="1" applyFont="1" applyFill="1"/>
    <xf numFmtId="37" fontId="129" fillId="0" borderId="0" xfId="45" applyNumberFormat="1" applyFont="1"/>
    <xf numFmtId="37" fontId="128" fillId="0" borderId="0" xfId="45" applyNumberFormat="1" applyFont="1"/>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134" fillId="0" borderId="0" xfId="57" applyFont="1" applyAlignment="1">
      <alignment horizontal="center"/>
    </xf>
    <xf numFmtId="174" fontId="133" fillId="0" borderId="20" xfId="1" quotePrefix="1" applyNumberFormat="1" applyFont="1" applyBorder="1" applyAlignment="1" applyProtection="1">
      <alignment horizontal="center"/>
    </xf>
    <xf numFmtId="0" fontId="114" fillId="0" borderId="0" xfId="57" applyFont="1" applyAlignment="1">
      <alignment horizontal="center"/>
    </xf>
    <xf numFmtId="0" fontId="114" fillId="0" borderId="0" xfId="57" applyFont="1"/>
    <xf numFmtId="0" fontId="114" fillId="0" borderId="0" xfId="57" applyFont="1" applyAlignment="1">
      <alignment horizontal="left" vertical="justify"/>
    </xf>
    <xf numFmtId="174" fontId="133" fillId="0" borderId="0" xfId="1" quotePrefix="1" applyNumberFormat="1" applyFont="1" applyBorder="1" applyAlignment="1" applyProtection="1">
      <alignment horizontal="center"/>
    </xf>
    <xf numFmtId="0" fontId="135" fillId="0" borderId="0" xfId="57" applyFont="1" applyAlignment="1">
      <alignment horizontal="center"/>
    </xf>
    <xf numFmtId="0" fontId="135" fillId="0" borderId="0" xfId="57" applyFont="1"/>
    <xf numFmtId="0" fontId="135" fillId="0" borderId="0" xfId="57" applyFont="1" applyAlignment="1">
      <alignment horizontal="left" vertical="justify"/>
    </xf>
    <xf numFmtId="0" fontId="30" fillId="0" borderId="0" xfId="57" applyAlignment="1">
      <alignment vertical="center"/>
    </xf>
    <xf numFmtId="167" fontId="0" fillId="0" borderId="0" xfId="0" applyNumberFormat="1"/>
    <xf numFmtId="0" fontId="30" fillId="0" borderId="0" xfId="0" applyFont="1" applyAlignment="1">
      <alignment wrapText="1"/>
    </xf>
    <xf numFmtId="0" fontId="0" fillId="0" borderId="0" xfId="0"/>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53" fillId="0" borderId="0" xfId="0" applyFont="1" applyFill="1" applyAlignment="1">
      <alignment horizontal="centerContinuous"/>
    </xf>
    <xf numFmtId="5" fontId="30" fillId="0" borderId="0" xfId="1" applyNumberFormat="1" applyFont="1" applyFill="1"/>
    <xf numFmtId="0" fontId="53" fillId="0" borderId="0" xfId="0" applyFont="1" applyFill="1" applyAlignment="1">
      <alignment horizontal="left" indent="1"/>
    </xf>
    <xf numFmtId="182" fontId="30" fillId="0" borderId="0" xfId="0" applyNumberFormat="1" applyFont="1" applyFill="1"/>
    <xf numFmtId="0" fontId="34" fillId="0" borderId="0" xfId="0" applyNumberFormat="1" applyFont="1" applyFill="1" applyBorder="1" applyAlignment="1">
      <alignment horizontal="left" indent="1"/>
    </xf>
    <xf numFmtId="3" fontId="34" fillId="0" borderId="8" xfId="0" applyNumberFormat="1" applyFont="1" applyFill="1" applyBorder="1"/>
    <xf numFmtId="10" fontId="34" fillId="0" borderId="0" xfId="13" applyNumberFormat="1" applyFont="1" applyFill="1" applyAlignment="1"/>
    <xf numFmtId="168" fontId="34" fillId="0" borderId="0" xfId="0" applyNumberFormat="1" applyFont="1" applyFill="1" applyAlignment="1"/>
    <xf numFmtId="0" fontId="34" fillId="0" borderId="0" xfId="0" applyNumberFormat="1" applyFont="1" applyFill="1"/>
    <xf numFmtId="37" fontId="34" fillId="0" borderId="0" xfId="45" applyNumberFormat="1" applyFont="1" applyFill="1" applyBorder="1"/>
    <xf numFmtId="3" fontId="34" fillId="0" borderId="0" xfId="0" applyNumberFormat="1" applyFont="1" applyBorder="1" applyAlignment="1"/>
    <xf numFmtId="3" fontId="34" fillId="0" borderId="0" xfId="0" applyNumberFormat="1" applyFont="1" applyAlignment="1"/>
    <xf numFmtId="3" fontId="34" fillId="0" borderId="0" xfId="0" quotePrefix="1" applyNumberFormat="1" applyFont="1" applyAlignment="1">
      <alignment horizontal="right"/>
    </xf>
    <xf numFmtId="3" fontId="34" fillId="0" borderId="4" xfId="0" applyNumberFormat="1" applyFont="1" applyFill="1" applyBorder="1" applyAlignment="1"/>
    <xf numFmtId="3" fontId="34" fillId="0" borderId="4" xfId="0" applyNumberFormat="1" applyFont="1" applyBorder="1" applyAlignment="1">
      <alignment horizontal="right"/>
    </xf>
    <xf numFmtId="10" fontId="34" fillId="0" borderId="4" xfId="13" applyNumberFormat="1" applyFont="1" applyFill="1" applyBorder="1" applyAlignment="1"/>
    <xf numFmtId="37" fontId="31" fillId="0" borderId="0" xfId="45" applyNumberFormat="1" applyFont="1" applyBorder="1" applyAlignment="1"/>
    <xf numFmtId="185" fontId="31" fillId="0" borderId="0" xfId="45" applyNumberFormat="1" applyFont="1" applyAlignment="1">
      <alignment horizontal="centerContinuous"/>
    </xf>
    <xf numFmtId="185" fontId="109" fillId="0" borderId="0" xfId="45" applyNumberFormat="1" applyFont="1" applyAlignment="1">
      <alignment horizontal="centerContinuous"/>
    </xf>
    <xf numFmtId="37" fontId="30" fillId="0" borderId="0" xfId="45" applyNumberFormat="1" applyFont="1" applyAlignment="1">
      <alignment horizontal="centerContinuous"/>
    </xf>
    <xf numFmtId="37" fontId="107" fillId="0" borderId="0" xfId="45" applyNumberFormat="1" applyFont="1" applyAlignment="1">
      <alignment horizontal="centerContinuous"/>
    </xf>
    <xf numFmtId="37" fontId="30" fillId="0" borderId="0" xfId="45" applyNumberFormat="1" applyFont="1" applyFill="1" applyBorder="1" applyAlignment="1">
      <alignment horizontal="centerContinuous"/>
    </xf>
    <xf numFmtId="37" fontId="107" fillId="0" borderId="0" xfId="45" applyNumberFormat="1" applyFont="1" applyFill="1" applyBorder="1" applyAlignment="1">
      <alignment horizontal="centerContinuous"/>
    </xf>
    <xf numFmtId="37" fontId="30" fillId="0" borderId="0" xfId="45" applyNumberFormat="1" applyFont="1" applyFill="1" applyBorder="1" applyAlignment="1">
      <alignment horizontal="centerContinuous" vertical="center"/>
    </xf>
    <xf numFmtId="10" fontId="30" fillId="0" borderId="0" xfId="13" applyNumberFormat="1" applyFont="1" applyFill="1" applyBorder="1" applyAlignment="1">
      <alignment horizontal="centerContinuous" vertical="center"/>
    </xf>
    <xf numFmtId="0" fontId="40" fillId="0" borderId="0" xfId="0" applyFont="1" applyFill="1" applyBorder="1" applyAlignment="1">
      <alignment horizontal="center" wrapText="1"/>
    </xf>
    <xf numFmtId="164" fontId="34" fillId="0" borderId="9" xfId="0" applyNumberFormat="1" applyFont="1" applyFill="1" applyBorder="1" applyAlignment="1">
      <alignment horizontal="center" wrapText="1"/>
    </xf>
    <xf numFmtId="0" fontId="34" fillId="0" borderId="9" xfId="0" applyFont="1" applyFill="1" applyBorder="1" applyAlignment="1">
      <alignment horizontal="center" wrapText="1"/>
    </xf>
    <xf numFmtId="0" fontId="34" fillId="0" borderId="0" xfId="0" applyFont="1" applyBorder="1" applyAlignment="1">
      <alignment wrapText="1"/>
    </xf>
    <xf numFmtId="0" fontId="34" fillId="0" borderId="7" xfId="0" applyFont="1" applyBorder="1" applyAlignment="1">
      <alignment wrapText="1"/>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2" fillId="0" borderId="0" xfId="0" applyFont="1" applyFill="1" applyBorder="1" applyAlignment="1"/>
    <xf numFmtId="0" fontId="142" fillId="3" borderId="0" xfId="0" applyFont="1" applyFill="1" applyBorder="1"/>
    <xf numFmtId="0" fontId="143" fillId="3" borderId="0" xfId="0" applyFont="1" applyFill="1" applyBorder="1" applyAlignment="1">
      <alignment horizontal="center" wrapText="1"/>
    </xf>
    <xf numFmtId="0" fontId="32" fillId="0" borderId="0" xfId="0" applyNumberFormat="1" applyFont="1" applyFill="1" applyBorder="1" applyAlignment="1">
      <alignment horizontal="center"/>
    </xf>
    <xf numFmtId="0" fontId="143" fillId="3" borderId="0" xfId="0" applyNumberFormat="1" applyFont="1" applyFill="1" applyBorder="1" applyAlignment="1">
      <alignment horizontal="center"/>
    </xf>
    <xf numFmtId="3" fontId="34" fillId="0" borderId="2" xfId="0" applyNumberFormat="1" applyFont="1" applyBorder="1" applyAlignment="1"/>
    <xf numFmtId="3" fontId="34" fillId="0" borderId="2" xfId="0" applyNumberFormat="1" applyFont="1" applyBorder="1" applyAlignment="1">
      <alignment horizontal="center"/>
    </xf>
    <xf numFmtId="0" fontId="34" fillId="0" borderId="0" xfId="0" applyNumberFormat="1" applyFont="1" applyAlignment="1"/>
    <xf numFmtId="3" fontId="34" fillId="0" borderId="3" xfId="0" applyNumberFormat="1" applyFont="1" applyFill="1" applyBorder="1" applyAlignment="1">
      <alignment horizontal="center"/>
    </xf>
    <xf numFmtId="3" fontId="34" fillId="0" borderId="3" xfId="0" applyNumberFormat="1" applyFont="1" applyFill="1" applyBorder="1" applyAlignment="1"/>
    <xf numFmtId="0" fontId="32" fillId="3" borderId="0" xfId="0" applyNumberFormat="1" applyFont="1" applyFill="1" applyBorder="1" applyAlignment="1">
      <alignment horizontal="center"/>
    </xf>
    <xf numFmtId="0" fontId="34" fillId="0" borderId="4" xfId="0" applyNumberFormat="1" applyFont="1" applyFill="1" applyBorder="1" applyAlignment="1"/>
    <xf numFmtId="172" fontId="34" fillId="0" borderId="0" xfId="13" applyNumberFormat="1" applyFont="1" applyFill="1" applyAlignment="1"/>
    <xf numFmtId="3" fontId="34" fillId="0" borderId="2" xfId="0" applyNumberFormat="1" applyFont="1" applyFill="1" applyBorder="1" applyAlignment="1">
      <alignment horizontal="center"/>
    </xf>
    <xf numFmtId="168" fontId="34" fillId="0" borderId="0" xfId="0" applyNumberFormat="1" applyFont="1" applyAlignment="1">
      <alignment horizontal="center"/>
    </xf>
    <xf numFmtId="172" fontId="34" fillId="0" borderId="0" xfId="13" applyNumberFormat="1" applyFont="1" applyFill="1" applyBorder="1" applyAlignment="1"/>
    <xf numFmtId="3" fontId="37" fillId="0" borderId="0" xfId="0" applyNumberFormat="1" applyFont="1" applyAlignment="1">
      <alignment horizontal="right"/>
    </xf>
    <xf numFmtId="3" fontId="37" fillId="0" borderId="4" xfId="0" applyNumberFormat="1" applyFont="1" applyBorder="1" applyAlignment="1">
      <alignment horizontal="right"/>
    </xf>
    <xf numFmtId="0" fontId="32" fillId="0" borderId="2" xfId="0" applyNumberFormat="1" applyFont="1" applyBorder="1" applyAlignment="1">
      <alignment horizontal="center"/>
    </xf>
    <xf numFmtId="3" fontId="86" fillId="0" borderId="2" xfId="0" applyNumberFormat="1" applyFont="1" applyBorder="1" applyAlignment="1">
      <alignment horizontal="right"/>
    </xf>
    <xf numFmtId="3" fontId="34" fillId="0" borderId="0" xfId="0" applyNumberFormat="1" applyFont="1" applyFill="1" applyAlignment="1">
      <alignment horizontal="right"/>
    </xf>
    <xf numFmtId="0" fontId="32" fillId="0" borderId="2" xfId="0" applyFont="1" applyBorder="1" applyAlignment="1">
      <alignment horizontal="left"/>
    </xf>
    <xf numFmtId="0" fontId="32" fillId="0" borderId="2" xfId="0" applyFont="1" applyBorder="1" applyAlignment="1">
      <alignment horizontal="center"/>
    </xf>
    <xf numFmtId="0" fontId="32" fillId="0" borderId="2" xfId="0" applyFont="1" applyBorder="1"/>
    <xf numFmtId="0" fontId="32" fillId="0" borderId="0" xfId="0" applyFont="1" applyBorder="1" applyAlignment="1">
      <alignment horizontal="left"/>
    </xf>
    <xf numFmtId="0" fontId="32" fillId="0" borderId="0" xfId="0" applyFont="1" applyBorder="1"/>
    <xf numFmtId="0" fontId="32" fillId="5" borderId="0" xfId="0" applyFont="1" applyFill="1"/>
    <xf numFmtId="0" fontId="32" fillId="3" borderId="0" xfId="0" applyNumberFormat="1" applyFont="1" applyFill="1" applyAlignment="1">
      <alignment horizontal="center"/>
    </xf>
    <xf numFmtId="3" fontId="37" fillId="0" borderId="4" xfId="0" applyNumberFormat="1" applyFont="1" applyFill="1" applyBorder="1" applyAlignment="1">
      <alignment horizontal="right"/>
    </xf>
    <xf numFmtId="172" fontId="34" fillId="0" borderId="4" xfId="0" applyNumberFormat="1" applyFont="1" applyFill="1" applyBorder="1" applyAlignment="1">
      <alignment horizontal="right"/>
    </xf>
    <xf numFmtId="0" fontId="32" fillId="0" borderId="3" xfId="0" applyNumberFormat="1" applyFont="1" applyBorder="1" applyAlignment="1">
      <alignment horizontal="center"/>
    </xf>
    <xf numFmtId="0" fontId="32" fillId="0" borderId="3" xfId="0" applyFont="1" applyBorder="1" applyAlignment="1">
      <alignment horizontal="right"/>
    </xf>
    <xf numFmtId="3" fontId="34" fillId="0" borderId="0" xfId="0" applyNumberFormat="1" applyFont="1" applyAlignment="1">
      <alignment horizontal="left"/>
    </xf>
    <xf numFmtId="0" fontId="34" fillId="0" borderId="4" xfId="0" applyNumberFormat="1" applyFont="1" applyBorder="1" applyAlignment="1">
      <alignment horizontal="left"/>
    </xf>
    <xf numFmtId="0" fontId="34" fillId="0" borderId="4" xfId="0" applyNumberFormat="1" applyFont="1" applyBorder="1" applyAlignment="1"/>
    <xf numFmtId="166" fontId="34" fillId="0" borderId="0" xfId="0" applyNumberFormat="1" applyFont="1" applyAlignment="1"/>
    <xf numFmtId="169" fontId="34" fillId="0" borderId="0" xfId="0" applyNumberFormat="1" applyFont="1" applyAlignment="1">
      <alignment horizontal="center"/>
    </xf>
    <xf numFmtId="170" fontId="34" fillId="0" borderId="0" xfId="0" applyNumberFormat="1" applyFont="1" applyAlignment="1"/>
    <xf numFmtId="168" fontId="34" fillId="0" borderId="0" xfId="0" applyNumberFormat="1" applyFont="1" applyFill="1"/>
    <xf numFmtId="168" fontId="34" fillId="0" borderId="0" xfId="0" applyNumberFormat="1" applyFont="1" applyAlignment="1">
      <alignment horizontal="left"/>
    </xf>
    <xf numFmtId="10" fontId="34" fillId="0" borderId="0" xfId="0" applyNumberFormat="1" applyFont="1" applyFill="1" applyAlignment="1">
      <alignment horizontal="right"/>
    </xf>
    <xf numFmtId="0" fontId="34" fillId="0" borderId="0" xfId="0" applyNumberFormat="1" applyFont="1" applyBorder="1" applyAlignment="1"/>
    <xf numFmtId="169" fontId="34" fillId="0" borderId="0" xfId="0" applyNumberFormat="1" applyFont="1" applyBorder="1" applyAlignment="1">
      <alignment horizontal="center"/>
    </xf>
    <xf numFmtId="10" fontId="34" fillId="0" borderId="0" xfId="13" applyNumberFormat="1" applyFont="1" applyFill="1" applyBorder="1" applyAlignment="1"/>
    <xf numFmtId="3" fontId="37" fillId="0" borderId="0" xfId="0" applyNumberFormat="1" applyFont="1" applyBorder="1" applyAlignment="1">
      <alignment horizontal="right"/>
    </xf>
    <xf numFmtId="168" fontId="34" fillId="0" borderId="0" xfId="0" applyNumberFormat="1" applyFont="1" applyFill="1" applyAlignment="1">
      <alignment horizontal="left"/>
    </xf>
    <xf numFmtId="169" fontId="34" fillId="0" borderId="0" xfId="0" applyNumberFormat="1" applyFont="1" applyAlignment="1"/>
    <xf numFmtId="168" fontId="34" fillId="0" borderId="0" xfId="0" applyNumberFormat="1" applyFont="1" applyBorder="1" applyAlignment="1">
      <alignment horizontal="left"/>
    </xf>
    <xf numFmtId="0" fontId="43" fillId="0" borderId="5" xfId="0" applyFont="1" applyFill="1" applyBorder="1" applyAlignment="1"/>
    <xf numFmtId="3" fontId="43" fillId="0" borderId="5" xfId="0" applyNumberFormat="1" applyFont="1" applyBorder="1" applyAlignment="1">
      <alignment horizontal="center"/>
    </xf>
    <xf numFmtId="3" fontId="43" fillId="0" borderId="0" xfId="0" applyNumberFormat="1" applyFont="1" applyBorder="1" applyAlignment="1">
      <alignment horizontal="center"/>
    </xf>
    <xf numFmtId="0" fontId="43" fillId="0" borderId="4" xfId="0" applyFont="1" applyFill="1" applyBorder="1" applyAlignment="1"/>
    <xf numFmtId="3" fontId="43" fillId="0" borderId="0" xfId="0" applyNumberFormat="1" applyFont="1" applyFill="1" applyBorder="1" applyAlignment="1">
      <alignment horizontal="center"/>
    </xf>
    <xf numFmtId="10" fontId="34" fillId="0" borderId="0" xfId="13" applyNumberFormat="1" applyFont="1" applyFill="1" applyBorder="1"/>
    <xf numFmtId="3" fontId="43" fillId="0" borderId="4" xfId="0" applyNumberFormat="1" applyFont="1" applyBorder="1" applyAlignment="1">
      <alignment horizontal="center"/>
    </xf>
    <xf numFmtId="0" fontId="144" fillId="0" borderId="0" xfId="0" applyFont="1" applyFill="1" applyAlignment="1"/>
    <xf numFmtId="37" fontId="34" fillId="0" borderId="0" xfId="0" applyNumberFormat="1" applyFont="1" applyFill="1" applyBorder="1" applyAlignment="1">
      <alignment horizontal="left"/>
    </xf>
    <xf numFmtId="10" fontId="46" fillId="0" borderId="0" xfId="13" applyNumberFormat="1" applyFont="1" applyFill="1" applyBorder="1" applyAlignment="1">
      <alignment horizontal="left"/>
    </xf>
    <xf numFmtId="0" fontId="46" fillId="0" borderId="0" xfId="0" quotePrefix="1" applyNumberFormat="1" applyFont="1" applyFill="1" applyAlignment="1">
      <alignment horizontal="left"/>
    </xf>
    <xf numFmtId="0" fontId="76" fillId="0" borderId="0" xfId="0" applyNumberFormat="1" applyFont="1" applyFill="1" applyAlignment="1">
      <alignment horizontal="center"/>
    </xf>
    <xf numFmtId="0" fontId="76" fillId="0" borderId="0" xfId="0" applyFont="1" applyFill="1" applyAlignment="1">
      <alignment horizontal="left"/>
    </xf>
    <xf numFmtId="37" fontId="34" fillId="0" borderId="0" xfId="45" applyNumberFormat="1" applyFont="1" applyFill="1" applyAlignment="1">
      <alignment vertical="center"/>
    </xf>
    <xf numFmtId="37" fontId="129" fillId="0" borderId="0" xfId="45" applyNumberFormat="1" applyFont="1" applyFill="1" applyAlignment="1">
      <alignment vertical="center"/>
    </xf>
    <xf numFmtId="0" fontId="76" fillId="0" borderId="1" xfId="0" applyFont="1" applyFill="1" applyBorder="1" applyAlignment="1">
      <alignment horizontal="left"/>
    </xf>
    <xf numFmtId="0" fontId="46" fillId="0" borderId="1" xfId="0" applyFont="1" applyFill="1" applyBorder="1" applyAlignment="1"/>
    <xf numFmtId="0" fontId="46" fillId="0" borderId="1" xfId="0" applyFont="1" applyBorder="1"/>
    <xf numFmtId="0" fontId="46" fillId="0" borderId="1" xfId="0" applyFont="1" applyFill="1" applyBorder="1" applyAlignment="1">
      <alignment horizontal="center"/>
    </xf>
    <xf numFmtId="0" fontId="46" fillId="0" borderId="1" xfId="0" applyFont="1" applyFill="1" applyBorder="1"/>
    <xf numFmtId="164" fontId="30" fillId="0" borderId="0" xfId="1" applyNumberFormat="1" applyFill="1" applyAlignment="1"/>
    <xf numFmtId="10" fontId="0" fillId="0" borderId="4" xfId="13" applyNumberFormat="1" applyFont="1" applyFill="1" applyBorder="1"/>
    <xf numFmtId="164" fontId="30" fillId="0" borderId="0" xfId="1" applyNumberFormat="1" applyFill="1" applyBorder="1" applyAlignment="1">
      <alignment wrapText="1"/>
    </xf>
    <xf numFmtId="0" fontId="141" fillId="36" borderId="0" xfId="1" applyNumberFormat="1" applyFont="1" applyFill="1" applyAlignment="1">
      <alignment horizontal="center"/>
    </xf>
    <xf numFmtId="0" fontId="30" fillId="0" borderId="0" xfId="0" applyFont="1" applyFill="1" applyAlignment="1">
      <alignment horizontal="left" wrapText="1"/>
    </xf>
    <xf numFmtId="164" fontId="146" fillId="36" borderId="0" xfId="1" applyNumberFormat="1" applyFont="1" applyFill="1" applyBorder="1" applyAlignment="1"/>
    <xf numFmtId="164" fontId="0" fillId="0" borderId="1" xfId="1" applyNumberFormat="1" applyFont="1" applyFill="1" applyBorder="1" applyAlignment="1"/>
    <xf numFmtId="164" fontId="34" fillId="0" borderId="0" xfId="1" applyNumberFormat="1" applyFont="1" applyFill="1" applyBorder="1" applyAlignment="1">
      <alignment horizontal="center"/>
    </xf>
    <xf numFmtId="3" fontId="34" fillId="0" borderId="24" xfId="0" applyNumberFormat="1" applyFont="1" applyFill="1" applyBorder="1" applyAlignment="1">
      <alignment horizontal="center"/>
    </xf>
    <xf numFmtId="37" fontId="32" fillId="0" borderId="0" xfId="45" applyNumberFormat="1" applyFont="1"/>
    <xf numFmtId="37" fontId="34" fillId="0" borderId="40" xfId="45" applyNumberFormat="1" applyFont="1" applyFill="1" applyBorder="1"/>
    <xf numFmtId="37" fontId="34" fillId="0" borderId="40" xfId="45" applyNumberFormat="1" applyFont="1" applyBorder="1"/>
    <xf numFmtId="0" fontId="34" fillId="0" borderId="40" xfId="0" applyFont="1" applyBorder="1"/>
    <xf numFmtId="37" fontId="34" fillId="0" borderId="40" xfId="45" applyNumberFormat="1" applyFont="1" applyFill="1" applyBorder="1" applyAlignment="1"/>
    <xf numFmtId="37" fontId="32" fillId="0" borderId="40" xfId="45" applyNumberFormat="1" applyFont="1" applyFill="1" applyBorder="1"/>
    <xf numFmtId="37" fontId="32" fillId="0" borderId="40" xfId="45" applyNumberFormat="1" applyFont="1" applyBorder="1" applyAlignment="1">
      <alignment horizontal="left" indent="1"/>
    </xf>
    <xf numFmtId="0" fontId="34" fillId="0" borderId="0" xfId="0" quotePrefix="1" applyNumberFormat="1" applyFont="1" applyFill="1" applyBorder="1" applyAlignment="1">
      <alignment wrapText="1"/>
    </xf>
    <xf numFmtId="0" fontId="34" fillId="0" borderId="0" xfId="0" quotePrefix="1" applyNumberFormat="1" applyFont="1" applyAlignment="1">
      <alignment wrapText="1"/>
    </xf>
    <xf numFmtId="0" fontId="32" fillId="0" borderId="1" xfId="0" applyNumberFormat="1" applyFont="1" applyFill="1" applyBorder="1" applyAlignment="1"/>
    <xf numFmtId="0" fontId="34" fillId="0" borderId="1" xfId="0" applyFont="1" applyBorder="1" applyAlignment="1"/>
    <xf numFmtId="3" fontId="34" fillId="0" borderId="1" xfId="0" applyNumberFormat="1" applyFont="1" applyFill="1" applyBorder="1" applyAlignment="1"/>
    <xf numFmtId="3" fontId="34" fillId="0" borderId="1" xfId="0" applyNumberFormat="1" applyFont="1" applyBorder="1" applyAlignment="1"/>
    <xf numFmtId="3" fontId="32" fillId="0" borderId="1" xfId="0" applyNumberFormat="1" applyFont="1" applyFill="1" applyBorder="1" applyAlignment="1"/>
    <xf numFmtId="0" fontId="34" fillId="0" borderId="40" xfId="0" applyNumberFormat="1" applyFont="1" applyFill="1" applyBorder="1" applyAlignment="1">
      <alignment horizontal="left"/>
    </xf>
    <xf numFmtId="0" fontId="34" fillId="0" borderId="40" xfId="0" applyFont="1" applyFill="1" applyBorder="1" applyAlignment="1"/>
    <xf numFmtId="0" fontId="34" fillId="0" borderId="40" xfId="0" applyFont="1" applyFill="1" applyBorder="1" applyAlignment="1">
      <alignment horizontal="center"/>
    </xf>
    <xf numFmtId="3" fontId="34" fillId="0" borderId="40" xfId="0" applyNumberFormat="1" applyFont="1" applyFill="1" applyBorder="1" applyAlignment="1"/>
    <xf numFmtId="3" fontId="34" fillId="0" borderId="0" xfId="0" applyNumberFormat="1" applyFont="1" applyBorder="1" applyAlignment="1">
      <alignment horizontal="left"/>
    </xf>
    <xf numFmtId="10" fontId="34" fillId="0" borderId="0" xfId="0" applyNumberFormat="1" applyFont="1" applyFill="1" applyBorder="1" applyAlignment="1">
      <alignment horizontal="center"/>
    </xf>
    <xf numFmtId="10" fontId="34" fillId="0" borderId="0" xfId="0" applyNumberFormat="1" applyFont="1" applyFill="1" applyBorder="1" applyAlignment="1"/>
    <xf numFmtId="3" fontId="34" fillId="0" borderId="4" xfId="0" applyNumberFormat="1" applyFont="1" applyBorder="1" applyAlignment="1">
      <alignment horizontal="left"/>
    </xf>
    <xf numFmtId="10" fontId="34" fillId="0" borderId="4" xfId="0" applyNumberFormat="1" applyFont="1" applyFill="1" applyBorder="1" applyAlignment="1">
      <alignment horizontal="center"/>
    </xf>
    <xf numFmtId="0" fontId="32" fillId="0" borderId="0" xfId="0" applyNumberFormat="1" applyFont="1" applyBorder="1" applyAlignment="1">
      <alignment horizontal="left" indent="1"/>
    </xf>
    <xf numFmtId="185" fontId="32" fillId="0" borderId="0" xfId="45" applyNumberFormat="1" applyFont="1" applyAlignment="1">
      <alignment horizontal="centerContinuous"/>
    </xf>
    <xf numFmtId="0" fontId="30" fillId="0" borderId="0" xfId="57" applyFont="1" applyAlignment="1">
      <alignment horizontal="center"/>
    </xf>
    <xf numFmtId="174" fontId="153" fillId="0" borderId="0" xfId="1" quotePrefix="1" applyNumberFormat="1" applyFont="1" applyBorder="1" applyAlignment="1" applyProtection="1">
      <alignment horizontal="center"/>
    </xf>
    <xf numFmtId="0" fontId="80" fillId="0" borderId="0" xfId="57" applyFont="1" applyAlignment="1">
      <alignment horizontal="center"/>
    </xf>
    <xf numFmtId="0" fontId="30" fillId="0" borderId="0" xfId="57" applyFont="1" applyAlignment="1">
      <alignment horizontal="left" vertical="justify"/>
    </xf>
    <xf numFmtId="0" fontId="31" fillId="0" borderId="0" xfId="57" applyFont="1" applyAlignment="1">
      <alignment horizontal="left" vertical="justify"/>
    </xf>
    <xf numFmtId="0" fontId="31" fillId="0" borderId="0" xfId="57" applyFont="1"/>
    <xf numFmtId="0" fontId="31" fillId="0" borderId="0" xfId="57" applyFont="1" applyAlignment="1">
      <alignment horizontal="center"/>
    </xf>
    <xf numFmtId="0" fontId="81" fillId="0" borderId="0" xfId="57" applyFont="1" applyAlignment="1">
      <alignment horizontal="left"/>
    </xf>
    <xf numFmtId="0" fontId="31" fillId="0" borderId="0" xfId="57" applyFont="1" applyBorder="1" applyAlignment="1">
      <alignment horizontal="left"/>
    </xf>
    <xf numFmtId="0" fontId="31" fillId="0" borderId="0" xfId="57" applyFont="1" applyBorder="1" applyAlignment="1">
      <alignment horizontal="center"/>
    </xf>
    <xf numFmtId="0" fontId="31" fillId="0" borderId="0" xfId="57" applyFont="1" applyBorder="1" applyAlignment="1">
      <alignment horizontal="left" vertical="justify"/>
    </xf>
    <xf numFmtId="0" fontId="31" fillId="0" borderId="4" xfId="57" applyFont="1" applyBorder="1" applyAlignment="1">
      <alignment wrapText="1"/>
    </xf>
    <xf numFmtId="0" fontId="31" fillId="0" borderId="4" xfId="57" applyFont="1" applyBorder="1" applyAlignment="1">
      <alignment horizontal="center" wrapText="1"/>
    </xf>
    <xf numFmtId="0" fontId="31" fillId="0" borderId="4" xfId="57" applyFont="1" applyFill="1" applyBorder="1" applyAlignment="1">
      <alignment horizontal="center"/>
    </xf>
    <xf numFmtId="174" fontId="30" fillId="0" borderId="0" xfId="1" applyNumberFormat="1" applyFont="1" applyFill="1" applyAlignment="1">
      <alignment horizontal="right" vertical="center"/>
    </xf>
    <xf numFmtId="0" fontId="30" fillId="0" borderId="0" xfId="57" applyFont="1" applyAlignment="1">
      <alignment vertical="center"/>
    </xf>
    <xf numFmtId="0" fontId="30" fillId="0" borderId="0" xfId="57" applyFont="1" applyFill="1" applyBorder="1" applyAlignment="1">
      <alignment vertical="center"/>
    </xf>
    <xf numFmtId="174" fontId="30" fillId="0" borderId="0" xfId="57" applyNumberFormat="1" applyFont="1" applyFill="1" applyBorder="1" applyAlignment="1">
      <alignment vertical="center"/>
    </xf>
    <xf numFmtId="168" fontId="30" fillId="0" borderId="0" xfId="13" applyNumberFormat="1" applyFont="1"/>
    <xf numFmtId="187" fontId="30" fillId="0" borderId="0" xfId="1" applyNumberFormat="1" applyFont="1" applyFill="1" applyAlignment="1">
      <alignment horizontal="right" vertical="center"/>
    </xf>
    <xf numFmtId="0" fontId="31" fillId="0" borderId="4" xfId="57" applyFont="1" applyFill="1" applyBorder="1" applyAlignment="1">
      <alignment horizontal="center" wrapText="1"/>
    </xf>
    <xf numFmtId="0" fontId="31" fillId="0" borderId="4" xfId="57" applyFont="1" applyBorder="1" applyAlignment="1">
      <alignment horizontal="centerContinuous"/>
    </xf>
    <xf numFmtId="37" fontId="34" fillId="0" borderId="0" xfId="0" applyNumberFormat="1" applyFont="1" applyFill="1"/>
    <xf numFmtId="37" fontId="34" fillId="0" borderId="2" xfId="0" applyNumberFormat="1" applyFont="1" applyFill="1" applyBorder="1" applyAlignment="1"/>
    <xf numFmtId="0" fontId="143" fillId="3" borderId="0" xfId="0" applyFont="1" applyFill="1" applyBorder="1" applyAlignment="1">
      <alignment horizontal="left"/>
    </xf>
    <xf numFmtId="37" fontId="34" fillId="0" borderId="0" xfId="0" applyNumberFormat="1" applyFont="1" applyFill="1" applyAlignment="1"/>
    <xf numFmtId="37" fontId="32" fillId="0" borderId="0" xfId="0" applyNumberFormat="1" applyFont="1" applyFill="1" applyAlignment="1"/>
    <xf numFmtId="37" fontId="34" fillId="0" borderId="0" xfId="0" applyNumberFormat="1" applyFont="1" applyFill="1" applyBorder="1" applyAlignment="1"/>
    <xf numFmtId="37" fontId="32" fillId="0" borderId="3" xfId="0" applyNumberFormat="1" applyFont="1" applyFill="1" applyBorder="1"/>
    <xf numFmtId="37" fontId="34" fillId="0" borderId="4" xfId="0" applyNumberFormat="1" applyFont="1" applyFill="1" applyBorder="1" applyAlignment="1"/>
    <xf numFmtId="37" fontId="34" fillId="0" borderId="0" xfId="0" applyNumberFormat="1" applyFont="1" applyFill="1" applyBorder="1" applyAlignment="1">
      <alignment horizontal="right"/>
    </xf>
    <xf numFmtId="37" fontId="34" fillId="0" borderId="0" xfId="0" applyNumberFormat="1" applyFont="1"/>
    <xf numFmtId="37" fontId="32" fillId="0" borderId="0" xfId="0" applyNumberFormat="1" applyFont="1" applyFill="1" applyAlignment="1">
      <alignment horizontal="right"/>
    </xf>
    <xf numFmtId="37" fontId="32" fillId="0" borderId="0" xfId="0" applyNumberFormat="1" applyFont="1" applyFill="1" applyBorder="1" applyAlignment="1"/>
    <xf numFmtId="37" fontId="34" fillId="0" borderId="0" xfId="0" applyNumberFormat="1" applyFont="1" applyFill="1" applyAlignment="1">
      <alignment horizontal="right"/>
    </xf>
    <xf numFmtId="37" fontId="34" fillId="0" borderId="2" xfId="0" applyNumberFormat="1" applyFont="1" applyFill="1" applyBorder="1" applyAlignment="1">
      <alignment horizontal="right"/>
    </xf>
    <xf numFmtId="37" fontId="32" fillId="0" borderId="2" xfId="0" applyNumberFormat="1" applyFont="1" applyFill="1" applyBorder="1"/>
    <xf numFmtId="37" fontId="32" fillId="0" borderId="2" xfId="0" applyNumberFormat="1" applyFont="1" applyFill="1" applyBorder="1" applyAlignment="1">
      <alignment horizontal="right"/>
    </xf>
    <xf numFmtId="37" fontId="32" fillId="0" borderId="0" xfId="0" applyNumberFormat="1" applyFont="1" applyFill="1" applyBorder="1" applyAlignment="1">
      <alignment horizontal="right"/>
    </xf>
    <xf numFmtId="37" fontId="34" fillId="0" borderId="0" xfId="0" applyNumberFormat="1" applyFont="1" applyAlignment="1">
      <alignment horizontal="right"/>
    </xf>
    <xf numFmtId="37" fontId="32" fillId="0" borderId="3" xfId="0" applyNumberFormat="1" applyFont="1" applyBorder="1"/>
    <xf numFmtId="37" fontId="32" fillId="0" borderId="2" xfId="0" applyNumberFormat="1" applyFont="1" applyFill="1" applyBorder="1" applyAlignment="1"/>
    <xf numFmtId="37" fontId="32" fillId="0" borderId="0" xfId="13" applyNumberFormat="1" applyFont="1" applyFill="1" applyAlignment="1"/>
    <xf numFmtId="37" fontId="37" fillId="0" borderId="0" xfId="0" applyNumberFormat="1" applyFont="1" applyFill="1" applyAlignment="1">
      <alignment horizontal="right"/>
    </xf>
    <xf numFmtId="37" fontId="32" fillId="0" borderId="3" xfId="0" applyNumberFormat="1" applyFont="1" applyFill="1" applyBorder="1" applyAlignment="1"/>
    <xf numFmtId="37" fontId="32" fillId="0" borderId="0" xfId="13" applyNumberFormat="1" applyFont="1" applyAlignment="1"/>
    <xf numFmtId="37" fontId="34" fillId="3" borderId="0" xfId="0" applyNumberFormat="1" applyFont="1" applyFill="1" applyBorder="1" applyAlignment="1">
      <alignment horizontal="center" wrapText="1"/>
    </xf>
    <xf numFmtId="37" fontId="37" fillId="0" borderId="0" xfId="0" applyNumberFormat="1" applyFont="1" applyAlignment="1">
      <alignment horizontal="right"/>
    </xf>
    <xf numFmtId="37" fontId="32" fillId="0" borderId="3" xfId="0" applyNumberFormat="1" applyFont="1" applyBorder="1" applyAlignment="1">
      <alignment horizontal="right"/>
    </xf>
    <xf numFmtId="37" fontId="0" fillId="0" borderId="0" xfId="0" applyNumberFormat="1"/>
    <xf numFmtId="37" fontId="32" fillId="0" borderId="3" xfId="0" applyNumberFormat="1" applyFont="1" applyBorder="1" applyAlignment="1"/>
    <xf numFmtId="37" fontId="38" fillId="0" borderId="0" xfId="0" applyNumberFormat="1" applyFont="1" applyFill="1" applyAlignment="1">
      <alignment horizontal="right"/>
    </xf>
    <xf numFmtId="37" fontId="32" fillId="0" borderId="0" xfId="1" applyNumberFormat="1" applyFont="1" applyFill="1" applyAlignment="1"/>
    <xf numFmtId="37" fontId="34" fillId="0" borderId="0" xfId="0" applyNumberFormat="1" applyFont="1" applyBorder="1" applyAlignment="1">
      <alignment horizontal="right"/>
    </xf>
    <xf numFmtId="37" fontId="32" fillId="0" borderId="3" xfId="1" applyNumberFormat="1" applyFont="1" applyFill="1" applyBorder="1" applyAlignment="1">
      <alignment horizontal="right"/>
    </xf>
    <xf numFmtId="37" fontId="34" fillId="0" borderId="2" xfId="0" applyNumberFormat="1" applyFont="1" applyBorder="1"/>
    <xf numFmtId="37" fontId="43" fillId="0" borderId="0" xfId="0" applyNumberFormat="1" applyFont="1" applyBorder="1"/>
    <xf numFmtId="37" fontId="43" fillId="0" borderId="0" xfId="0" applyNumberFormat="1" applyFont="1" applyFill="1" applyBorder="1"/>
    <xf numFmtId="37" fontId="34" fillId="0" borderId="0" xfId="0" applyNumberFormat="1" applyFont="1" applyFill="1" applyBorder="1"/>
    <xf numFmtId="37" fontId="34" fillId="0" borderId="4" xfId="0" applyNumberFormat="1" applyFont="1" applyFill="1" applyBorder="1"/>
    <xf numFmtId="37" fontId="32" fillId="0" borderId="0" xfId="0" applyNumberFormat="1" applyFont="1" applyFill="1" applyBorder="1"/>
    <xf numFmtId="37" fontId="32" fillId="0" borderId="0" xfId="5" applyNumberFormat="1" applyFont="1" applyBorder="1" applyAlignment="1">
      <alignment horizontal="right"/>
    </xf>
    <xf numFmtId="0" fontId="31" fillId="0" borderId="13" xfId="26" applyFont="1" applyBorder="1" applyAlignment="1">
      <alignment horizontal="center"/>
    </xf>
    <xf numFmtId="0" fontId="30" fillId="0" borderId="33" xfId="26" applyFont="1" applyBorder="1" applyAlignment="1">
      <alignment horizontal="center" wrapText="1"/>
    </xf>
    <xf numFmtId="0" fontId="30" fillId="0" borderId="43" xfId="26" applyFont="1" applyBorder="1" applyAlignment="1">
      <alignment horizontal="center" wrapText="1"/>
    </xf>
    <xf numFmtId="0" fontId="30" fillId="0" borderId="42" xfId="26" applyFont="1" applyBorder="1" applyAlignment="1">
      <alignment horizontal="center"/>
    </xf>
    <xf numFmtId="0" fontId="30" fillId="0" borderId="44" xfId="26" applyFont="1" applyBorder="1" applyAlignment="1">
      <alignment horizontal="center"/>
    </xf>
    <xf numFmtId="0" fontId="30" fillId="0" borderId="43" xfId="26" applyFont="1" applyBorder="1" applyAlignment="1">
      <alignment horizontal="center"/>
    </xf>
    <xf numFmtId="0" fontId="30" fillId="0" borderId="34" xfId="26" applyFont="1" applyFill="1" applyBorder="1" applyAlignment="1">
      <alignment vertical="top" wrapText="1"/>
    </xf>
    <xf numFmtId="0" fontId="30" fillId="0" borderId="0" xfId="26" applyFont="1" applyBorder="1"/>
    <xf numFmtId="0" fontId="30" fillId="0" borderId="5" xfId="26" applyFont="1" applyBorder="1" applyAlignment="1">
      <alignment vertical="top"/>
    </xf>
    <xf numFmtId="0" fontId="30" fillId="0" borderId="45" xfId="26" applyFont="1" applyBorder="1"/>
    <xf numFmtId="0" fontId="30" fillId="0" borderId="20" xfId="26" applyFont="1" applyBorder="1"/>
    <xf numFmtId="0" fontId="30" fillId="0" borderId="65" xfId="26" applyFont="1" applyBorder="1"/>
    <xf numFmtId="0" fontId="30" fillId="0" borderId="0" xfId="26" applyFont="1" applyFill="1" applyBorder="1"/>
    <xf numFmtId="0" fontId="43" fillId="0" borderId="0" xfId="0" applyFont="1" applyFill="1" applyAlignment="1">
      <alignment horizontal="centerContinuous"/>
    </xf>
    <xf numFmtId="0" fontId="155" fillId="0" borderId="0" xfId="0" applyFont="1" applyFill="1" applyBorder="1"/>
    <xf numFmtId="0" fontId="89" fillId="0" borderId="0" xfId="0" applyFont="1" applyFill="1" applyBorder="1"/>
    <xf numFmtId="164" fontId="31" fillId="0" borderId="0" xfId="1" applyNumberFormat="1" applyFont="1" applyBorder="1"/>
    <xf numFmtId="0" fontId="30" fillId="0" borderId="0" xfId="0" applyFont="1" applyAlignment="1">
      <alignment horizontal="centerContinuous"/>
    </xf>
    <xf numFmtId="0" fontId="31" fillId="0" borderId="4" xfId="57" applyFont="1" applyBorder="1" applyAlignment="1">
      <alignment horizontal="left" wrapText="1"/>
    </xf>
    <xf numFmtId="0" fontId="43" fillId="0" borderId="0" xfId="57" applyFont="1" applyAlignment="1">
      <alignment horizontal="centerContinuous" vertical="justify"/>
    </xf>
    <xf numFmtId="0" fontId="30" fillId="0" borderId="0" xfId="57" applyFont="1" applyAlignment="1">
      <alignment horizontal="centerContinuous"/>
    </xf>
    <xf numFmtId="174" fontId="153" fillId="0" borderId="0" xfId="1" quotePrefix="1" applyNumberFormat="1" applyFont="1" applyBorder="1" applyAlignment="1" applyProtection="1">
      <alignment horizontal="centerContinuous"/>
    </xf>
    <xf numFmtId="0" fontId="80" fillId="0" borderId="0" xfId="57" applyFont="1" applyAlignment="1">
      <alignment horizontal="centerContinuous"/>
    </xf>
    <xf numFmtId="0" fontId="30" fillId="0" borderId="4" xfId="57" applyFont="1" applyBorder="1" applyAlignment="1">
      <alignment horizontal="centerContinuous"/>
    </xf>
    <xf numFmtId="37" fontId="32" fillId="0" borderId="40" xfId="1" applyNumberFormat="1" applyFont="1" applyFill="1" applyBorder="1" applyAlignment="1">
      <alignment horizontal="right"/>
    </xf>
    <xf numFmtId="37" fontId="34" fillId="3" borderId="0" xfId="0" applyNumberFormat="1" applyFont="1" applyFill="1" applyBorder="1"/>
    <xf numFmtId="37" fontId="31" fillId="0" borderId="42" xfId="45" applyNumberFormat="1" applyFont="1" applyFill="1" applyBorder="1" applyAlignment="1">
      <alignment horizontal="center" wrapText="1"/>
    </xf>
    <xf numFmtId="37" fontId="30" fillId="0" borderId="29" xfId="45" applyNumberFormat="1" applyFont="1" applyBorder="1" applyAlignment="1">
      <alignment horizontal="center" vertical="center"/>
    </xf>
    <xf numFmtId="37" fontId="30" fillId="0" borderId="45" xfId="45" applyNumberFormat="1" applyFont="1" applyBorder="1" applyAlignment="1">
      <alignment horizontal="center" vertical="center"/>
    </xf>
    <xf numFmtId="37" fontId="30" fillId="0" borderId="49" xfId="45" applyNumberFormat="1" applyFont="1" applyBorder="1" applyAlignment="1">
      <alignment horizontal="center" vertical="center"/>
    </xf>
    <xf numFmtId="0" fontId="143" fillId="3" borderId="0" xfId="0" applyFont="1" applyFill="1" applyAlignment="1">
      <alignment horizontal="left"/>
    </xf>
    <xf numFmtId="37" fontId="31" fillId="0" borderId="63" xfId="45" applyNumberFormat="1" applyFont="1" applyFill="1" applyBorder="1" applyAlignment="1">
      <alignment horizontal="center" wrapText="1"/>
    </xf>
    <xf numFmtId="37" fontId="30" fillId="0" borderId="68" xfId="45" applyNumberFormat="1" applyFont="1" applyBorder="1" applyAlignment="1">
      <alignment horizontal="center" vertical="center"/>
    </xf>
    <xf numFmtId="37" fontId="30" fillId="0" borderId="17" xfId="45" applyNumberFormat="1" applyFont="1" applyBorder="1" applyAlignment="1">
      <alignment horizontal="center" vertical="center"/>
    </xf>
    <xf numFmtId="37" fontId="30" fillId="0" borderId="17" xfId="45" applyNumberFormat="1" applyFont="1" applyBorder="1" applyAlignment="1">
      <alignment horizontal="center" vertical="center" wrapText="1"/>
    </xf>
    <xf numFmtId="37" fontId="158" fillId="0" borderId="0" xfId="45" applyNumberFormat="1" applyFont="1" applyFill="1"/>
    <xf numFmtId="0" fontId="43" fillId="0" borderId="5" xfId="0" applyNumberFormat="1" applyFont="1" applyFill="1" applyBorder="1" applyAlignment="1">
      <alignment horizontal="left"/>
    </xf>
    <xf numFmtId="0" fontId="43" fillId="0" borderId="5" xfId="0" applyNumberFormat="1" applyFont="1" applyFill="1" applyBorder="1" applyAlignment="1">
      <alignment horizontal="center"/>
    </xf>
    <xf numFmtId="37" fontId="99" fillId="11" borderId="65" xfId="45" applyNumberFormat="1" applyFont="1" applyFill="1" applyBorder="1"/>
    <xf numFmtId="10" fontId="140" fillId="0" borderId="0" xfId="13" applyNumberFormat="1" applyFont="1" applyFill="1"/>
    <xf numFmtId="164" fontId="30" fillId="11" borderId="0" xfId="1" applyNumberFormat="1" applyFont="1" applyFill="1"/>
    <xf numFmtId="171" fontId="34" fillId="11" borderId="0" xfId="13" applyNumberFormat="1" applyFont="1" applyFill="1" applyAlignment="1">
      <alignment horizontal="right"/>
    </xf>
    <xf numFmtId="37" fontId="34" fillId="0" borderId="0" xfId="1" applyNumberFormat="1" applyFont="1" applyAlignment="1"/>
    <xf numFmtId="37" fontId="34" fillId="0" borderId="0" xfId="2" applyNumberFormat="1" applyFont="1" applyFill="1" applyAlignment="1"/>
    <xf numFmtId="37" fontId="34" fillId="0" borderId="0" xfId="1" applyNumberFormat="1" applyFont="1" applyFill="1" applyAlignment="1"/>
    <xf numFmtId="172" fontId="34" fillId="0" borderId="0" xfId="13" applyNumberFormat="1" applyFont="1" applyAlignment="1"/>
    <xf numFmtId="191" fontId="30" fillId="0" borderId="0" xfId="0" applyNumberFormat="1" applyFont="1" applyFill="1"/>
    <xf numFmtId="37" fontId="99" fillId="11" borderId="65" xfId="1" applyNumberFormat="1" applyFont="1" applyFill="1" applyBorder="1" applyAlignment="1">
      <alignment vertical="center"/>
    </xf>
    <xf numFmtId="0" fontId="30" fillId="0" borderId="0" xfId="0" applyFont="1" applyFill="1" applyAlignment="1">
      <alignment horizontal="centerContinuous"/>
    </xf>
    <xf numFmtId="0" fontId="62" fillId="0" borderId="4" xfId="0" applyFont="1" applyFill="1" applyBorder="1"/>
    <xf numFmtId="37" fontId="30" fillId="0" borderId="23" xfId="45" applyNumberFormat="1" applyFont="1" applyBorder="1" applyAlignment="1">
      <alignment horizontal="center" wrapText="1"/>
    </xf>
    <xf numFmtId="37" fontId="30" fillId="0" borderId="6" xfId="45" applyNumberFormat="1" applyFont="1" applyBorder="1" applyAlignment="1">
      <alignment horizontal="centerContinuous" vertical="center"/>
    </xf>
    <xf numFmtId="37" fontId="31" fillId="0" borderId="5" xfId="45" applyNumberFormat="1" applyFont="1" applyBorder="1" applyAlignment="1">
      <alignment horizontal="centerContinuous"/>
    </xf>
    <xf numFmtId="37" fontId="30" fillId="0" borderId="5" xfId="45" applyNumberFormat="1" applyFont="1" applyBorder="1" applyAlignment="1">
      <alignment horizontal="centerContinuous"/>
    </xf>
    <xf numFmtId="37" fontId="107" fillId="0" borderId="5" xfId="45" applyNumberFormat="1" applyFont="1" applyBorder="1" applyAlignment="1">
      <alignment horizontal="centerContinuous"/>
    </xf>
    <xf numFmtId="37" fontId="30" fillId="0" borderId="5" xfId="45" applyNumberFormat="1" applyFont="1" applyFill="1" applyBorder="1" applyAlignment="1">
      <alignment horizontal="centerContinuous"/>
    </xf>
    <xf numFmtId="37" fontId="30" fillId="0" borderId="33" xfId="45" applyNumberFormat="1" applyFont="1" applyFill="1" applyBorder="1" applyAlignment="1">
      <alignment horizontal="centerContinuous"/>
    </xf>
    <xf numFmtId="0" fontId="30" fillId="11" borderId="0" xfId="57" applyFont="1" applyFill="1" applyAlignment="1">
      <alignment horizontal="left" vertical="center"/>
    </xf>
    <xf numFmtId="0" fontId="30" fillId="11" borderId="0" xfId="57" applyFont="1" applyFill="1" applyAlignment="1">
      <alignment vertical="center" wrapText="1"/>
    </xf>
    <xf numFmtId="0" fontId="30" fillId="11" borderId="0" xfId="57" applyFont="1" applyFill="1" applyAlignment="1">
      <alignment horizontal="center" vertical="center" wrapText="1"/>
    </xf>
    <xf numFmtId="0" fontId="30" fillId="11" borderId="0" xfId="57" applyFont="1" applyFill="1" applyAlignment="1">
      <alignment horizontal="center" vertical="center"/>
    </xf>
    <xf numFmtId="0" fontId="30" fillId="11" borderId="0" xfId="57" applyFont="1" applyFill="1" applyAlignment="1">
      <alignment vertical="center"/>
    </xf>
    <xf numFmtId="0" fontId="30" fillId="11" borderId="0" xfId="57" applyFont="1" applyFill="1"/>
    <xf numFmtId="0" fontId="30" fillId="0" borderId="0" xfId="57" applyFont="1" applyFill="1" applyBorder="1" applyAlignment="1">
      <alignment horizontal="left" vertical="center"/>
    </xf>
    <xf numFmtId="0" fontId="30" fillId="0" borderId="0" xfId="57" applyFont="1" applyFill="1" applyBorder="1" applyAlignment="1">
      <alignment horizontal="center" vertical="center"/>
    </xf>
    <xf numFmtId="174" fontId="30" fillId="0" borderId="0" xfId="1" applyNumberFormat="1" applyFont="1" applyFill="1" applyBorder="1" applyAlignment="1">
      <alignment vertical="center"/>
    </xf>
    <xf numFmtId="10" fontId="99" fillId="0" borderId="12" xfId="26" applyNumberFormat="1" applyFont="1" applyBorder="1" applyAlignment="1">
      <alignment horizontal="right" vertical="top"/>
    </xf>
    <xf numFmtId="0" fontId="99" fillId="0" borderId="11" xfId="26" applyFont="1" applyBorder="1" applyAlignment="1">
      <alignment vertical="top"/>
    </xf>
    <xf numFmtId="0" fontId="30" fillId="0" borderId="29" xfId="26" applyFont="1" applyFill="1" applyBorder="1" applyAlignment="1">
      <alignment horizontal="right" vertical="top"/>
    </xf>
    <xf numFmtId="0" fontId="30" fillId="0" borderId="30" xfId="26" applyFont="1" applyFill="1" applyBorder="1" applyAlignment="1">
      <alignment horizontal="right" vertical="top"/>
    </xf>
    <xf numFmtId="10" fontId="99" fillId="0" borderId="12" xfId="26" applyNumberFormat="1" applyFont="1" applyFill="1" applyBorder="1" applyAlignment="1">
      <alignment horizontal="right" vertical="top"/>
    </xf>
    <xf numFmtId="0" fontId="99" fillId="0" borderId="11" xfId="26" applyFont="1" applyFill="1" applyBorder="1" applyAlignment="1">
      <alignment vertical="top"/>
    </xf>
    <xf numFmtId="0" fontId="30" fillId="0" borderId="45" xfId="26" applyFont="1" applyFill="1" applyBorder="1" applyAlignment="1">
      <alignment horizontal="right" vertical="top"/>
    </xf>
    <xf numFmtId="0" fontId="30" fillId="0" borderId="20" xfId="26" applyFont="1" applyFill="1" applyBorder="1" applyAlignment="1">
      <alignment horizontal="right" vertical="top"/>
    </xf>
    <xf numFmtId="0" fontId="30" fillId="0" borderId="65" xfId="26" applyFont="1" applyFill="1" applyBorder="1" applyAlignment="1">
      <alignment vertical="top" wrapText="1"/>
    </xf>
    <xf numFmtId="10" fontId="99" fillId="0" borderId="45" xfId="26" applyNumberFormat="1" applyFont="1" applyFill="1" applyBorder="1" applyAlignment="1">
      <alignment horizontal="right" vertical="top"/>
    </xf>
    <xf numFmtId="0" fontId="30" fillId="0" borderId="49" xfId="26" applyFont="1" applyFill="1" applyBorder="1" applyAlignment="1">
      <alignment horizontal="right" vertical="top"/>
    </xf>
    <xf numFmtId="0" fontId="30" fillId="0" borderId="66" xfId="26" applyFont="1" applyFill="1" applyBorder="1" applyAlignment="1">
      <alignment horizontal="right" vertical="top"/>
    </xf>
    <xf numFmtId="0" fontId="30" fillId="0" borderId="67" xfId="26" applyFont="1" applyFill="1" applyBorder="1" applyAlignment="1">
      <alignment vertical="top" wrapText="1"/>
    </xf>
    <xf numFmtId="0" fontId="56" fillId="0" borderId="0" xfId="8" applyFont="1" applyAlignment="1">
      <alignment wrapText="1"/>
    </xf>
    <xf numFmtId="0" fontId="58" fillId="0" borderId="0" xfId="8" applyFont="1" applyAlignment="1">
      <alignment horizontal="center"/>
    </xf>
    <xf numFmtId="0" fontId="58" fillId="0" borderId="0" xfId="8" applyFont="1" applyAlignment="1"/>
    <xf numFmtId="0" fontId="31" fillId="0" borderId="0" xfId="8" applyFont="1" applyAlignment="1">
      <alignment horizontal="left"/>
    </xf>
    <xf numFmtId="164" fontId="56" fillId="11" borderId="0" xfId="1" applyNumberFormat="1" applyFont="1" applyFill="1" applyBorder="1" applyAlignment="1">
      <alignment horizontal="center"/>
    </xf>
    <xf numFmtId="164" fontId="56" fillId="11" borderId="20" xfId="1" applyNumberFormat="1" applyFont="1" applyFill="1" applyBorder="1" applyAlignment="1">
      <alignment horizontal="center"/>
    </xf>
    <xf numFmtId="164" fontId="56" fillId="0" borderId="40" xfId="8" applyNumberFormat="1" applyFont="1" applyBorder="1"/>
    <xf numFmtId="44" fontId="30" fillId="11" borderId="0" xfId="5" applyFont="1" applyFill="1"/>
    <xf numFmtId="164" fontId="56" fillId="0" borderId="18" xfId="8" applyNumberFormat="1" applyFont="1" applyFill="1" applyBorder="1"/>
    <xf numFmtId="164" fontId="56" fillId="0" borderId="0" xfId="8" applyNumberFormat="1" applyFont="1" applyFill="1" applyBorder="1"/>
    <xf numFmtId="37" fontId="30" fillId="0" borderId="68" xfId="45" applyNumberFormat="1" applyFont="1" applyFill="1" applyBorder="1" applyAlignment="1">
      <alignment horizontal="center" vertical="center"/>
    </xf>
    <xf numFmtId="37" fontId="30" fillId="0" borderId="17" xfId="45" applyNumberFormat="1" applyFont="1" applyFill="1" applyBorder="1" applyAlignment="1">
      <alignment horizontal="center" vertical="center"/>
    </xf>
    <xf numFmtId="0" fontId="38" fillId="0" borderId="0" xfId="37" applyFont="1" applyFill="1" applyBorder="1" applyAlignment="1">
      <alignment horizontal="left"/>
    </xf>
    <xf numFmtId="0" fontId="34" fillId="0" borderId="0" xfId="37" applyFont="1"/>
    <xf numFmtId="0" fontId="34" fillId="0" borderId="0" xfId="37" applyNumberFormat="1" applyFont="1" applyFill="1" applyBorder="1" applyAlignment="1"/>
    <xf numFmtId="0" fontId="69" fillId="0" borderId="0" xfId="37" applyFont="1" applyBorder="1" applyAlignment="1">
      <alignment horizontal="left"/>
    </xf>
    <xf numFmtId="0" fontId="34" fillId="0" borderId="0" xfId="37" applyFont="1" applyBorder="1" applyAlignment="1"/>
    <xf numFmtId="0" fontId="34" fillId="0" borderId="0" xfId="37" applyFont="1" applyBorder="1" applyAlignment="1">
      <alignment horizontal="center"/>
    </xf>
    <xf numFmtId="0" fontId="34" fillId="0" borderId="7" xfId="37" applyFont="1" applyBorder="1" applyAlignment="1">
      <alignment horizontal="right"/>
    </xf>
    <xf numFmtId="0" fontId="38" fillId="0" borderId="8" xfId="37" applyFont="1" applyFill="1" applyBorder="1" applyAlignment="1"/>
    <xf numFmtId="0" fontId="34" fillId="0" borderId="0" xfId="37" applyFont="1" applyFill="1" applyBorder="1" applyAlignment="1">
      <alignment horizontal="center" wrapText="1"/>
    </xf>
    <xf numFmtId="0" fontId="34" fillId="0" borderId="7" xfId="37" applyFont="1" applyFill="1" applyBorder="1" applyAlignment="1">
      <alignment horizontal="center" wrapText="1"/>
    </xf>
    <xf numFmtId="0" fontId="34" fillId="0" borderId="0" xfId="37" applyFont="1" applyBorder="1"/>
    <xf numFmtId="3" fontId="34" fillId="0" borderId="8" xfId="37" applyNumberFormat="1" applyFont="1" applyFill="1" applyBorder="1" applyAlignment="1">
      <alignment horizontal="right"/>
    </xf>
    <xf numFmtId="0" fontId="34" fillId="0" borderId="0" xfId="37" applyFont="1" applyBorder="1" applyAlignment="1">
      <alignment horizontal="left"/>
    </xf>
    <xf numFmtId="0" fontId="34" fillId="0" borderId="8" xfId="37" applyFont="1" applyFill="1" applyBorder="1" applyAlignment="1">
      <alignment horizontal="right"/>
    </xf>
    <xf numFmtId="0" fontId="34" fillId="0" borderId="0" xfId="37" applyNumberFormat="1" applyFont="1" applyBorder="1" applyAlignment="1">
      <alignment horizontal="center"/>
    </xf>
    <xf numFmtId="0" fontId="34" fillId="0" borderId="0" xfId="37" applyNumberFormat="1" applyFont="1" applyFill="1" applyBorder="1" applyAlignment="1">
      <alignment horizontal="left"/>
    </xf>
    <xf numFmtId="0" fontId="34" fillId="0" borderId="8" xfId="37" applyFont="1" applyFill="1" applyBorder="1" applyAlignment="1"/>
    <xf numFmtId="0" fontId="34" fillId="0" borderId="7" xfId="37" applyFont="1" applyBorder="1" applyAlignment="1"/>
    <xf numFmtId="0" fontId="34" fillId="0" borderId="4" xfId="37" applyNumberFormat="1" applyFont="1" applyFill="1" applyBorder="1" applyAlignment="1">
      <alignment horizontal="left"/>
    </xf>
    <xf numFmtId="164" fontId="34" fillId="0" borderId="8" xfId="37" applyNumberFormat="1" applyFont="1" applyFill="1" applyBorder="1" applyAlignment="1"/>
    <xf numFmtId="0" fontId="32" fillId="0" borderId="0" xfId="37" applyNumberFormat="1" applyFont="1" applyFill="1" applyBorder="1" applyAlignment="1">
      <alignment horizontal="left"/>
    </xf>
    <xf numFmtId="3" fontId="37" fillId="0" borderId="0" xfId="37" applyNumberFormat="1" applyFont="1" applyFill="1" applyBorder="1" applyAlignment="1">
      <alignment horizontal="center"/>
    </xf>
    <xf numFmtId="164" fontId="34" fillId="0" borderId="8" xfId="37" applyNumberFormat="1" applyFont="1" applyFill="1" applyBorder="1" applyAlignment="1">
      <alignment horizontal="right"/>
    </xf>
    <xf numFmtId="0" fontId="37" fillId="0" borderId="0" xfId="37" applyNumberFormat="1" applyFont="1" applyFill="1" applyBorder="1" applyAlignment="1">
      <alignment horizontal="center"/>
    </xf>
    <xf numFmtId="0" fontId="34" fillId="0" borderId="7" xfId="37" applyNumberFormat="1" applyFont="1" applyFill="1" applyBorder="1" applyAlignment="1">
      <alignment horizontal="left"/>
    </xf>
    <xf numFmtId="0" fontId="34" fillId="0" borderId="0" xfId="37" applyNumberFormat="1" applyFont="1" applyFill="1" applyBorder="1" applyAlignment="1">
      <alignment horizontal="center"/>
    </xf>
    <xf numFmtId="0" fontId="37" fillId="0" borderId="0" xfId="37" applyFont="1" applyBorder="1" applyAlignment="1">
      <alignment horizontal="center"/>
    </xf>
    <xf numFmtId="3" fontId="37" fillId="0" borderId="0" xfId="37" applyNumberFormat="1" applyFont="1" applyBorder="1" applyAlignment="1">
      <alignment horizontal="center"/>
    </xf>
    <xf numFmtId="0" fontId="34" fillId="0" borderId="0" xfId="37" applyFont="1" applyFill="1" applyBorder="1" applyAlignment="1">
      <alignment horizontal="left"/>
    </xf>
    <xf numFmtId="0" fontId="34" fillId="0" borderId="0" xfId="37" applyFont="1" applyFill="1" applyBorder="1" applyAlignment="1"/>
    <xf numFmtId="0" fontId="69" fillId="0" borderId="0" xfId="37" applyFont="1" applyFill="1" applyBorder="1" applyAlignment="1">
      <alignment horizontal="left"/>
    </xf>
    <xf numFmtId="0" fontId="34" fillId="0" borderId="0" xfId="37" applyFont="1" applyFill="1" applyBorder="1" applyAlignment="1">
      <alignment horizontal="center"/>
    </xf>
    <xf numFmtId="0" fontId="34" fillId="0" borderId="0" xfId="37" applyFont="1" applyFill="1" applyBorder="1" applyAlignment="1">
      <alignment horizontal="right"/>
    </xf>
    <xf numFmtId="1" fontId="37" fillId="0" borderId="0" xfId="37" applyNumberFormat="1" applyFont="1" applyFill="1" applyBorder="1" applyAlignment="1">
      <alignment horizontal="center"/>
    </xf>
    <xf numFmtId="164" fontId="34" fillId="0" borderId="0" xfId="48" applyNumberFormat="1" applyFont="1" applyFill="1" applyBorder="1" applyAlignment="1">
      <alignment horizontal="right"/>
    </xf>
    <xf numFmtId="164" fontId="34" fillId="0" borderId="8" xfId="48" applyNumberFormat="1" applyFont="1" applyFill="1" applyBorder="1" applyAlignment="1">
      <alignment horizontal="right"/>
    </xf>
    <xf numFmtId="0" fontId="69" fillId="0" borderId="0" xfId="37" applyNumberFormat="1" applyFont="1" applyFill="1" applyBorder="1" applyAlignment="1">
      <alignment horizontal="left"/>
    </xf>
    <xf numFmtId="0" fontId="34" fillId="0" borderId="24" xfId="37" applyNumberFormat="1" applyFont="1" applyFill="1" applyBorder="1" applyAlignment="1">
      <alignment horizontal="center"/>
    </xf>
    <xf numFmtId="0" fontId="34" fillId="0" borderId="1" xfId="37" applyNumberFormat="1" applyFont="1" applyBorder="1" applyAlignment="1">
      <alignment horizontal="center"/>
    </xf>
    <xf numFmtId="0" fontId="34" fillId="0" borderId="1" xfId="37" applyNumberFormat="1" applyFont="1" applyFill="1" applyBorder="1" applyAlignment="1">
      <alignment horizontal="left"/>
    </xf>
    <xf numFmtId="0" fontId="34" fillId="0" borderId="1" xfId="37" applyFont="1" applyBorder="1" applyAlignment="1"/>
    <xf numFmtId="0" fontId="37" fillId="0" borderId="1" xfId="37" applyNumberFormat="1" applyFont="1" applyFill="1" applyBorder="1" applyAlignment="1">
      <alignment horizontal="center"/>
    </xf>
    <xf numFmtId="0" fontId="34" fillId="0" borderId="9" xfId="37" applyNumberFormat="1" applyFont="1" applyFill="1" applyBorder="1" applyAlignment="1">
      <alignment horizontal="left"/>
    </xf>
    <xf numFmtId="164" fontId="34" fillId="0" borderId="24" xfId="48" applyNumberFormat="1" applyFont="1" applyFill="1" applyBorder="1" applyAlignment="1">
      <alignment horizontal="right"/>
    </xf>
    <xf numFmtId="0" fontId="34" fillId="0" borderId="1" xfId="37" applyFont="1" applyBorder="1" applyAlignment="1">
      <alignment horizontal="center"/>
    </xf>
    <xf numFmtId="0" fontId="34" fillId="0" borderId="1" xfId="37" applyFont="1" applyFill="1" applyBorder="1" applyAlignment="1">
      <alignment horizontal="center" wrapText="1"/>
    </xf>
    <xf numFmtId="0" fontId="34" fillId="0" borderId="9" xfId="37" applyFont="1" applyFill="1" applyBorder="1" applyAlignment="1">
      <alignment horizontal="center" wrapText="1"/>
    </xf>
    <xf numFmtId="3" fontId="34" fillId="0" borderId="0" xfId="37" applyNumberFormat="1" applyFont="1" applyBorder="1" applyAlignment="1">
      <alignment horizontal="right"/>
    </xf>
    <xf numFmtId="0" fontId="34" fillId="0" borderId="8" xfId="37" applyNumberFormat="1" applyFont="1" applyFill="1" applyBorder="1" applyAlignment="1">
      <alignment horizontal="center"/>
    </xf>
    <xf numFmtId="164" fontId="34" fillId="0" borderId="0" xfId="37" applyNumberFormat="1" applyFont="1" applyBorder="1" applyAlignment="1">
      <alignment horizontal="center"/>
    </xf>
    <xf numFmtId="164" fontId="34" fillId="0" borderId="1" xfId="48" applyNumberFormat="1" applyFont="1" applyFill="1" applyBorder="1" applyAlignment="1">
      <alignment horizontal="right"/>
    </xf>
    <xf numFmtId="37" fontId="140" fillId="11" borderId="0" xfId="0" applyNumberFormat="1" applyFont="1" applyFill="1" applyAlignment="1">
      <alignment horizontal="right"/>
    </xf>
    <xf numFmtId="0" fontId="32" fillId="0" borderId="8" xfId="0" applyFont="1" applyFill="1" applyBorder="1" applyAlignment="1">
      <alignment horizontal="center"/>
    </xf>
    <xf numFmtId="0" fontId="32" fillId="0" borderId="0" xfId="0" applyFont="1" applyFill="1" applyBorder="1" applyAlignment="1">
      <alignment horizontal="center"/>
    </xf>
    <xf numFmtId="164" fontId="32" fillId="0" borderId="8" xfId="1" applyNumberFormat="1" applyFont="1" applyFill="1" applyBorder="1" applyAlignment="1">
      <alignment horizontal="center"/>
    </xf>
    <xf numFmtId="164" fontId="32" fillId="0" borderId="0" xfId="1" applyNumberFormat="1" applyFont="1" applyFill="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Border="1" applyAlignment="1">
      <alignment wrapText="1"/>
    </xf>
    <xf numFmtId="0" fontId="34" fillId="0" borderId="7" xfId="0" applyFont="1" applyBorder="1" applyAlignment="1">
      <alignment wrapText="1"/>
    </xf>
    <xf numFmtId="37" fontId="34" fillId="0" borderId="40" xfId="45" applyNumberFormat="1" applyFont="1" applyFill="1" applyBorder="1" applyAlignment="1">
      <alignment wrapText="1"/>
    </xf>
    <xf numFmtId="0" fontId="31" fillId="0" borderId="0" xfId="0" applyFont="1" applyFill="1" applyAlignment="1">
      <alignment horizontal="centerContinuous"/>
    </xf>
    <xf numFmtId="0" fontId="32" fillId="0" borderId="40" xfId="37" applyNumberFormat="1" applyFont="1" applyFill="1" applyBorder="1" applyAlignment="1">
      <alignment horizontal="left"/>
    </xf>
    <xf numFmtId="0" fontId="140" fillId="0" borderId="0" xfId="37" applyFont="1" applyBorder="1" applyAlignment="1">
      <alignment horizontal="center"/>
    </xf>
    <xf numFmtId="0" fontId="34" fillId="0" borderId="40" xfId="0" applyFont="1" applyBorder="1" applyAlignment="1">
      <alignment horizontal="center"/>
    </xf>
    <xf numFmtId="0" fontId="37" fillId="0" borderId="40" xfId="0" applyFont="1" applyFill="1" applyBorder="1" applyAlignment="1">
      <alignment horizontal="center"/>
    </xf>
    <xf numFmtId="10" fontId="99" fillId="11" borderId="29" xfId="26" applyNumberFormat="1" applyFont="1" applyFill="1" applyBorder="1" applyAlignment="1">
      <alignment horizontal="right" vertical="top"/>
    </xf>
    <xf numFmtId="10" fontId="99" fillId="11" borderId="45" xfId="26" applyNumberFormat="1" applyFont="1" applyFill="1" applyBorder="1" applyAlignment="1">
      <alignment horizontal="right" vertical="top"/>
    </xf>
    <xf numFmtId="10" fontId="99" fillId="11" borderId="49" xfId="26" applyNumberFormat="1" applyFont="1" applyFill="1" applyBorder="1" applyAlignment="1">
      <alignment horizontal="right" vertical="top"/>
    </xf>
    <xf numFmtId="168" fontId="99" fillId="0" borderId="0" xfId="13" applyNumberFormat="1" applyFont="1" applyFill="1"/>
    <xf numFmtId="168" fontId="100" fillId="0" borderId="0" xfId="13" applyNumberFormat="1" applyFont="1" applyFill="1"/>
    <xf numFmtId="164" fontId="99" fillId="11" borderId="0" xfId="1" applyNumberFormat="1" applyFont="1" applyFill="1" applyBorder="1"/>
    <xf numFmtId="0" fontId="31" fillId="0" borderId="0" xfId="57" applyFont="1" applyFill="1" applyAlignment="1">
      <alignment horizontal="left" vertical="justify"/>
    </xf>
    <xf numFmtId="0" fontId="30" fillId="0" borderId="0" xfId="57" applyFont="1" applyFill="1" applyAlignment="1">
      <alignment vertical="center"/>
    </xf>
    <xf numFmtId="0" fontId="30" fillId="0" borderId="0" xfId="57" applyFont="1" applyFill="1" applyAlignment="1">
      <alignment horizontal="centerContinuous"/>
    </xf>
    <xf numFmtId="0" fontId="30" fillId="0" borderId="0" xfId="57" applyFont="1" applyFill="1" applyAlignment="1">
      <alignment horizontal="center"/>
    </xf>
    <xf numFmtId="0" fontId="31" fillId="0" borderId="0" xfId="57" applyFont="1" applyFill="1" applyAlignment="1">
      <alignment horizontal="center"/>
    </xf>
    <xf numFmtId="0" fontId="31" fillId="0" borderId="0" xfId="57" applyFont="1" applyFill="1" applyBorder="1" applyAlignment="1">
      <alignment horizontal="center"/>
    </xf>
    <xf numFmtId="0" fontId="30" fillId="0" borderId="0" xfId="57" applyFont="1" applyFill="1" applyAlignment="1">
      <alignment horizontal="center" vertical="center"/>
    </xf>
    <xf numFmtId="0" fontId="30" fillId="0" borderId="0" xfId="57" applyFont="1" applyFill="1"/>
    <xf numFmtId="0" fontId="31" fillId="0" borderId="0" xfId="57" quotePrefix="1" applyFont="1" applyFill="1" applyAlignment="1">
      <alignment horizontal="center"/>
    </xf>
    <xf numFmtId="0" fontId="30" fillId="0" borderId="0" xfId="57" applyFont="1" applyFill="1" applyAlignment="1">
      <alignment horizontal="center" vertical="center" wrapText="1"/>
    </xf>
    <xf numFmtId="3" fontId="34" fillId="0" borderId="76" xfId="0" applyNumberFormat="1" applyFont="1" applyFill="1" applyBorder="1" applyAlignment="1">
      <alignment horizontal="center"/>
    </xf>
    <xf numFmtId="0" fontId="37" fillId="0" borderId="0" xfId="0" applyFont="1" applyFill="1" applyBorder="1" applyAlignment="1"/>
    <xf numFmtId="0" fontId="34" fillId="0" borderId="76" xfId="0" applyNumberFormat="1" applyFont="1" applyFill="1" applyBorder="1" applyAlignment="1">
      <alignment horizontal="right"/>
    </xf>
    <xf numFmtId="0" fontId="34" fillId="0" borderId="76" xfId="0" applyNumberFormat="1" applyFont="1" applyBorder="1" applyAlignment="1">
      <alignment horizontal="left"/>
    </xf>
    <xf numFmtId="0" fontId="37" fillId="0" borderId="76" xfId="0" applyFont="1" applyFill="1" applyBorder="1" applyAlignment="1"/>
    <xf numFmtId="0" fontId="37" fillId="0" borderId="76" xfId="0" applyNumberFormat="1" applyFont="1" applyBorder="1" applyAlignment="1">
      <alignment horizontal="center"/>
    </xf>
    <xf numFmtId="0" fontId="34" fillId="0" borderId="76" xfId="0" applyNumberFormat="1" applyFont="1" applyFill="1" applyBorder="1" applyAlignment="1">
      <alignment horizontal="left"/>
    </xf>
    <xf numFmtId="164" fontId="34" fillId="0" borderId="76" xfId="0" applyNumberFormat="1" applyFont="1" applyFill="1" applyBorder="1" applyAlignment="1">
      <alignment horizontal="center" wrapText="1"/>
    </xf>
    <xf numFmtId="168" fontId="34" fillId="0" borderId="0" xfId="13" applyNumberFormat="1" applyFont="1" applyFill="1" applyBorder="1" applyAlignment="1">
      <alignment horizontal="left"/>
    </xf>
    <xf numFmtId="0" fontId="34" fillId="0" borderId="76" xfId="0" applyFont="1" applyFill="1" applyBorder="1" applyAlignment="1"/>
    <xf numFmtId="164" fontId="34" fillId="0" borderId="76" xfId="1" applyNumberFormat="1" applyFont="1" applyFill="1" applyBorder="1" applyAlignment="1">
      <alignment horizontal="center" wrapText="1"/>
    </xf>
    <xf numFmtId="164" fontId="34" fillId="0" borderId="76" xfId="1" applyNumberFormat="1" applyFont="1" applyFill="1" applyBorder="1" applyAlignment="1">
      <alignment horizontal="center"/>
    </xf>
    <xf numFmtId="164" fontId="34" fillId="0" borderId="76" xfId="0" applyNumberFormat="1" applyFont="1" applyFill="1" applyBorder="1" applyAlignment="1">
      <alignment horizontal="center"/>
    </xf>
    <xf numFmtId="0" fontId="34" fillId="0" borderId="76" xfId="0" applyNumberFormat="1" applyFont="1" applyBorder="1" applyAlignment="1">
      <alignment horizontal="center"/>
    </xf>
    <xf numFmtId="0" fontId="34" fillId="0" borderId="76" xfId="0" applyNumberFormat="1" applyFont="1" applyFill="1" applyBorder="1" applyAlignment="1">
      <alignment horizontal="center"/>
    </xf>
    <xf numFmtId="164" fontId="34" fillId="0" borderId="76" xfId="48" applyNumberFormat="1" applyFont="1" applyFill="1" applyBorder="1" applyAlignment="1">
      <alignment horizontal="right"/>
    </xf>
    <xf numFmtId="0" fontId="34" fillId="0" borderId="76" xfId="37" applyFont="1" applyFill="1" applyBorder="1" applyAlignment="1">
      <alignment horizontal="center" wrapText="1"/>
    </xf>
    <xf numFmtId="0" fontId="34" fillId="11" borderId="0" xfId="0" applyFont="1" applyFill="1" applyBorder="1" applyAlignment="1"/>
    <xf numFmtId="0" fontId="34" fillId="0" borderId="7" xfId="0" applyFont="1" applyFill="1" applyBorder="1" applyAlignment="1"/>
    <xf numFmtId="0" fontId="37" fillId="0" borderId="76" xfId="0" applyNumberFormat="1" applyFont="1" applyFill="1" applyBorder="1" applyAlignment="1">
      <alignment horizontal="center"/>
    </xf>
    <xf numFmtId="0" fontId="34" fillId="0" borderId="71" xfId="0" applyFont="1" applyBorder="1"/>
    <xf numFmtId="0" fontId="154" fillId="0" borderId="0" xfId="0" applyNumberFormat="1" applyFont="1" applyFill="1" applyBorder="1" applyAlignment="1">
      <alignment horizontal="left"/>
    </xf>
    <xf numFmtId="0" fontId="34" fillId="0" borderId="76" xfId="0" applyFont="1" applyFill="1" applyBorder="1" applyAlignment="1">
      <alignment horizontal="center" wrapText="1"/>
    </xf>
    <xf numFmtId="164" fontId="34" fillId="0" borderId="76" xfId="1" applyNumberFormat="1" applyFont="1" applyFill="1" applyBorder="1" applyAlignment="1"/>
    <xf numFmtId="0" fontId="34" fillId="0" borderId="11" xfId="37" applyNumberFormat="1" applyFont="1" applyBorder="1" applyAlignment="1">
      <alignment horizontal="center"/>
    </xf>
    <xf numFmtId="0" fontId="34" fillId="0" borderId="76" xfId="37" applyNumberFormat="1" applyFont="1" applyBorder="1" applyAlignment="1">
      <alignment horizontal="center"/>
    </xf>
    <xf numFmtId="164" fontId="34" fillId="0" borderId="76" xfId="0" applyNumberFormat="1" applyFont="1" applyBorder="1"/>
    <xf numFmtId="0" fontId="34" fillId="0" borderId="11" xfId="37" applyFont="1" applyBorder="1" applyAlignment="1"/>
    <xf numFmtId="0" fontId="34" fillId="0" borderId="11" xfId="37" applyFont="1" applyBorder="1" applyAlignment="1">
      <alignment horizontal="center"/>
    </xf>
    <xf numFmtId="0" fontId="34" fillId="0" borderId="11" xfId="37" applyFont="1" applyFill="1" applyBorder="1" applyAlignment="1">
      <alignment horizontal="center" wrapText="1"/>
    </xf>
    <xf numFmtId="0" fontId="34" fillId="0" borderId="76" xfId="37" applyNumberFormat="1" applyFont="1" applyFill="1" applyBorder="1" applyAlignment="1">
      <alignment horizontal="left"/>
    </xf>
    <xf numFmtId="0" fontId="34" fillId="0" borderId="76" xfId="37" applyFont="1" applyBorder="1" applyAlignment="1"/>
    <xf numFmtId="0" fontId="37" fillId="0" borderId="76" xfId="37" applyNumberFormat="1" applyFont="1" applyFill="1" applyBorder="1" applyAlignment="1">
      <alignment horizontal="center"/>
    </xf>
    <xf numFmtId="0" fontId="34" fillId="0" borderId="76" xfId="0" applyFont="1" applyFill="1" applyBorder="1" applyAlignment="1">
      <alignment horizontal="center"/>
    </xf>
    <xf numFmtId="3" fontId="34" fillId="0" borderId="7" xfId="0" applyNumberFormat="1" applyFont="1" applyFill="1" applyBorder="1" applyAlignment="1"/>
    <xf numFmtId="0" fontId="34" fillId="0" borderId="76" xfId="37" applyFont="1" applyBorder="1" applyAlignment="1">
      <alignment horizontal="center"/>
    </xf>
    <xf numFmtId="0" fontId="34" fillId="0" borderId="11" xfId="37" applyNumberFormat="1" applyFont="1" applyFill="1" applyBorder="1" applyAlignment="1">
      <alignment horizontal="center"/>
    </xf>
    <xf numFmtId="0" fontId="34" fillId="0" borderId="76" xfId="0" applyFont="1" applyBorder="1"/>
    <xf numFmtId="0" fontId="154" fillId="0" borderId="0" xfId="37" applyFont="1" applyFill="1" applyBorder="1" applyAlignment="1">
      <alignment horizontal="left"/>
    </xf>
    <xf numFmtId="0" fontId="34" fillId="0" borderId="11" xfId="37" applyNumberFormat="1" applyFont="1" applyFill="1" applyBorder="1" applyAlignment="1">
      <alignment horizontal="left"/>
    </xf>
    <xf numFmtId="0" fontId="37" fillId="0" borderId="11" xfId="37" applyNumberFormat="1" applyFont="1" applyFill="1" applyBorder="1" applyAlignment="1">
      <alignment horizontal="center"/>
    </xf>
    <xf numFmtId="164" fontId="34" fillId="0" borderId="11" xfId="48" applyNumberFormat="1" applyFont="1" applyFill="1" applyBorder="1" applyAlignment="1">
      <alignment horizontal="right"/>
    </xf>
    <xf numFmtId="0" fontId="34" fillId="0" borderId="76" xfId="0" applyFont="1" applyFill="1" applyBorder="1"/>
    <xf numFmtId="0" fontId="154" fillId="0" borderId="0" xfId="0" applyFont="1" applyFill="1" applyBorder="1" applyAlignment="1">
      <alignment horizontal="left"/>
    </xf>
    <xf numFmtId="3" fontId="34" fillId="0" borderId="0" xfId="0" applyNumberFormat="1" applyFont="1" applyFill="1" applyBorder="1"/>
    <xf numFmtId="0" fontId="30" fillId="0" borderId="0" xfId="37" applyFont="1"/>
    <xf numFmtId="37" fontId="30" fillId="0" borderId="0" xfId="45" applyNumberFormat="1" applyFont="1"/>
    <xf numFmtId="164" fontId="34" fillId="0" borderId="9" xfId="1" applyNumberFormat="1" applyFont="1" applyFill="1" applyBorder="1" applyAlignment="1">
      <alignment horizontal="center" wrapText="1"/>
    </xf>
    <xf numFmtId="0" fontId="34" fillId="0" borderId="0" xfId="0" applyNumberFormat="1" applyFont="1" applyFill="1" applyBorder="1" applyAlignment="1">
      <alignment horizontal="center"/>
    </xf>
    <xf numFmtId="172" fontId="30" fillId="0" borderId="0" xfId="13" applyNumberFormat="1" applyAlignment="1"/>
    <xf numFmtId="0" fontId="155" fillId="0" borderId="0" xfId="0" applyFont="1" applyFill="1"/>
    <xf numFmtId="37" fontId="34" fillId="0" borderId="0" xfId="45" applyNumberFormat="1" applyFont="1" applyFill="1" applyBorder="1" applyAlignment="1">
      <alignment wrapText="1"/>
    </xf>
    <xf numFmtId="0" fontId="46" fillId="0" borderId="0" xfId="0" applyNumberFormat="1" applyFont="1" applyFill="1" applyBorder="1"/>
    <xf numFmtId="164" fontId="140" fillId="11" borderId="0" xfId="1" applyNumberFormat="1" applyFont="1" applyFill="1" applyBorder="1" applyAlignment="1"/>
    <xf numFmtId="0" fontId="54" fillId="0" borderId="23" xfId="0" applyFont="1" applyBorder="1" applyAlignment="1">
      <alignment horizontal="center"/>
    </xf>
    <xf numFmtId="164" fontId="54" fillId="0" borderId="5" xfId="1" applyNumberFormat="1" applyFont="1" applyBorder="1" applyAlignment="1">
      <alignment horizontal="center"/>
    </xf>
    <xf numFmtId="0" fontId="54" fillId="0" borderId="23" xfId="0" applyFont="1" applyFill="1" applyBorder="1" applyAlignment="1">
      <alignment horizontal="center"/>
    </xf>
    <xf numFmtId="0" fontId="54" fillId="0" borderId="6" xfId="0" applyFont="1" applyFill="1" applyBorder="1" applyAlignment="1">
      <alignment horizontal="center" wrapText="1"/>
    </xf>
    <xf numFmtId="0" fontId="54" fillId="0" borderId="33" xfId="0" applyFont="1" applyFill="1" applyBorder="1" applyAlignment="1">
      <alignment horizontal="center" wrapText="1"/>
    </xf>
    <xf numFmtId="0" fontId="51" fillId="0" borderId="23" xfId="0" applyFont="1" applyBorder="1"/>
    <xf numFmtId="0" fontId="51" fillId="0" borderId="0" xfId="0" applyFont="1" applyBorder="1" applyAlignment="1">
      <alignment horizontal="center" wrapText="1"/>
    </xf>
    <xf numFmtId="10" fontId="51" fillId="0" borderId="0" xfId="13" applyNumberFormat="1" applyFont="1" applyFill="1" applyBorder="1" applyAlignment="1">
      <alignment horizontal="left"/>
    </xf>
    <xf numFmtId="164" fontId="51" fillId="0" borderId="0" xfId="0" applyNumberFormat="1" applyFont="1" applyFill="1" applyBorder="1"/>
    <xf numFmtId="0" fontId="51" fillId="0" borderId="76" xfId="0" applyFont="1" applyFill="1" applyBorder="1"/>
    <xf numFmtId="0" fontId="41" fillId="0" borderId="0" xfId="0" applyNumberFormat="1" applyFont="1" applyFill="1"/>
    <xf numFmtId="0" fontId="30" fillId="0" borderId="0" xfId="0" applyNumberFormat="1" applyFont="1" applyFill="1"/>
    <xf numFmtId="3" fontId="34" fillId="0" borderId="40" xfId="37" applyNumberFormat="1" applyFont="1" applyFill="1" applyBorder="1" applyAlignment="1"/>
    <xf numFmtId="3" fontId="40" fillId="0" borderId="76" xfId="0" applyNumberFormat="1" applyFont="1" applyFill="1" applyBorder="1" applyAlignment="1">
      <alignment horizontal="center"/>
    </xf>
    <xf numFmtId="37" fontId="32" fillId="0" borderId="0" xfId="1" applyNumberFormat="1" applyFont="1" applyFill="1"/>
    <xf numFmtId="37" fontId="34" fillId="0" borderId="4" xfId="0" applyNumberFormat="1" applyFont="1" applyFill="1" applyBorder="1" applyAlignment="1">
      <alignment horizontal="right"/>
    </xf>
    <xf numFmtId="0" fontId="34" fillId="11" borderId="4" xfId="0" applyNumberFormat="1" applyFont="1" applyFill="1" applyBorder="1" applyAlignment="1">
      <alignment horizontal="left"/>
    </xf>
    <xf numFmtId="0" fontId="142" fillId="37" borderId="79" xfId="0" applyFont="1" applyFill="1" applyBorder="1" applyAlignment="1">
      <alignment horizontal="center" wrapText="1"/>
    </xf>
    <xf numFmtId="0" fontId="142" fillId="37" borderId="80" xfId="0" applyFont="1" applyFill="1" applyBorder="1" applyAlignment="1">
      <alignment horizontal="center" wrapText="1"/>
    </xf>
    <xf numFmtId="0" fontId="142" fillId="37" borderId="80" xfId="0" applyFont="1" applyFill="1" applyBorder="1" applyAlignment="1"/>
    <xf numFmtId="0" fontId="142" fillId="37" borderId="81" xfId="0" applyFont="1" applyFill="1" applyBorder="1" applyAlignment="1"/>
    <xf numFmtId="0" fontId="142" fillId="37" borderId="80" xfId="0" applyFont="1" applyFill="1" applyBorder="1" applyAlignment="1">
      <alignment wrapText="1"/>
    </xf>
    <xf numFmtId="0" fontId="142" fillId="37" borderId="81" xfId="0" applyFont="1" applyFill="1" applyBorder="1" applyAlignment="1">
      <alignment wrapText="1"/>
    </xf>
    <xf numFmtId="0" fontId="34" fillId="0" borderId="7" xfId="0" applyNumberFormat="1" applyFont="1" applyFill="1" applyBorder="1" applyAlignment="1"/>
    <xf numFmtId="0" fontId="142" fillId="37" borderId="79" xfId="37" applyFont="1" applyFill="1" applyBorder="1" applyAlignment="1">
      <alignment horizontal="center" wrapText="1"/>
    </xf>
    <xf numFmtId="0" fontId="142" fillId="37" borderId="80" xfId="37" applyFont="1" applyFill="1" applyBorder="1" applyAlignment="1">
      <alignment horizontal="center" wrapText="1"/>
    </xf>
    <xf numFmtId="0" fontId="142" fillId="37" borderId="80" xfId="37" applyFont="1" applyFill="1" applyBorder="1" applyAlignment="1"/>
    <xf numFmtId="0" fontId="142" fillId="37" borderId="81" xfId="37" applyFont="1" applyFill="1" applyBorder="1" applyAlignment="1"/>
    <xf numFmtId="0" fontId="146" fillId="37" borderId="80" xfId="0" applyFont="1" applyFill="1" applyBorder="1" applyAlignment="1"/>
    <xf numFmtId="0" fontId="146" fillId="37" borderId="81" xfId="0" applyFont="1" applyFill="1" applyBorder="1" applyAlignment="1"/>
    <xf numFmtId="0" fontId="40" fillId="0" borderId="40" xfId="0" applyFont="1" applyFill="1" applyBorder="1" applyAlignment="1"/>
    <xf numFmtId="0" fontId="40" fillId="0" borderId="70" xfId="0" applyFont="1" applyFill="1" applyBorder="1" applyAlignment="1"/>
    <xf numFmtId="0" fontId="31" fillId="7" borderId="0" xfId="0" applyFont="1" applyFill="1" applyAlignment="1">
      <alignment horizontal="left"/>
    </xf>
    <xf numFmtId="37" fontId="99" fillId="11" borderId="67" xfId="1" applyNumberFormat="1" applyFont="1" applyFill="1" applyBorder="1" applyAlignment="1">
      <alignment vertical="center"/>
    </xf>
    <xf numFmtId="0" fontId="142" fillId="37" borderId="80" xfId="0" applyFont="1" applyFill="1" applyBorder="1" applyAlignment="1"/>
    <xf numFmtId="0" fontId="142" fillId="37" borderId="81" xfId="0" applyFont="1" applyFill="1" applyBorder="1" applyAlignment="1"/>
    <xf numFmtId="0" fontId="30" fillId="11" borderId="19" xfId="11" applyFont="1" applyFill="1" applyBorder="1" applyAlignment="1">
      <alignment horizontal="left" vertical="top"/>
    </xf>
    <xf numFmtId="0" fontId="30" fillId="0" borderId="40" xfId="0" applyFont="1" applyFill="1" applyBorder="1"/>
    <xf numFmtId="0" fontId="161" fillId="11" borderId="18" xfId="8" applyFont="1" applyFill="1" applyBorder="1" applyAlignment="1">
      <alignment horizontal="center"/>
    </xf>
    <xf numFmtId="0" fontId="161" fillId="11" borderId="0" xfId="8" applyFont="1" applyFill="1" applyBorder="1" applyAlignment="1">
      <alignment horizontal="center"/>
    </xf>
    <xf numFmtId="0" fontId="161" fillId="11" borderId="17" xfId="8" applyFont="1" applyFill="1" applyBorder="1" applyAlignment="1">
      <alignment horizontal="center"/>
    </xf>
    <xf numFmtId="0" fontId="161" fillId="11" borderId="20" xfId="8" applyFont="1" applyFill="1" applyBorder="1" applyAlignment="1">
      <alignment horizontal="center"/>
    </xf>
    <xf numFmtId="0" fontId="161" fillId="0" borderId="0" xfId="8" applyFont="1" applyAlignment="1">
      <alignment horizontal="center"/>
    </xf>
    <xf numFmtId="49" fontId="100" fillId="0" borderId="66" xfId="57" applyNumberFormat="1" applyFont="1" applyFill="1" applyBorder="1" applyAlignment="1">
      <alignment vertical="center"/>
    </xf>
    <xf numFmtId="37" fontId="30" fillId="0" borderId="69" xfId="45" quotePrefix="1" applyNumberFormat="1" applyFont="1" applyFill="1" applyBorder="1" applyAlignment="1">
      <alignment horizontal="center" vertical="center"/>
    </xf>
    <xf numFmtId="37" fontId="30" fillId="0" borderId="69" xfId="45" quotePrefix="1" applyNumberFormat="1" applyFont="1" applyFill="1" applyBorder="1" applyAlignment="1">
      <alignment horizontal="center" vertical="center" wrapText="1"/>
    </xf>
    <xf numFmtId="37" fontId="30" fillId="0" borderId="17" xfId="45" quotePrefix="1" applyNumberFormat="1" applyFont="1" applyFill="1" applyBorder="1" applyAlignment="1">
      <alignment horizontal="center" vertical="center"/>
    </xf>
    <xf numFmtId="3" fontId="34" fillId="0" borderId="8" xfId="0" applyNumberFormat="1" applyFont="1" applyFill="1" applyBorder="1" applyAlignment="1">
      <alignment horizontal="center"/>
    </xf>
    <xf numFmtId="37" fontId="30" fillId="0" borderId="17" xfId="45" quotePrefix="1" applyNumberFormat="1" applyFont="1" applyFill="1" applyBorder="1" applyAlignment="1">
      <alignment horizontal="center" vertical="center" wrapText="1"/>
    </xf>
    <xf numFmtId="43" fontId="56" fillId="0" borderId="0" xfId="8" applyNumberFormat="1" applyFont="1" applyFill="1"/>
    <xf numFmtId="0" fontId="56" fillId="0" borderId="0" xfId="8" applyNumberFormat="1" applyFont="1" applyFill="1"/>
    <xf numFmtId="3" fontId="34" fillId="0" borderId="0" xfId="0" applyNumberFormat="1" applyFont="1" applyFill="1" applyBorder="1" applyAlignment="1">
      <alignment horizontal="center" wrapText="1"/>
    </xf>
    <xf numFmtId="0" fontId="37" fillId="0" borderId="76" xfId="0" applyFont="1" applyFill="1" applyBorder="1" applyAlignment="1">
      <alignment horizontal="center"/>
    </xf>
    <xf numFmtId="0" fontId="34" fillId="0" borderId="48" xfId="0" applyFont="1" applyFill="1" applyBorder="1"/>
    <xf numFmtId="0" fontId="32" fillId="0" borderId="48" xfId="0" applyFont="1" applyFill="1" applyBorder="1" applyAlignment="1">
      <alignment horizontal="left" indent="1"/>
    </xf>
    <xf numFmtId="0" fontId="34" fillId="11" borderId="0" xfId="0" applyFont="1" applyFill="1" applyBorder="1" applyAlignment="1">
      <alignment horizontal="left" indent="1"/>
    </xf>
    <xf numFmtId="0" fontId="34" fillId="0" borderId="7" xfId="0" applyFont="1" applyFill="1" applyBorder="1" applyAlignment="1">
      <alignment horizontal="left"/>
    </xf>
    <xf numFmtId="0" fontId="34" fillId="0" borderId="8" xfId="0" applyFont="1" applyFill="1" applyBorder="1" applyAlignment="1">
      <alignment horizontal="left"/>
    </xf>
    <xf numFmtId="0" fontId="34" fillId="0" borderId="7" xfId="0" applyFont="1" applyBorder="1" applyAlignment="1">
      <alignment horizontal="left"/>
    </xf>
    <xf numFmtId="0" fontId="37" fillId="0" borderId="48" xfId="0" applyFont="1" applyFill="1" applyBorder="1" applyAlignment="1">
      <alignment horizontal="center"/>
    </xf>
    <xf numFmtId="0" fontId="34" fillId="0" borderId="48" xfId="0" applyFont="1" applyFill="1" applyBorder="1" applyAlignment="1"/>
    <xf numFmtId="0" fontId="140" fillId="11" borderId="7" xfId="0" applyNumberFormat="1" applyFont="1" applyFill="1" applyBorder="1" applyAlignment="1"/>
    <xf numFmtId="0" fontId="140" fillId="11" borderId="7" xfId="0" applyFont="1" applyFill="1" applyBorder="1" applyAlignment="1"/>
    <xf numFmtId="10" fontId="34" fillId="0" borderId="0" xfId="13" applyNumberFormat="1" applyFont="1" applyFill="1" applyBorder="1" applyAlignment="1">
      <alignment horizontal="center"/>
    </xf>
    <xf numFmtId="0" fontId="43" fillId="0" borderId="0" xfId="8" applyFont="1" applyFill="1" applyAlignment="1">
      <alignment horizontal="centerContinuous"/>
    </xf>
    <xf numFmtId="164" fontId="58" fillId="0" borderId="37" xfId="8" applyNumberFormat="1" applyFont="1" applyFill="1" applyBorder="1"/>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0" fontId="105" fillId="0" borderId="0" xfId="37" applyNumberFormat="1" applyFont="1" applyFill="1" applyBorder="1" applyAlignment="1">
      <alignment horizontal="center"/>
    </xf>
    <xf numFmtId="0" fontId="30" fillId="0" borderId="0" xfId="37" applyNumberFormat="1" applyFont="1" applyFill="1" applyBorder="1" applyAlignment="1">
      <alignment horizontal="center"/>
    </xf>
    <xf numFmtId="37" fontId="32" fillId="0" borderId="40" xfId="45" applyNumberFormat="1" applyFont="1" applyFill="1" applyBorder="1"/>
    <xf numFmtId="49" fontId="100" fillId="0" borderId="20" xfId="57" applyNumberFormat="1" applyFont="1" applyFill="1" applyBorder="1" applyAlignment="1">
      <alignment vertical="center"/>
    </xf>
    <xf numFmtId="164" fontId="34" fillId="0" borderId="76" xfId="1" applyNumberFormat="1" applyFont="1" applyFill="1" applyBorder="1" applyAlignment="1"/>
    <xf numFmtId="0" fontId="99" fillId="0" borderId="0" xfId="0" applyFont="1" applyFill="1"/>
    <xf numFmtId="0" fontId="34" fillId="0" borderId="50" xfId="0" applyNumberFormat="1" applyFont="1" applyFill="1" applyBorder="1" applyAlignment="1">
      <alignment horizontal="left"/>
    </xf>
    <xf numFmtId="3" fontId="34" fillId="0" borderId="50" xfId="0" applyNumberFormat="1" applyFont="1" applyFill="1" applyBorder="1" applyAlignment="1"/>
    <xf numFmtId="0" fontId="34" fillId="0" borderId="4" xfId="0" applyFont="1" applyBorder="1"/>
    <xf numFmtId="37" fontId="140" fillId="11" borderId="0" xfId="1" applyNumberFormat="1" applyFont="1" applyFill="1" applyBorder="1" applyAlignment="1"/>
    <xf numFmtId="3" fontId="46" fillId="0" borderId="5" xfId="0" applyNumberFormat="1" applyFont="1" applyFill="1" applyBorder="1" applyAlignment="1"/>
    <xf numFmtId="3" fontId="46" fillId="0" borderId="5" xfId="0" applyNumberFormat="1" applyFont="1" applyBorder="1" applyAlignment="1"/>
    <xf numFmtId="0" fontId="46" fillId="0" borderId="5" xfId="0" applyNumberFormat="1" applyFont="1" applyFill="1" applyBorder="1" applyAlignment="1"/>
    <xf numFmtId="3" fontId="34" fillId="0" borderId="3" xfId="0" applyNumberFormat="1" applyFont="1" applyBorder="1" applyAlignment="1"/>
    <xf numFmtId="0" fontId="34" fillId="0" borderId="3" xfId="0" applyFont="1" applyFill="1" applyBorder="1" applyAlignment="1">
      <alignment horizontal="left"/>
    </xf>
    <xf numFmtId="0" fontId="34" fillId="0" borderId="40" xfId="0" applyNumberFormat="1" applyFont="1" applyBorder="1" applyAlignment="1"/>
    <xf numFmtId="0" fontId="34" fillId="0" borderId="50" xfId="0" applyNumberFormat="1" applyFont="1" applyFill="1" applyBorder="1" applyAlignment="1"/>
    <xf numFmtId="0" fontId="32" fillId="0" borderId="83" xfId="0" applyNumberFormat="1" applyFont="1" applyFill="1" applyBorder="1" applyAlignment="1"/>
    <xf numFmtId="0" fontId="140" fillId="11" borderId="7" xfId="0" applyNumberFormat="1" applyFont="1" applyFill="1" applyBorder="1" applyAlignment="1">
      <alignment horizontal="left"/>
    </xf>
    <xf numFmtId="3" fontId="140" fillId="11" borderId="7" xfId="0" applyNumberFormat="1" applyFont="1" applyFill="1" applyBorder="1" applyAlignment="1">
      <alignment horizontal="left"/>
    </xf>
    <xf numFmtId="0" fontId="34" fillId="0" borderId="48" xfId="0" applyFont="1" applyFill="1" applyBorder="1" applyAlignment="1">
      <alignment horizontal="left" indent="1"/>
    </xf>
    <xf numFmtId="0" fontId="56" fillId="0" borderId="0" xfId="2" applyNumberFormat="1" applyFont="1" applyFill="1"/>
    <xf numFmtId="164" fontId="58" fillId="0" borderId="39" xfId="8" applyNumberFormat="1" applyFont="1" applyFill="1" applyBorder="1"/>
    <xf numFmtId="0" fontId="142" fillId="37" borderId="80" xfId="0" applyFont="1" applyFill="1" applyBorder="1" applyAlignment="1"/>
    <xf numFmtId="165" fontId="30" fillId="0" borderId="0" xfId="22" applyFont="1"/>
    <xf numFmtId="165" fontId="30" fillId="0" borderId="0" xfId="22" applyFont="1" applyFill="1"/>
    <xf numFmtId="165" fontId="30" fillId="0" borderId="0" xfId="22" applyFont="1" applyAlignment="1">
      <alignment horizontal="center"/>
    </xf>
    <xf numFmtId="0" fontId="163" fillId="0" borderId="0" xfId="45" applyFont="1" applyAlignment="1"/>
    <xf numFmtId="44" fontId="30" fillId="0" borderId="0" xfId="472" applyFont="1" applyFill="1"/>
    <xf numFmtId="0" fontId="96" fillId="0" borderId="0" xfId="45" applyFont="1" applyFill="1"/>
    <xf numFmtId="0" fontId="30" fillId="0" borderId="0" xfId="45" applyFont="1" applyFill="1"/>
    <xf numFmtId="44" fontId="30" fillId="0" borderId="0" xfId="472" applyFont="1"/>
    <xf numFmtId="0" fontId="96" fillId="0" borderId="0" xfId="45" applyFont="1"/>
    <xf numFmtId="5" fontId="30" fillId="0" borderId="40" xfId="1" applyNumberFormat="1" applyFont="1" applyFill="1" applyBorder="1"/>
    <xf numFmtId="0" fontId="53" fillId="0" borderId="40" xfId="0" applyFont="1" applyFill="1" applyBorder="1"/>
    <xf numFmtId="0" fontId="34" fillId="0" borderId="83" xfId="0" applyFont="1" applyBorder="1"/>
    <xf numFmtId="37" fontId="34" fillId="0" borderId="0" xfId="37" applyNumberFormat="1" applyFont="1" applyBorder="1" applyAlignment="1">
      <alignment horizontal="center"/>
    </xf>
    <xf numFmtId="0" fontId="34" fillId="0" borderId="40" xfId="0" applyFont="1" applyFill="1" applyBorder="1"/>
    <xf numFmtId="37" fontId="34" fillId="0" borderId="40" xfId="37" applyNumberFormat="1" applyFont="1" applyBorder="1" applyAlignment="1">
      <alignment horizontal="center"/>
    </xf>
    <xf numFmtId="3" fontId="34" fillId="11" borderId="0" xfId="37" applyNumberFormat="1" applyFont="1" applyFill="1" applyBorder="1" applyAlignment="1">
      <alignment horizontal="center"/>
    </xf>
    <xf numFmtId="3" fontId="34" fillId="11" borderId="40" xfId="37" applyNumberFormat="1" applyFont="1" applyFill="1" applyBorder="1" applyAlignment="1">
      <alignment horizontal="center"/>
    </xf>
    <xf numFmtId="0" fontId="34" fillId="11" borderId="0" xfId="37" applyFont="1" applyFill="1" applyBorder="1" applyAlignment="1"/>
    <xf numFmtId="3" fontId="34" fillId="11" borderId="7" xfId="0" applyNumberFormat="1" applyFont="1" applyFill="1" applyBorder="1" applyAlignment="1"/>
    <xf numFmtId="0" fontId="30" fillId="11" borderId="0" xfId="37" applyFont="1" applyFill="1"/>
    <xf numFmtId="3" fontId="34" fillId="11" borderId="83" xfId="0" applyNumberFormat="1" applyFont="1" applyFill="1" applyBorder="1" applyAlignment="1"/>
    <xf numFmtId="37" fontId="32" fillId="0" borderId="37" xfId="48" applyNumberFormat="1" applyFont="1" applyFill="1" applyBorder="1" applyAlignment="1">
      <alignment horizontal="center"/>
    </xf>
    <xf numFmtId="37" fontId="32" fillId="11" borderId="0" xfId="0" applyNumberFormat="1" applyFont="1" applyFill="1" applyBorder="1" applyAlignment="1">
      <alignment horizontal="center"/>
    </xf>
    <xf numFmtId="164" fontId="140" fillId="11" borderId="0" xfId="0" applyNumberFormat="1" applyFont="1" applyFill="1" applyBorder="1" applyAlignment="1"/>
    <xf numFmtId="168" fontId="40" fillId="0" borderId="0" xfId="0" applyNumberFormat="1" applyFont="1" applyFill="1" applyBorder="1" applyAlignment="1">
      <alignment horizontal="left"/>
    </xf>
    <xf numFmtId="0" fontId="34" fillId="0" borderId="24" xfId="0" applyFont="1" applyFill="1" applyBorder="1"/>
    <xf numFmtId="37" fontId="30" fillId="0" borderId="26" xfId="45" applyNumberFormat="1" applyFont="1" applyBorder="1"/>
    <xf numFmtId="37" fontId="30" fillId="0" borderId="31" xfId="45" applyNumberFormat="1" applyFont="1" applyBorder="1"/>
    <xf numFmtId="37" fontId="30" fillId="0" borderId="22" xfId="45" applyNumberFormat="1" applyFont="1" applyBorder="1"/>
    <xf numFmtId="37" fontId="31" fillId="0" borderId="42" xfId="45" applyNumberFormat="1" applyFont="1" applyBorder="1"/>
    <xf numFmtId="37" fontId="31" fillId="0" borderId="44" xfId="45" applyNumberFormat="1" applyFont="1" applyBorder="1"/>
    <xf numFmtId="37" fontId="99" fillId="11" borderId="22" xfId="45" applyNumberFormat="1" applyFont="1" applyFill="1" applyBorder="1"/>
    <xf numFmtId="37" fontId="99" fillId="11" borderId="36" xfId="45" applyNumberFormat="1" applyFont="1" applyFill="1" applyBorder="1"/>
    <xf numFmtId="37" fontId="31" fillId="0" borderId="44" xfId="45" applyNumberFormat="1" applyFont="1" applyBorder="1" applyAlignment="1">
      <alignment horizontal="center"/>
    </xf>
    <xf numFmtId="37" fontId="31" fillId="0" borderId="44" xfId="45" applyNumberFormat="1" applyFont="1" applyBorder="1" applyAlignment="1">
      <alignment horizontal="center" wrapText="1"/>
    </xf>
    <xf numFmtId="37" fontId="31" fillId="0" borderId="43" xfId="45" applyNumberFormat="1" applyFont="1" applyBorder="1" applyAlignment="1">
      <alignment horizontal="center"/>
    </xf>
    <xf numFmtId="0" fontId="31" fillId="11" borderId="4" xfId="57" applyFont="1" applyFill="1" applyBorder="1" applyAlignment="1"/>
    <xf numFmtId="189" fontId="31" fillId="11" borderId="4" xfId="57" quotePrefix="1" applyNumberFormat="1" applyFont="1" applyFill="1" applyBorder="1" applyAlignment="1" applyProtection="1">
      <alignment horizontal="center" wrapText="1"/>
    </xf>
    <xf numFmtId="188" fontId="31" fillId="11" borderId="4" xfId="57" quotePrefix="1" applyNumberFormat="1" applyFont="1" applyFill="1" applyBorder="1" applyAlignment="1">
      <alignment horizontal="center" wrapText="1"/>
    </xf>
    <xf numFmtId="0" fontId="81" fillId="11" borderId="4" xfId="57" applyFont="1" applyFill="1" applyBorder="1" applyAlignment="1">
      <alignment horizontal="center"/>
    </xf>
    <xf numFmtId="165" fontId="30" fillId="0" borderId="0" xfId="22" applyFont="1" applyFill="1" applyAlignment="1">
      <alignment horizontal="center"/>
    </xf>
    <xf numFmtId="0" fontId="162" fillId="0" borderId="76" xfId="45" applyFont="1" applyFill="1" applyBorder="1" applyAlignment="1">
      <alignment horizontal="center"/>
    </xf>
    <xf numFmtId="0" fontId="162" fillId="0" borderId="76" xfId="45" applyFont="1" applyFill="1" applyBorder="1" applyAlignment="1"/>
    <xf numFmtId="165" fontId="30" fillId="0" borderId="76" xfId="22" applyFont="1" applyFill="1" applyBorder="1" applyAlignment="1">
      <alignment horizontal="center"/>
    </xf>
    <xf numFmtId="0" fontId="96" fillId="0" borderId="0" xfId="45" applyFont="1" applyFill="1" applyAlignment="1">
      <alignment horizontal="center"/>
    </xf>
    <xf numFmtId="0" fontId="96" fillId="0" borderId="0" xfId="45" applyFont="1" applyFill="1" applyAlignment="1"/>
    <xf numFmtId="0" fontId="30" fillId="0" borderId="0" xfId="45" applyFont="1" applyFill="1" applyAlignment="1"/>
    <xf numFmtId="0" fontId="163" fillId="0" borderId="0" xfId="45" applyFont="1" applyFill="1" applyAlignment="1"/>
    <xf numFmtId="0" fontId="30" fillId="0" borderId="40" xfId="45" applyFont="1" applyFill="1" applyBorder="1"/>
    <xf numFmtId="0" fontId="96" fillId="0" borderId="0" xfId="45" applyFont="1" applyFill="1" applyBorder="1"/>
    <xf numFmtId="165" fontId="30" fillId="0" borderId="0" xfId="22" applyFont="1" applyFill="1" applyBorder="1"/>
    <xf numFmtId="0" fontId="96" fillId="0" borderId="0" xfId="45" applyFont="1" applyFill="1" applyBorder="1" applyAlignment="1"/>
    <xf numFmtId="0" fontId="30" fillId="0" borderId="0" xfId="45" applyFont="1" applyFill="1" applyBorder="1"/>
    <xf numFmtId="0" fontId="30" fillId="0" borderId="0" xfId="45" applyFont="1" applyFill="1" applyBorder="1" applyAlignment="1"/>
    <xf numFmtId="2" fontId="51" fillId="11" borderId="8" xfId="0" applyNumberFormat="1" applyFont="1" applyFill="1" applyBorder="1" applyAlignment="1">
      <alignment horizontal="center"/>
    </xf>
    <xf numFmtId="0" fontId="51" fillId="11" borderId="8" xfId="0" applyFont="1" applyFill="1" applyBorder="1" applyAlignment="1">
      <alignment horizontal="center"/>
    </xf>
    <xf numFmtId="164" fontId="51" fillId="11" borderId="8" xfId="1" applyNumberFormat="1" applyFont="1" applyFill="1" applyBorder="1"/>
    <xf numFmtId="0" fontId="33" fillId="0" borderId="0" xfId="0" applyFont="1" applyFill="1" applyAlignment="1">
      <alignment horizontal="left"/>
    </xf>
    <xf numFmtId="0" fontId="34" fillId="0" borderId="0" xfId="0" applyNumberFormat="1" applyFont="1" applyBorder="1" applyAlignment="1">
      <alignment horizontal="centerContinuous"/>
    </xf>
    <xf numFmtId="0" fontId="34" fillId="0" borderId="0" xfId="0" applyFont="1" applyAlignment="1">
      <alignment horizontal="centerContinuous"/>
    </xf>
    <xf numFmtId="0" fontId="34" fillId="0" borderId="0" xfId="0" applyFont="1" applyBorder="1" applyAlignment="1">
      <alignment horizontal="centerContinuous"/>
    </xf>
    <xf numFmtId="0" fontId="38" fillId="0" borderId="0" xfId="0" applyFont="1" applyBorder="1" applyAlignment="1">
      <alignment horizontal="centerContinuous"/>
    </xf>
    <xf numFmtId="165" fontId="62" fillId="0" borderId="0" xfId="22" applyFont="1" applyFill="1" applyAlignment="1">
      <alignment horizontal="center"/>
    </xf>
    <xf numFmtId="165" fontId="30" fillId="0" borderId="76" xfId="22" applyFont="1" applyFill="1" applyBorder="1"/>
    <xf numFmtId="0" fontId="96" fillId="0" borderId="76" xfId="45" applyFont="1" applyFill="1" applyBorder="1"/>
    <xf numFmtId="0" fontId="30" fillId="0" borderId="76" xfId="45" applyFont="1" applyFill="1" applyBorder="1" applyAlignment="1"/>
    <xf numFmtId="165" fontId="30" fillId="0" borderId="11" xfId="22" applyFont="1" applyFill="1" applyBorder="1"/>
    <xf numFmtId="0" fontId="30" fillId="0" borderId="11" xfId="45" applyFont="1" applyFill="1" applyBorder="1"/>
    <xf numFmtId="0" fontId="30" fillId="0" borderId="11" xfId="45" applyFont="1" applyFill="1" applyBorder="1" applyAlignment="1"/>
    <xf numFmtId="0" fontId="96" fillId="0" borderId="11" xfId="45" applyFont="1" applyFill="1" applyBorder="1"/>
    <xf numFmtId="37" fontId="30" fillId="0" borderId="0" xfId="1" applyNumberFormat="1" applyFont="1" applyFill="1" applyAlignment="1"/>
    <xf numFmtId="0" fontId="34" fillId="0" borderId="40" xfId="0" applyNumberFormat="1" applyFont="1" applyFill="1" applyBorder="1" applyAlignment="1">
      <alignment horizontal="left" indent="2"/>
    </xf>
    <xf numFmtId="3" fontId="34" fillId="0" borderId="40" xfId="0" applyNumberFormat="1" applyFont="1" applyFill="1" applyBorder="1" applyAlignment="1">
      <alignment horizontal="center"/>
    </xf>
    <xf numFmtId="0" fontId="143" fillId="3" borderId="0" xfId="0" applyFont="1" applyFill="1"/>
    <xf numFmtId="0" fontId="45" fillId="0" borderId="0" xfId="0" applyFont="1" applyFill="1"/>
    <xf numFmtId="10" fontId="34" fillId="0" borderId="0" xfId="13" applyNumberFormat="1" applyFont="1" applyFill="1" applyAlignment="1">
      <alignment horizontal="center"/>
    </xf>
    <xf numFmtId="3" fontId="34" fillId="0" borderId="0" xfId="0" applyNumberFormat="1" applyFont="1" applyFill="1" applyAlignment="1">
      <alignment horizontal="left"/>
    </xf>
    <xf numFmtId="0" fontId="143" fillId="3" borderId="0" xfId="0" applyNumberFormat="1" applyFont="1" applyFill="1" applyAlignment="1">
      <alignment horizontal="left"/>
    </xf>
    <xf numFmtId="0" fontId="45" fillId="3" borderId="0" xfId="0" applyFont="1" applyFill="1" applyAlignment="1">
      <alignment horizontal="left"/>
    </xf>
    <xf numFmtId="10" fontId="34" fillId="0" borderId="0" xfId="0" applyNumberFormat="1" applyFont="1" applyFill="1"/>
    <xf numFmtId="170" fontId="34" fillId="0" borderId="0" xfId="0" applyNumberFormat="1" applyFont="1" applyFill="1" applyAlignment="1"/>
    <xf numFmtId="3" fontId="34" fillId="0" borderId="4" xfId="0" applyNumberFormat="1" applyFont="1" applyFill="1" applyBorder="1" applyAlignment="1">
      <alignment horizontal="center"/>
    </xf>
    <xf numFmtId="3" fontId="34" fillId="0" borderId="4" xfId="0" applyNumberFormat="1" applyFont="1" applyBorder="1"/>
    <xf numFmtId="169" fontId="34" fillId="0" borderId="4" xfId="0" applyNumberFormat="1" applyFont="1" applyBorder="1" applyAlignment="1">
      <alignment horizontal="center"/>
    </xf>
    <xf numFmtId="3" fontId="37" fillId="0" borderId="2" xfId="0" applyNumberFormat="1" applyFont="1" applyBorder="1" applyAlignment="1">
      <alignment horizontal="right"/>
    </xf>
    <xf numFmtId="3" fontId="39" fillId="0" borderId="0" xfId="0" applyNumberFormat="1" applyFont="1" applyBorder="1" applyAlignment="1">
      <alignment horizontal="right"/>
    </xf>
    <xf numFmtId="3" fontId="38" fillId="0" borderId="0" xfId="0" applyNumberFormat="1" applyFont="1" applyBorder="1" applyAlignment="1">
      <alignment horizontal="right"/>
    </xf>
    <xf numFmtId="165" fontId="62" fillId="0" borderId="0" xfId="22" applyFont="1" applyFill="1" applyAlignment="1">
      <alignment horizontal="centerContinuous"/>
    </xf>
    <xf numFmtId="0" fontId="90" fillId="0" borderId="76" xfId="0" applyFont="1" applyFill="1" applyBorder="1" applyAlignment="1">
      <alignment vertical="center"/>
    </xf>
    <xf numFmtId="37" fontId="34" fillId="0" borderId="0" xfId="45" applyNumberFormat="1" applyFont="1" applyFill="1" applyBorder="1" applyAlignment="1">
      <alignment horizontal="centerContinuous" vertical="center"/>
    </xf>
    <xf numFmtId="37" fontId="43" fillId="0" borderId="33" xfId="0" applyNumberFormat="1" applyFont="1" applyBorder="1"/>
    <xf numFmtId="37" fontId="43" fillId="0" borderId="33" xfId="0" applyNumberFormat="1" applyFont="1" applyFill="1" applyBorder="1"/>
    <xf numFmtId="37" fontId="43" fillId="0" borderId="33" xfId="5" applyNumberFormat="1" applyFont="1" applyFill="1" applyBorder="1" applyAlignment="1"/>
    <xf numFmtId="0" fontId="46" fillId="0" borderId="0" xfId="0" applyNumberFormat="1" applyFont="1" applyFill="1" applyAlignment="1">
      <alignment wrapText="1"/>
    </xf>
    <xf numFmtId="0" fontId="46" fillId="0" borderId="0" xfId="0" applyNumberFormat="1" applyFont="1" applyFill="1" applyAlignment="1"/>
    <xf numFmtId="0" fontId="140" fillId="0" borderId="7" xfId="0" applyNumberFormat="1" applyFont="1" applyFill="1" applyBorder="1" applyAlignment="1">
      <alignment horizontal="center"/>
    </xf>
    <xf numFmtId="37" fontId="32" fillId="0" borderId="39" xfId="0" applyNumberFormat="1" applyFont="1" applyBorder="1" applyAlignment="1">
      <alignment horizontal="center"/>
    </xf>
    <xf numFmtId="37" fontId="32" fillId="0" borderId="0" xfId="0" applyNumberFormat="1" applyFont="1" applyFill="1"/>
    <xf numFmtId="0" fontId="31" fillId="0" borderId="0" xfId="0" applyFont="1" applyBorder="1" applyAlignment="1">
      <alignment horizontal="center" vertical="center"/>
    </xf>
    <xf numFmtId="0" fontId="31" fillId="0" borderId="7" xfId="0" applyFont="1" applyBorder="1" applyAlignment="1">
      <alignment horizontal="center"/>
    </xf>
    <xf numFmtId="0" fontId="30" fillId="0" borderId="37" xfId="0" applyFont="1" applyBorder="1" applyAlignment="1">
      <alignment horizontal="center"/>
    </xf>
    <xf numFmtId="10" fontId="157" fillId="11" borderId="16" xfId="13" applyNumberFormat="1" applyFont="1" applyFill="1" applyBorder="1"/>
    <xf numFmtId="38" fontId="157" fillId="11" borderId="37" xfId="0" applyNumberFormat="1" applyFont="1" applyFill="1" applyBorder="1"/>
    <xf numFmtId="0" fontId="30" fillId="39" borderId="37" xfId="0" applyFont="1" applyFill="1" applyBorder="1"/>
    <xf numFmtId="0" fontId="165" fillId="0" borderId="0" xfId="0" applyFont="1" applyFill="1"/>
    <xf numFmtId="0" fontId="166"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9" fillId="39" borderId="39" xfId="0" applyFont="1" applyFill="1" applyBorder="1"/>
    <xf numFmtId="0" fontId="30" fillId="39" borderId="37" xfId="0" applyFont="1" applyFill="1" applyBorder="1" applyAlignment="1">
      <alignment horizontal="center"/>
    </xf>
    <xf numFmtId="37" fontId="34" fillId="41" borderId="0" xfId="0" applyNumberFormat="1" applyFont="1" applyFill="1" applyAlignment="1"/>
    <xf numFmtId="10" fontId="34" fillId="41" borderId="0" xfId="13" applyNumberFormat="1" applyFont="1" applyFill="1" applyAlignment="1"/>
    <xf numFmtId="10" fontId="140" fillId="41" borderId="0" xfId="13" applyNumberFormat="1" applyFont="1" applyFill="1" applyAlignment="1"/>
    <xf numFmtId="10" fontId="34" fillId="41" borderId="0" xfId="13" applyNumberFormat="1" applyFont="1" applyFill="1" applyBorder="1" applyAlignment="1">
      <alignment horizontal="center"/>
    </xf>
    <xf numFmtId="164" fontId="56" fillId="41" borderId="18" xfId="2" applyNumberFormat="1" applyFont="1" applyFill="1" applyBorder="1"/>
    <xf numFmtId="164" fontId="56" fillId="41" borderId="21" xfId="2" applyNumberFormat="1" applyFont="1" applyFill="1" applyBorder="1"/>
    <xf numFmtId="38" fontId="51" fillId="41" borderId="8" xfId="0" applyNumberFormat="1" applyFont="1" applyFill="1" applyBorder="1" applyAlignment="1">
      <alignment horizontal="center"/>
    </xf>
    <xf numFmtId="38" fontId="157" fillId="39" borderId="37" xfId="0" applyNumberFormat="1" applyFont="1" applyFill="1" applyBorder="1"/>
    <xf numFmtId="10" fontId="157" fillId="39" borderId="37" xfId="13" applyNumberFormat="1" applyFont="1" applyFill="1" applyBorder="1"/>
    <xf numFmtId="37" fontId="0" fillId="39" borderId="22" xfId="0" applyNumberFormat="1" applyFill="1" applyBorder="1"/>
    <xf numFmtId="37" fontId="34" fillId="41" borderId="0" xfId="0" applyNumberFormat="1" applyFont="1" applyFill="1" applyBorder="1" applyAlignment="1">
      <alignment horizontal="center"/>
    </xf>
    <xf numFmtId="0" fontId="141" fillId="38" borderId="23" xfId="0" applyFont="1" applyFill="1" applyBorder="1" applyAlignment="1">
      <alignment horizontal="center" wrapText="1"/>
    </xf>
    <xf numFmtId="0" fontId="32" fillId="0" borderId="40" xfId="0" applyFont="1" applyBorder="1" applyAlignment="1">
      <alignment horizontal="left" indent="1"/>
    </xf>
    <xf numFmtId="37" fontId="34" fillId="41" borderId="0" xfId="48" applyNumberFormat="1" applyFont="1" applyFill="1" applyBorder="1" applyAlignment="1">
      <alignment horizontal="center"/>
    </xf>
    <xf numFmtId="3" fontId="34" fillId="11" borderId="100" xfId="0" applyNumberFormat="1" applyFont="1" applyFill="1" applyBorder="1" applyAlignment="1"/>
    <xf numFmtId="0" fontId="32" fillId="0" borderId="99" xfId="0" applyNumberFormat="1" applyFont="1" applyFill="1" applyBorder="1" applyAlignment="1"/>
    <xf numFmtId="0" fontId="34" fillId="0" borderId="99" xfId="0" applyFont="1" applyFill="1" applyBorder="1" applyAlignment="1">
      <alignment horizontal="center"/>
    </xf>
    <xf numFmtId="164" fontId="31" fillId="0" borderId="0" xfId="1" applyNumberFormat="1" applyFont="1" applyFill="1" applyBorder="1"/>
    <xf numFmtId="0" fontId="141" fillId="38" borderId="23" xfId="0" applyFont="1" applyFill="1" applyBorder="1" applyAlignment="1">
      <alignment horizontal="center"/>
    </xf>
    <xf numFmtId="0" fontId="32" fillId="0" borderId="99" xfId="0" applyFont="1" applyBorder="1" applyAlignment="1">
      <alignment horizontal="left" indent="1"/>
    </xf>
    <xf numFmtId="0" fontId="32" fillId="0" borderId="99" xfId="0" applyFont="1" applyBorder="1" applyAlignment="1"/>
    <xf numFmtId="37" fontId="32" fillId="0" borderId="71" xfId="0" applyNumberFormat="1" applyFont="1" applyFill="1" applyBorder="1" applyAlignment="1">
      <alignment horizontal="right"/>
    </xf>
    <xf numFmtId="0" fontId="34" fillId="0" borderId="99" xfId="0" applyFont="1" applyBorder="1"/>
    <xf numFmtId="0" fontId="161" fillId="0" borderId="0" xfId="8" applyFont="1" applyFill="1" applyAlignment="1">
      <alignment horizontal="center"/>
    </xf>
    <xf numFmtId="0" fontId="99" fillId="39" borderId="37" xfId="0" applyFont="1" applyFill="1" applyBorder="1" applyAlignment="1">
      <alignment horizontal="left"/>
    </xf>
    <xf numFmtId="3" fontId="140" fillId="0" borderId="7" xfId="0" applyNumberFormat="1" applyFont="1" applyFill="1" applyBorder="1" applyAlignment="1">
      <alignment horizontal="left"/>
    </xf>
    <xf numFmtId="0" fontId="140" fillId="0" borderId="0" xfId="0" applyNumberFormat="1" applyFont="1" applyFill="1" applyBorder="1" applyAlignment="1"/>
    <xf numFmtId="0" fontId="140" fillId="0" borderId="0" xfId="0" applyFont="1" applyAlignment="1"/>
    <xf numFmtId="0" fontId="140" fillId="11" borderId="50" xfId="0" applyNumberFormat="1" applyFont="1" applyFill="1" applyBorder="1" applyAlignment="1"/>
    <xf numFmtId="0" fontId="34" fillId="0" borderId="99" xfId="0" applyNumberFormat="1" applyFont="1" applyFill="1" applyBorder="1" applyAlignment="1">
      <alignment horizontal="left" indent="1"/>
    </xf>
    <xf numFmtId="0" fontId="34" fillId="0" borderId="83" xfId="0" applyNumberFormat="1" applyFont="1" applyFill="1" applyBorder="1" applyAlignment="1">
      <alignment horizontal="left" indent="1"/>
    </xf>
    <xf numFmtId="37" fontId="34" fillId="11" borderId="0" xfId="0" applyNumberFormat="1" applyFont="1" applyFill="1" applyBorder="1" applyAlignment="1">
      <alignment horizontal="center"/>
    </xf>
    <xf numFmtId="37" fontId="140" fillId="11" borderId="0" xfId="0" applyNumberFormat="1" applyFont="1" applyFill="1" applyBorder="1" applyAlignment="1"/>
    <xf numFmtId="37" fontId="32" fillId="0" borderId="101" xfId="0" applyNumberFormat="1" applyFont="1" applyFill="1" applyBorder="1" applyAlignment="1">
      <alignment horizontal="right"/>
    </xf>
    <xf numFmtId="37" fontId="34" fillId="0" borderId="0" xfId="0" applyNumberFormat="1" applyFont="1" applyFill="1" applyBorder="1" applyAlignment="1">
      <alignment horizontal="center"/>
    </xf>
    <xf numFmtId="37" fontId="140" fillId="11" borderId="102" xfId="0" applyNumberFormat="1" applyFont="1" applyFill="1" applyBorder="1" applyAlignment="1"/>
    <xf numFmtId="37" fontId="34" fillId="41" borderId="8" xfId="1" applyNumberFormat="1" applyFont="1" applyFill="1" applyBorder="1"/>
    <xf numFmtId="37" fontId="34" fillId="41" borderId="0" xfId="1" applyNumberFormat="1" applyFont="1" applyFill="1" applyBorder="1" applyAlignment="1"/>
    <xf numFmtId="37" fontId="154" fillId="11" borderId="37" xfId="1" applyNumberFormat="1" applyFont="1" applyFill="1" applyBorder="1" applyAlignment="1"/>
    <xf numFmtId="37" fontId="34" fillId="11" borderId="0" xfId="1" applyNumberFormat="1" applyFont="1" applyFill="1" applyBorder="1" applyAlignment="1"/>
    <xf numFmtId="37" fontId="34" fillId="11" borderId="0" xfId="0" applyNumberFormat="1" applyFont="1" applyFill="1" applyBorder="1" applyAlignment="1"/>
    <xf numFmtId="37" fontId="32" fillId="0" borderId="71" xfId="48" applyNumberFormat="1" applyFont="1" applyFill="1" applyBorder="1" applyAlignment="1">
      <alignment horizontal="right"/>
    </xf>
    <xf numFmtId="37" fontId="34" fillId="0" borderId="8" xfId="0" applyNumberFormat="1" applyFont="1" applyBorder="1"/>
    <xf numFmtId="37" fontId="140" fillId="11" borderId="0" xfId="0" applyNumberFormat="1" applyFont="1" applyFill="1" applyBorder="1" applyAlignment="1">
      <alignment horizontal="right"/>
    </xf>
    <xf numFmtId="37" fontId="34" fillId="0" borderId="78" xfId="0" applyNumberFormat="1" applyFont="1" applyBorder="1"/>
    <xf numFmtId="37" fontId="34" fillId="0" borderId="71" xfId="0" applyNumberFormat="1" applyFont="1" applyBorder="1"/>
    <xf numFmtId="37" fontId="32" fillId="0" borderId="77" xfId="0" applyNumberFormat="1" applyFont="1" applyFill="1" applyBorder="1" applyAlignment="1">
      <alignment horizontal="right"/>
    </xf>
    <xf numFmtId="37" fontId="34" fillId="0" borderId="8" xfId="0" applyNumberFormat="1" applyFont="1" applyFill="1" applyBorder="1" applyAlignment="1">
      <alignment horizontal="right"/>
    </xf>
    <xf numFmtId="37" fontId="140" fillId="41" borderId="0" xfId="0" applyNumberFormat="1" applyFont="1" applyFill="1" applyBorder="1" applyAlignment="1">
      <alignment horizontal="right"/>
    </xf>
    <xf numFmtId="37" fontId="34" fillId="11" borderId="0" xfId="0" applyNumberFormat="1" applyFont="1" applyFill="1" applyBorder="1" applyAlignment="1">
      <alignment horizontal="right"/>
    </xf>
    <xf numFmtId="37" fontId="32" fillId="0" borderId="40" xfId="0" applyNumberFormat="1" applyFont="1" applyFill="1" applyBorder="1"/>
    <xf numFmtId="37" fontId="34" fillId="41" borderId="4" xfId="0" applyNumberFormat="1" applyFont="1" applyFill="1" applyBorder="1" applyAlignment="1">
      <alignment horizontal="right"/>
    </xf>
    <xf numFmtId="37" fontId="32" fillId="0" borderId="0" xfId="0" applyNumberFormat="1" applyFont="1"/>
    <xf numFmtId="37" fontId="34" fillId="0" borderId="40" xfId="0" applyNumberFormat="1" applyFont="1" applyBorder="1"/>
    <xf numFmtId="37" fontId="32" fillId="0" borderId="0" xfId="0" applyNumberFormat="1" applyFont="1" applyBorder="1" applyAlignment="1">
      <alignment horizontal="center"/>
    </xf>
    <xf numFmtId="37" fontId="34" fillId="41" borderId="0" xfId="48" applyNumberFormat="1" applyFont="1" applyFill="1" applyBorder="1" applyAlignment="1">
      <alignment horizontal="right"/>
    </xf>
    <xf numFmtId="37" fontId="34" fillId="0" borderId="0" xfId="48" applyNumberFormat="1" applyFont="1" applyFill="1" applyBorder="1" applyAlignment="1">
      <alignment horizontal="right"/>
    </xf>
    <xf numFmtId="37" fontId="34" fillId="0" borderId="7" xfId="48" applyNumberFormat="1" applyFont="1" applyFill="1" applyBorder="1" applyAlignment="1">
      <alignment horizontal="right"/>
    </xf>
    <xf numFmtId="37" fontId="34" fillId="0" borderId="7" xfId="37" applyNumberFormat="1" applyFont="1" applyFill="1" applyBorder="1" applyAlignment="1">
      <alignment horizontal="left"/>
    </xf>
    <xf numFmtId="37" fontId="34" fillId="0" borderId="7" xfId="37" applyNumberFormat="1" applyFont="1" applyBorder="1" applyAlignment="1">
      <alignment horizontal="right"/>
    </xf>
    <xf numFmtId="37" fontId="34" fillId="0" borderId="7" xfId="37" applyNumberFormat="1" applyFont="1" applyBorder="1" applyAlignment="1">
      <alignment horizontal="left"/>
    </xf>
    <xf numFmtId="37" fontId="34" fillId="0" borderId="7" xfId="48" applyNumberFormat="1" applyFont="1" applyBorder="1" applyAlignment="1">
      <alignment horizontal="right"/>
    </xf>
    <xf numFmtId="37" fontId="34" fillId="0" borderId="7" xfId="37" applyNumberFormat="1" applyFont="1" applyFill="1" applyBorder="1" applyAlignment="1"/>
    <xf numFmtId="37" fontId="34" fillId="0" borderId="0" xfId="37" applyNumberFormat="1" applyFont="1" applyBorder="1" applyAlignment="1">
      <alignment horizontal="right"/>
    </xf>
    <xf numFmtId="37" fontId="140" fillId="11" borderId="7" xfId="48" applyNumberFormat="1" applyFont="1" applyFill="1" applyBorder="1" applyAlignment="1">
      <alignment horizontal="right"/>
    </xf>
    <xf numFmtId="37" fontId="32" fillId="0" borderId="48" xfId="1" applyNumberFormat="1" applyFont="1" applyFill="1" applyBorder="1" applyAlignment="1"/>
    <xf numFmtId="0" fontId="31" fillId="0" borderId="0" xfId="0" applyFont="1" applyBorder="1" applyAlignment="1">
      <alignment vertical="center"/>
    </xf>
    <xf numFmtId="0" fontId="167" fillId="0" borderId="39" xfId="37" applyFont="1" applyFill="1" applyBorder="1" applyAlignment="1" applyProtection="1">
      <alignment horizontal="right" vertical="center" wrapText="1"/>
    </xf>
    <xf numFmtId="0" fontId="167" fillId="0" borderId="39" xfId="37" applyFont="1" applyFill="1" applyBorder="1" applyAlignment="1" applyProtection="1">
      <alignment vertical="center" wrapText="1"/>
    </xf>
    <xf numFmtId="0" fontId="167" fillId="7" borderId="39" xfId="37" applyFont="1" applyFill="1" applyBorder="1" applyAlignment="1" applyProtection="1">
      <alignment horizontal="right" vertical="center" wrapText="1"/>
    </xf>
    <xf numFmtId="0" fontId="167" fillId="7" borderId="39" xfId="37" applyFont="1" applyFill="1" applyBorder="1" applyAlignment="1" applyProtection="1">
      <alignment vertical="center" wrapText="1"/>
    </xf>
    <xf numFmtId="0" fontId="143" fillId="37" borderId="80" xfId="0" applyFont="1" applyFill="1" applyBorder="1" applyAlignment="1">
      <alignment horizontal="center" wrapText="1"/>
    </xf>
    <xf numFmtId="43" fontId="51" fillId="0" borderId="8" xfId="1" applyNumberFormat="1" applyFont="1" applyFill="1" applyBorder="1"/>
    <xf numFmtId="0" fontId="54" fillId="0" borderId="6" xfId="0" applyFont="1" applyBorder="1" applyAlignment="1">
      <alignment horizontal="center" wrapText="1"/>
    </xf>
    <xf numFmtId="0" fontId="54" fillId="0" borderId="5" xfId="0" applyFont="1" applyBorder="1" applyAlignment="1">
      <alignment horizontal="center"/>
    </xf>
    <xf numFmtId="0" fontId="54" fillId="0" borderId="33" xfId="0" applyFont="1" applyBorder="1" applyAlignment="1">
      <alignment horizontal="center"/>
    </xf>
    <xf numFmtId="164" fontId="56" fillId="11" borderId="18" xfId="8" applyNumberFormat="1" applyFont="1" applyFill="1" applyBorder="1" applyAlignment="1">
      <alignment horizontal="center"/>
    </xf>
    <xf numFmtId="0" fontId="56" fillId="0" borderId="103" xfId="8" applyFont="1" applyBorder="1" applyAlignment="1">
      <alignment horizontal="center"/>
    </xf>
    <xf numFmtId="0" fontId="56" fillId="0" borderId="82" xfId="8" applyFont="1" applyBorder="1" applyAlignment="1">
      <alignment horizontal="center"/>
    </xf>
    <xf numFmtId="0" fontId="57" fillId="0" borderId="0" xfId="8" applyFont="1" applyBorder="1"/>
    <xf numFmtId="0" fontId="57" fillId="0" borderId="18" xfId="8" applyFont="1" applyBorder="1" applyAlignment="1">
      <alignment horizontal="left" indent="1"/>
    </xf>
    <xf numFmtId="0" fontId="57" fillId="0" borderId="105" xfId="8" applyFont="1" applyBorder="1"/>
    <xf numFmtId="164" fontId="57" fillId="0" borderId="106" xfId="8" applyNumberFormat="1" applyFont="1" applyBorder="1"/>
    <xf numFmtId="0" fontId="57" fillId="0" borderId="103" xfId="8" applyFont="1" applyBorder="1"/>
    <xf numFmtId="0" fontId="57" fillId="0" borderId="77" xfId="0" applyFont="1" applyBorder="1"/>
    <xf numFmtId="0" fontId="57" fillId="0" borderId="77" xfId="8" applyFont="1" applyBorder="1"/>
    <xf numFmtId="164" fontId="57" fillId="0" borderId="17" xfId="1" applyNumberFormat="1" applyFont="1" applyBorder="1"/>
    <xf numFmtId="0" fontId="57" fillId="0" borderId="4" xfId="8" applyFont="1" applyBorder="1"/>
    <xf numFmtId="0" fontId="57" fillId="0" borderId="103" xfId="0" applyFont="1" applyBorder="1"/>
    <xf numFmtId="0" fontId="57" fillId="0" borderId="82" xfId="8" applyFont="1" applyBorder="1"/>
    <xf numFmtId="164" fontId="57" fillId="0" borderId="19" xfId="1" applyNumberFormat="1" applyFont="1" applyBorder="1"/>
    <xf numFmtId="0" fontId="57" fillId="0" borderId="21" xfId="8" applyFont="1" applyBorder="1" applyAlignment="1">
      <alignment horizontal="left" indent="1"/>
    </xf>
    <xf numFmtId="0" fontId="57" fillId="0" borderId="0" xfId="8" applyFont="1" applyBorder="1" applyAlignment="1">
      <alignment horizontal="center"/>
    </xf>
    <xf numFmtId="0" fontId="57" fillId="0" borderId="4" xfId="8" applyFont="1" applyBorder="1" applyAlignment="1">
      <alignment horizontal="center"/>
    </xf>
    <xf numFmtId="0" fontId="57" fillId="0" borderId="104" xfId="0" applyFont="1" applyBorder="1"/>
    <xf numFmtId="0" fontId="168" fillId="11" borderId="82" xfId="0" applyFont="1" applyFill="1" applyBorder="1"/>
    <xf numFmtId="0" fontId="56" fillId="0" borderId="18" xfId="8" applyFont="1" applyFill="1" applyBorder="1" applyAlignment="1">
      <alignment horizontal="center"/>
    </xf>
    <xf numFmtId="0" fontId="56" fillId="0" borderId="17" xfId="8" applyFont="1" applyFill="1" applyBorder="1" applyAlignment="1">
      <alignment horizontal="center"/>
    </xf>
    <xf numFmtId="43" fontId="56" fillId="0" borderId="18" xfId="2" applyNumberFormat="1" applyFont="1" applyFill="1" applyBorder="1"/>
    <xf numFmtId="164" fontId="56" fillId="0" borderId="17" xfId="2" applyNumberFormat="1" applyFont="1" applyFill="1" applyBorder="1"/>
    <xf numFmtId="164" fontId="56" fillId="0" borderId="18" xfId="2" applyNumberFormat="1" applyFont="1" applyFill="1" applyBorder="1"/>
    <xf numFmtId="164" fontId="56" fillId="0" borderId="21" xfId="2" applyNumberFormat="1" applyFont="1" applyFill="1" applyBorder="1"/>
    <xf numFmtId="164" fontId="56" fillId="0" borderId="19" xfId="2" applyNumberFormat="1" applyFont="1" applyFill="1" applyBorder="1"/>
    <xf numFmtId="164" fontId="56" fillId="0" borderId="40" xfId="8" applyNumberFormat="1" applyFont="1" applyFill="1" applyBorder="1"/>
    <xf numFmtId="164" fontId="56" fillId="0" borderId="40" xfId="2" applyNumberFormat="1" applyFont="1" applyFill="1" applyBorder="1"/>
    <xf numFmtId="164" fontId="54" fillId="0" borderId="76" xfId="0" applyNumberFormat="1" applyFont="1" applyBorder="1"/>
    <xf numFmtId="164" fontId="51" fillId="0" borderId="24" xfId="0" applyNumberFormat="1" applyFont="1" applyBorder="1"/>
    <xf numFmtId="164" fontId="169" fillId="11" borderId="8" xfId="1" applyNumberFormat="1" applyFont="1" applyFill="1" applyBorder="1"/>
    <xf numFmtId="2" fontId="169" fillId="11" borderId="8" xfId="0" applyNumberFormat="1" applyFont="1" applyFill="1" applyBorder="1" applyAlignment="1">
      <alignment horizontal="center"/>
    </xf>
    <xf numFmtId="0" fontId="0" fillId="0" borderId="0" xfId="0" applyFill="1" applyAlignment="1">
      <alignment horizontal="left" wrapText="1"/>
    </xf>
    <xf numFmtId="0" fontId="34" fillId="0" borderId="0" xfId="0" applyNumberFormat="1" applyFont="1" applyBorder="1" applyAlignment="1">
      <alignment horizontal="right"/>
    </xf>
    <xf numFmtId="0" fontId="34" fillId="0" borderId="83" xfId="0" applyNumberFormat="1" applyFont="1" applyFill="1" applyBorder="1" applyAlignment="1"/>
    <xf numFmtId="37" fontId="34" fillId="0" borderId="77" xfId="0" applyNumberFormat="1" applyFont="1" applyFill="1" applyBorder="1" applyAlignment="1">
      <alignment horizontal="center"/>
    </xf>
    <xf numFmtId="0" fontId="94" fillId="0" borderId="0" xfId="0" applyFont="1" applyAlignment="1">
      <alignment horizontal="left"/>
    </xf>
    <xf numFmtId="0" fontId="169" fillId="0" borderId="14" xfId="0" applyFont="1" applyFill="1" applyBorder="1" applyAlignment="1">
      <alignment horizontal="center"/>
    </xf>
    <xf numFmtId="0" fontId="169" fillId="11" borderId="8" xfId="0" applyFont="1" applyFill="1" applyBorder="1" applyAlignment="1">
      <alignment horizontal="center"/>
    </xf>
    <xf numFmtId="0" fontId="51" fillId="0" borderId="23" xfId="0" applyFont="1" applyFill="1" applyBorder="1" applyAlignment="1">
      <alignment horizontal="center" wrapText="1"/>
    </xf>
    <xf numFmtId="167" fontId="51" fillId="0" borderId="14" xfId="0" applyNumberFormat="1" applyFont="1" applyBorder="1"/>
    <xf numFmtId="167" fontId="51" fillId="0" borderId="15" xfId="0" applyNumberFormat="1" applyFont="1" applyBorder="1"/>
    <xf numFmtId="0" fontId="0" fillId="0" borderId="0" xfId="0" applyFill="1" applyAlignment="1">
      <alignment horizontal="centerContinuous"/>
    </xf>
    <xf numFmtId="164" fontId="30" fillId="0" borderId="0" xfId="1" applyNumberFormat="1" applyFill="1" applyAlignment="1">
      <alignment horizontal="centerContinuous"/>
    </xf>
    <xf numFmtId="0" fontId="141" fillId="38" borderId="23" xfId="0" applyFont="1" applyFill="1" applyBorder="1" applyAlignment="1"/>
    <xf numFmtId="0" fontId="141" fillId="38" borderId="23" xfId="0" applyFont="1" applyFill="1" applyBorder="1" applyAlignment="1">
      <alignment horizontal="center" vertical="center"/>
    </xf>
    <xf numFmtId="0" fontId="141" fillId="38" borderId="6" xfId="0" applyFont="1" applyFill="1" applyBorder="1" applyAlignment="1"/>
    <xf numFmtId="0" fontId="0" fillId="0" borderId="107" xfId="0" applyBorder="1" applyAlignment="1">
      <alignment horizontal="center"/>
    </xf>
    <xf numFmtId="37" fontId="34" fillId="0" borderId="99" xfId="0" applyNumberFormat="1" applyFont="1" applyFill="1" applyBorder="1" applyAlignment="1"/>
    <xf numFmtId="3" fontId="140" fillId="0" borderId="100" xfId="0" applyNumberFormat="1" applyFont="1" applyFill="1" applyBorder="1" applyAlignment="1">
      <alignment horizontal="left" indent="1"/>
    </xf>
    <xf numFmtId="37" fontId="0" fillId="39" borderId="108" xfId="0" applyNumberFormat="1" applyFill="1" applyBorder="1"/>
    <xf numFmtId="0" fontId="99" fillId="11" borderId="108" xfId="57" applyFont="1" applyFill="1" applyBorder="1" applyAlignment="1">
      <alignment horizontal="left"/>
    </xf>
    <xf numFmtId="37" fontId="30" fillId="39" borderId="108" xfId="57" quotePrefix="1" applyNumberFormat="1" applyFont="1" applyFill="1" applyBorder="1" applyAlignment="1">
      <alignment horizontal="left"/>
    </xf>
    <xf numFmtId="0" fontId="99" fillId="39" borderId="108" xfId="0" applyFont="1" applyFill="1" applyBorder="1" applyAlignment="1">
      <alignment horizontal="left"/>
    </xf>
    <xf numFmtId="38" fontId="99" fillId="39" borderId="109" xfId="0" applyNumberFormat="1" applyFont="1" applyFill="1" applyBorder="1"/>
    <xf numFmtId="37" fontId="0" fillId="39" borderId="28" xfId="0" applyNumberFormat="1" applyFill="1" applyBorder="1"/>
    <xf numFmtId="0" fontId="99" fillId="11" borderId="28" xfId="57" applyFont="1" applyFill="1" applyBorder="1" applyAlignment="1">
      <alignment horizontal="left"/>
    </xf>
    <xf numFmtId="37" fontId="30" fillId="39" borderId="28" xfId="57" quotePrefix="1" applyNumberFormat="1" applyFont="1" applyFill="1" applyBorder="1" applyAlignment="1">
      <alignment horizontal="left"/>
    </xf>
    <xf numFmtId="0" fontId="99" fillId="39" borderId="28" xfId="0" applyFont="1" applyFill="1" applyBorder="1" applyAlignment="1">
      <alignment horizontal="left"/>
    </xf>
    <xf numFmtId="38" fontId="99" fillId="39" borderId="27" xfId="0" applyNumberFormat="1" applyFont="1" applyFill="1" applyBorder="1"/>
    <xf numFmtId="0" fontId="0" fillId="0" borderId="108" xfId="0" applyBorder="1"/>
    <xf numFmtId="0" fontId="30" fillId="0" borderId="108" xfId="57" applyFont="1" applyFill="1" applyBorder="1"/>
    <xf numFmtId="0" fontId="99" fillId="11" borderId="108" xfId="0" applyFont="1" applyFill="1" applyBorder="1" applyAlignment="1">
      <alignment horizontal="left"/>
    </xf>
    <xf numFmtId="0" fontId="30" fillId="0" borderId="108" xfId="0" applyFont="1" applyFill="1" applyBorder="1"/>
    <xf numFmtId="38" fontId="30" fillId="39" borderId="108" xfId="0" quotePrefix="1" applyNumberFormat="1" applyFont="1" applyFill="1" applyBorder="1"/>
    <xf numFmtId="37" fontId="99" fillId="11" borderId="0" xfId="1" applyNumberFormat="1" applyFont="1" applyFill="1"/>
    <xf numFmtId="37" fontId="99" fillId="11" borderId="4" xfId="1" applyNumberFormat="1" applyFont="1" applyFill="1" applyBorder="1"/>
    <xf numFmtId="37" fontId="30" fillId="0" borderId="0" xfId="1" applyNumberFormat="1" applyFont="1" applyFill="1"/>
    <xf numFmtId="37" fontId="99" fillId="11" borderId="40" xfId="1" applyNumberFormat="1" applyFont="1" applyFill="1" applyBorder="1"/>
    <xf numFmtId="37" fontId="31" fillId="0" borderId="3" xfId="1" applyNumberFormat="1" applyFont="1" applyFill="1" applyBorder="1" applyAlignment="1"/>
    <xf numFmtId="37" fontId="99" fillId="41" borderId="4" xfId="1" applyNumberFormat="1" applyFont="1" applyFill="1" applyBorder="1"/>
    <xf numFmtId="37" fontId="32" fillId="0" borderId="2" xfId="0" applyNumberFormat="1" applyFont="1" applyBorder="1" applyAlignment="1">
      <alignment horizontal="right"/>
    </xf>
    <xf numFmtId="37" fontId="34" fillId="0" borderId="0" xfId="1" applyNumberFormat="1" applyFont="1"/>
    <xf numFmtId="37" fontId="32" fillId="0" borderId="7" xfId="48" applyNumberFormat="1" applyFont="1" applyFill="1" applyBorder="1" applyAlignment="1">
      <alignment horizontal="right"/>
    </xf>
    <xf numFmtId="37" fontId="32" fillId="0" borderId="100" xfId="48" applyNumberFormat="1" applyFont="1" applyBorder="1" applyAlignment="1">
      <alignment horizontal="right"/>
    </xf>
    <xf numFmtId="37" fontId="32" fillId="0" borderId="7" xfId="37" applyNumberFormat="1" applyFont="1" applyFill="1" applyBorder="1" applyAlignment="1"/>
    <xf numFmtId="37" fontId="99" fillId="11" borderId="20" xfId="1" applyNumberFormat="1" applyFont="1" applyFill="1" applyBorder="1"/>
    <xf numFmtId="37" fontId="99" fillId="11" borderId="0" xfId="1" applyNumberFormat="1" applyFont="1" applyFill="1" applyBorder="1"/>
    <xf numFmtId="190" fontId="99" fillId="11" borderId="0" xfId="1" applyNumberFormat="1" applyFont="1" applyFill="1" applyAlignment="1" applyProtection="1">
      <alignment vertical="center"/>
    </xf>
    <xf numFmtId="190" fontId="99" fillId="11" borderId="0" xfId="57" applyNumberFormat="1" applyFont="1" applyFill="1" applyBorder="1" applyAlignment="1" applyProtection="1">
      <alignment vertical="center"/>
    </xf>
    <xf numFmtId="190" fontId="99" fillId="11" borderId="0" xfId="57" applyNumberFormat="1" applyFont="1" applyFill="1" applyBorder="1" applyAlignment="1">
      <alignment vertical="center"/>
    </xf>
    <xf numFmtId="190" fontId="30" fillId="11" borderId="0" xfId="1" applyNumberFormat="1" applyFont="1" applyFill="1" applyAlignment="1">
      <alignment vertical="center"/>
    </xf>
    <xf numFmtId="192" fontId="30" fillId="11" borderId="0" xfId="1" applyNumberFormat="1" applyFont="1" applyFill="1" applyBorder="1" applyAlignment="1">
      <alignment vertical="center"/>
    </xf>
    <xf numFmtId="168" fontId="30" fillId="0" borderId="0" xfId="57" applyNumberFormat="1" applyFont="1"/>
    <xf numFmtId="37" fontId="40" fillId="41" borderId="0" xfId="1" applyNumberFormat="1" applyFont="1" applyFill="1" applyBorder="1" applyAlignment="1"/>
    <xf numFmtId="37" fontId="32" fillId="41" borderId="0" xfId="1" applyNumberFormat="1" applyFont="1" applyFill="1" applyBorder="1" applyAlignment="1"/>
    <xf numFmtId="0" fontId="56" fillId="0" borderId="0" xfId="45" applyFont="1" applyFill="1" applyAlignment="1">
      <alignment horizontal="left"/>
    </xf>
    <xf numFmtId="0" fontId="108" fillId="0" borderId="0" xfId="0" applyFont="1" applyFill="1" applyAlignment="1">
      <alignment horizontal="left" wrapText="1"/>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90" fillId="0" borderId="0" xfId="0" applyFont="1" applyFill="1" applyBorder="1" applyAlignment="1">
      <alignment vertical="center"/>
    </xf>
    <xf numFmtId="172" fontId="34" fillId="0" borderId="0" xfId="0" applyNumberFormat="1" applyFont="1" applyFill="1" applyBorder="1" applyAlignment="1">
      <alignment horizontal="right"/>
    </xf>
    <xf numFmtId="37" fontId="32" fillId="0" borderId="0" xfId="1" applyNumberFormat="1" applyFont="1" applyFill="1" applyBorder="1" applyAlignment="1">
      <alignment horizontal="right"/>
    </xf>
    <xf numFmtId="0" fontId="46" fillId="0" borderId="0" xfId="0" applyFont="1" applyBorder="1"/>
    <xf numFmtId="37" fontId="140" fillId="11" borderId="0" xfId="0" applyNumberFormat="1" applyFont="1" applyFill="1" applyAlignment="1"/>
    <xf numFmtId="37" fontId="140" fillId="11" borderId="4" xfId="0" applyNumberFormat="1" applyFont="1" applyFill="1" applyBorder="1" applyAlignment="1"/>
    <xf numFmtId="37" fontId="154" fillId="11" borderId="2" xfId="0" applyNumberFormat="1" applyFont="1" applyFill="1" applyBorder="1" applyAlignment="1"/>
    <xf numFmtId="37" fontId="154" fillId="11" borderId="0" xfId="0" applyNumberFormat="1" applyFont="1" applyFill="1" applyAlignment="1"/>
    <xf numFmtId="37" fontId="154" fillId="11" borderId="0" xfId="0" applyNumberFormat="1" applyFont="1" applyFill="1" applyBorder="1" applyAlignment="1"/>
    <xf numFmtId="37" fontId="154" fillId="11" borderId="0" xfId="0" applyNumberFormat="1" applyFont="1" applyFill="1"/>
    <xf numFmtId="37" fontId="154" fillId="11" borderId="0" xfId="0" applyNumberFormat="1" applyFont="1" applyFill="1" applyAlignment="1">
      <alignment horizontal="right"/>
    </xf>
    <xf numFmtId="37" fontId="140" fillId="11" borderId="4" xfId="0" applyNumberFormat="1" applyFont="1" applyFill="1" applyBorder="1" applyAlignment="1">
      <alignment horizontal="right"/>
    </xf>
    <xf numFmtId="37" fontId="140" fillId="11" borderId="0" xfId="45" applyNumberFormat="1" applyFont="1" applyFill="1"/>
    <xf numFmtId="37" fontId="140" fillId="11" borderId="0" xfId="45" applyNumberFormat="1" applyFont="1" applyFill="1" applyBorder="1"/>
    <xf numFmtId="37" fontId="154" fillId="11" borderId="40" xfId="45" applyNumberFormat="1" applyFont="1" applyFill="1" applyBorder="1"/>
    <xf numFmtId="10" fontId="140" fillId="0" borderId="0" xfId="13" applyNumberFormat="1" applyFont="1" applyFill="1" applyAlignment="1"/>
    <xf numFmtId="37" fontId="140" fillId="11" borderId="4" xfId="0" applyNumberFormat="1" applyFont="1" applyFill="1" applyBorder="1"/>
    <xf numFmtId="37" fontId="154" fillId="11" borderId="0" xfId="1" applyNumberFormat="1" applyFont="1" applyFill="1" applyAlignment="1"/>
    <xf numFmtId="37" fontId="43" fillId="0" borderId="23" xfId="0" applyNumberFormat="1" applyFont="1" applyBorder="1"/>
    <xf numFmtId="37" fontId="140" fillId="11" borderId="0" xfId="1" applyNumberFormat="1" applyFont="1" applyFill="1" applyAlignment="1"/>
    <xf numFmtId="37" fontId="154" fillId="11" borderId="0" xfId="1" applyNumberFormat="1" applyFont="1" applyFill="1"/>
    <xf numFmtId="10" fontId="140" fillId="11" borderId="0" xfId="13" applyNumberFormat="1" applyFont="1" applyFill="1" applyAlignment="1"/>
    <xf numFmtId="0" fontId="146" fillId="0" borderId="0" xfId="0" applyFont="1" applyAlignment="1">
      <alignment horizontal="left"/>
    </xf>
    <xf numFmtId="0" fontId="62" fillId="0" borderId="0" xfId="57" applyFont="1" applyFill="1" applyAlignment="1">
      <alignment horizontal="centerContinuous"/>
    </xf>
    <xf numFmtId="0" fontId="53" fillId="0" borderId="0" xfId="57" applyFont="1" applyFill="1" applyAlignment="1">
      <alignment horizontal="centerContinuous"/>
    </xf>
    <xf numFmtId="0" fontId="53" fillId="0" borderId="0" xfId="57" applyFont="1" applyAlignment="1">
      <alignment horizontal="centerContinuous"/>
    </xf>
    <xf numFmtId="0" fontId="103" fillId="0" borderId="0" xfId="57" applyFont="1" applyBorder="1" applyAlignment="1">
      <alignment horizontal="centerContinuous"/>
    </xf>
    <xf numFmtId="0" fontId="31" fillId="0" borderId="0" xfId="57" applyFont="1" applyFill="1" applyAlignment="1">
      <alignment horizontal="centerContinuous"/>
    </xf>
    <xf numFmtId="0" fontId="53" fillId="0" borderId="0" xfId="57" applyFont="1" applyFill="1" applyAlignment="1">
      <alignment horizontal="left"/>
    </xf>
    <xf numFmtId="0" fontId="62" fillId="0" borderId="0" xfId="57" applyFont="1" applyFill="1"/>
    <xf numFmtId="0" fontId="34" fillId="0" borderId="0" xfId="57" applyFont="1" applyFill="1"/>
    <xf numFmtId="0" fontId="32" fillId="0" borderId="0" xfId="57" applyFont="1" applyFill="1" applyAlignment="1">
      <alignment horizontal="center"/>
    </xf>
    <xf numFmtId="0" fontId="104" fillId="0" borderId="0" xfId="57" applyFont="1" applyFill="1"/>
    <xf numFmtId="0" fontId="53" fillId="0" borderId="0" xfId="57" applyFont="1" applyFill="1"/>
    <xf numFmtId="0" fontId="62" fillId="0" borderId="0" xfId="57" applyFont="1" applyFill="1" applyAlignment="1">
      <alignment horizontal="center"/>
    </xf>
    <xf numFmtId="0" fontId="145" fillId="0" borderId="0" xfId="57" applyFont="1" applyFill="1" applyAlignment="1">
      <alignment horizontal="center"/>
    </xf>
    <xf numFmtId="0" fontId="30" fillId="0" borderId="0" xfId="57" applyFont="1" applyFill="1" applyAlignment="1">
      <alignment horizontal="left"/>
    </xf>
    <xf numFmtId="37" fontId="30" fillId="0" borderId="0" xfId="57" applyNumberFormat="1" applyFont="1" applyFill="1"/>
    <xf numFmtId="0" fontId="53" fillId="0" borderId="0" xfId="57" applyFont="1" applyFill="1" applyAlignment="1">
      <alignment horizontal="center"/>
    </xf>
    <xf numFmtId="37" fontId="53" fillId="0" borderId="0" xfId="57" applyNumberFormat="1" applyFont="1" applyFill="1"/>
    <xf numFmtId="37" fontId="30" fillId="0" borderId="0" xfId="57" applyNumberFormat="1" applyFont="1"/>
    <xf numFmtId="0" fontId="53" fillId="0" borderId="0" xfId="57" applyFont="1"/>
    <xf numFmtId="37" fontId="53" fillId="0" borderId="0" xfId="57" applyNumberFormat="1" applyFont="1" applyFill="1" applyAlignment="1">
      <alignment horizontal="left"/>
    </xf>
    <xf numFmtId="0" fontId="49" fillId="0" borderId="0" xfId="57" applyFont="1" applyFill="1" applyAlignment="1">
      <alignment horizontal="center"/>
    </xf>
    <xf numFmtId="0" fontId="62" fillId="0" borderId="0" xfId="57" applyFont="1" applyFill="1" applyAlignment="1">
      <alignment horizontal="left"/>
    </xf>
    <xf numFmtId="0" fontId="30" fillId="0" borderId="0" xfId="57" applyFont="1" applyAlignment="1">
      <alignment horizontal="left"/>
    </xf>
    <xf numFmtId="0" fontId="30" fillId="0" borderId="0" xfId="57" applyFill="1" applyBorder="1"/>
    <xf numFmtId="0" fontId="30" fillId="0" borderId="0" xfId="57" applyFill="1"/>
    <xf numFmtId="0" fontId="30" fillId="0" borderId="19" xfId="57" applyFont="1" applyFill="1" applyBorder="1"/>
    <xf numFmtId="0" fontId="30" fillId="0" borderId="0" xfId="57" applyFont="1" applyFill="1" applyBorder="1" applyAlignment="1">
      <alignment horizontal="left"/>
    </xf>
    <xf numFmtId="0" fontId="30" fillId="0" borderId="0" xfId="57" applyFont="1" applyFill="1" applyBorder="1"/>
    <xf numFmtId="37" fontId="30" fillId="0" borderId="0" xfId="57" applyNumberFormat="1" applyFont="1" applyFill="1" applyBorder="1"/>
    <xf numFmtId="0" fontId="30" fillId="0" borderId="0" xfId="57" applyFont="1" applyFill="1" applyBorder="1" applyAlignment="1">
      <alignment horizontal="center"/>
    </xf>
    <xf numFmtId="0" fontId="30" fillId="0" borderId="0" xfId="57" applyFont="1" applyFill="1" applyBorder="1" applyAlignment="1">
      <alignment wrapText="1"/>
    </xf>
    <xf numFmtId="37" fontId="30" fillId="0" borderId="0" xfId="57" applyNumberFormat="1" applyFont="1" applyFill="1" applyBorder="1" applyAlignment="1">
      <alignment wrapText="1"/>
    </xf>
    <xf numFmtId="0" fontId="30" fillId="0" borderId="18" xfId="57" applyFont="1" applyFill="1" applyBorder="1" applyAlignment="1">
      <alignment horizontal="left"/>
    </xf>
    <xf numFmtId="0" fontId="30" fillId="0" borderId="17" xfId="57" applyFont="1" applyFill="1" applyBorder="1" applyAlignment="1">
      <alignment horizontal="center"/>
    </xf>
    <xf numFmtId="0" fontId="105" fillId="0" borderId="0" xfId="57" applyFont="1" applyFill="1" applyBorder="1" applyAlignment="1">
      <alignment wrapText="1"/>
    </xf>
    <xf numFmtId="0" fontId="49" fillId="0" borderId="0" xfId="57" applyFont="1" applyFill="1" applyBorder="1" applyAlignment="1">
      <alignment horizontal="center"/>
    </xf>
    <xf numFmtId="0" fontId="33" fillId="0" borderId="0" xfId="57" applyFont="1" applyFill="1" applyBorder="1"/>
    <xf numFmtId="0" fontId="30" fillId="0" borderId="0" xfId="57" applyFont="1" applyFill="1" applyBorder="1" applyAlignment="1"/>
    <xf numFmtId="0" fontId="31" fillId="0" borderId="0" xfId="57" applyFont="1" applyFill="1" applyBorder="1"/>
    <xf numFmtId="38" fontId="30" fillId="0" borderId="0" xfId="57" applyNumberFormat="1" applyFont="1" applyFill="1" applyBorder="1"/>
    <xf numFmtId="38" fontId="30" fillId="0" borderId="0" xfId="57" applyNumberFormat="1" applyFont="1" applyFill="1" applyBorder="1" applyAlignment="1">
      <alignment horizontal="center"/>
    </xf>
    <xf numFmtId="0" fontId="31" fillId="0" borderId="21" xfId="57" applyFont="1" applyFill="1" applyBorder="1"/>
    <xf numFmtId="0" fontId="31" fillId="0" borderId="4" xfId="57" applyFont="1" applyFill="1" applyBorder="1"/>
    <xf numFmtId="0" fontId="30" fillId="0" borderId="0" xfId="57" applyFill="1" applyBorder="1" applyAlignment="1">
      <alignment horizontal="center"/>
    </xf>
    <xf numFmtId="0" fontId="30" fillId="0" borderId="0" xfId="57" applyFill="1" applyBorder="1" applyAlignment="1"/>
    <xf numFmtId="0" fontId="62" fillId="0" borderId="0" xfId="57" applyFont="1" applyFill="1" applyBorder="1"/>
    <xf numFmtId="41" fontId="31" fillId="0" borderId="0" xfId="57" applyNumberFormat="1" applyFont="1" applyFill="1" applyBorder="1" applyAlignment="1">
      <alignment horizontal="center"/>
    </xf>
    <xf numFmtId="0" fontId="62" fillId="0" borderId="0" xfId="57" applyFont="1" applyAlignment="1">
      <alignment horizontal="centerContinuous"/>
    </xf>
    <xf numFmtId="0" fontId="46" fillId="0" borderId="0" xfId="57" applyFont="1" applyAlignment="1">
      <alignment horizontal="centerContinuous"/>
    </xf>
    <xf numFmtId="0" fontId="62" fillId="0" borderId="0" xfId="57" applyFont="1" applyBorder="1" applyAlignment="1">
      <alignment horizontal="centerContinuous"/>
    </xf>
    <xf numFmtId="0" fontId="49" fillId="0" borderId="0" xfId="57" applyFont="1" applyBorder="1" applyAlignment="1">
      <alignment horizontal="centerContinuous"/>
    </xf>
    <xf numFmtId="0" fontId="103" fillId="0" borderId="0" xfId="57" applyFont="1" applyFill="1" applyAlignment="1">
      <alignment horizontal="centerContinuous"/>
    </xf>
    <xf numFmtId="0" fontId="34" fillId="0" borderId="0" xfId="57" applyFont="1" applyFill="1" applyAlignment="1">
      <alignment horizontal="center"/>
    </xf>
    <xf numFmtId="37" fontId="30" fillId="0" borderId="0" xfId="57" applyNumberFormat="1" applyFont="1" applyFill="1" applyAlignment="1"/>
    <xf numFmtId="37" fontId="30" fillId="0" borderId="0" xfId="57" applyNumberFormat="1" applyFont="1" applyAlignment="1"/>
    <xf numFmtId="37" fontId="31" fillId="0" borderId="108" xfId="1" applyNumberFormat="1" applyFont="1" applyFill="1" applyBorder="1" applyAlignment="1"/>
    <xf numFmtId="0" fontId="103" fillId="0" borderId="0" xfId="57" applyFont="1" applyFill="1" applyAlignment="1">
      <alignment horizontal="center"/>
    </xf>
    <xf numFmtId="0" fontId="157" fillId="0" borderId="0" xfId="57" applyFont="1" applyFill="1" applyAlignment="1">
      <alignment horizontal="center" wrapText="1"/>
    </xf>
    <xf numFmtId="0" fontId="99" fillId="0" borderId="0" xfId="57" applyFont="1" applyFill="1"/>
    <xf numFmtId="0" fontId="62" fillId="0" borderId="0" xfId="57" applyFont="1" applyFill="1" applyAlignment="1">
      <alignment horizontal="center" wrapText="1"/>
    </xf>
    <xf numFmtId="0" fontId="53" fillId="0" borderId="0" xfId="57" applyFont="1" applyAlignment="1">
      <alignment horizontal="left"/>
    </xf>
    <xf numFmtId="0" fontId="100" fillId="0" borderId="0" xfId="57" applyFont="1" applyFill="1"/>
    <xf numFmtId="0" fontId="31" fillId="0" borderId="22" xfId="57" applyFont="1" applyFill="1" applyBorder="1" applyAlignment="1"/>
    <xf numFmtId="0" fontId="31" fillId="0" borderId="19" xfId="57" applyFont="1" applyFill="1" applyBorder="1" applyAlignment="1"/>
    <xf numFmtId="0" fontId="30" fillId="0" borderId="4" xfId="57" applyFont="1" applyFill="1" applyBorder="1" applyAlignment="1"/>
    <xf numFmtId="0" fontId="30" fillId="0" borderId="19" xfId="57" applyFont="1" applyFill="1" applyBorder="1" applyAlignment="1"/>
    <xf numFmtId="0" fontId="31" fillId="0" borderId="20" xfId="57" applyFont="1" applyFill="1" applyBorder="1" applyAlignment="1"/>
    <xf numFmtId="0" fontId="31" fillId="0" borderId="17" xfId="57" applyFont="1" applyFill="1" applyBorder="1" applyAlignment="1"/>
    <xf numFmtId="0" fontId="30" fillId="0" borderId="17" xfId="57" applyFont="1" applyFill="1" applyBorder="1" applyAlignment="1"/>
    <xf numFmtId="0" fontId="53" fillId="0" borderId="0" xfId="57" applyFont="1" applyFill="1" applyBorder="1" applyAlignment="1">
      <alignment horizontal="left" wrapText="1"/>
    </xf>
    <xf numFmtId="0" fontId="62" fillId="0" borderId="0" xfId="57" applyFont="1" applyFill="1" applyBorder="1" applyAlignment="1">
      <alignment wrapText="1"/>
    </xf>
    <xf numFmtId="37" fontId="30" fillId="0" borderId="0" xfId="57" applyNumberFormat="1" applyFont="1" applyFill="1" applyBorder="1" applyAlignment="1">
      <alignment horizontal="center" wrapText="1"/>
    </xf>
    <xf numFmtId="0" fontId="30" fillId="0" borderId="0" xfId="57" applyFont="1" applyFill="1" applyBorder="1" applyAlignment="1">
      <alignment horizontal="center" wrapText="1"/>
    </xf>
    <xf numFmtId="0" fontId="53" fillId="0" borderId="0" xfId="57" applyFont="1" applyFill="1" applyBorder="1" applyAlignment="1">
      <alignment wrapText="1"/>
    </xf>
    <xf numFmtId="37" fontId="53" fillId="0" borderId="0" xfId="57" applyNumberFormat="1" applyFont="1" applyFill="1" applyBorder="1" applyAlignment="1">
      <alignment wrapText="1"/>
    </xf>
    <xf numFmtId="0" fontId="30" fillId="0" borderId="17" xfId="57" applyFont="1" applyFill="1" applyBorder="1" applyAlignment="1">
      <alignment horizontal="center" wrapText="1"/>
    </xf>
    <xf numFmtId="0" fontId="103" fillId="0" borderId="0" xfId="57" applyFont="1" applyFill="1" applyBorder="1" applyAlignment="1">
      <alignment horizontal="center" wrapText="1"/>
    </xf>
    <xf numFmtId="0" fontId="49" fillId="0" borderId="0" xfId="57" applyFont="1" applyFill="1" applyBorder="1" applyAlignment="1">
      <alignment horizontal="center" wrapText="1"/>
    </xf>
    <xf numFmtId="0" fontId="31" fillId="0" borderId="0" xfId="57" applyFont="1" applyFill="1" applyBorder="1" applyAlignment="1">
      <alignment horizontal="left"/>
    </xf>
    <xf numFmtId="0" fontId="31" fillId="0" borderId="0" xfId="57" applyFont="1" applyFill="1" applyBorder="1" applyAlignment="1">
      <alignment horizontal="center" wrapText="1"/>
    </xf>
    <xf numFmtId="0" fontId="41" fillId="0" borderId="0" xfId="57" applyFont="1" applyFill="1" applyBorder="1" applyAlignment="1"/>
    <xf numFmtId="0" fontId="33" fillId="0" borderId="0" xfId="57" applyFont="1" applyFill="1" applyBorder="1" applyAlignment="1">
      <alignment wrapText="1"/>
    </xf>
    <xf numFmtId="0" fontId="100" fillId="0" borderId="0" xfId="57" applyFont="1" applyFill="1" applyBorder="1" applyAlignment="1">
      <alignment wrapText="1"/>
    </xf>
    <xf numFmtId="0" fontId="48" fillId="0" borderId="0" xfId="57" applyFont="1" applyFill="1" applyBorder="1" applyAlignment="1">
      <alignment horizontal="left"/>
    </xf>
    <xf numFmtId="0" fontId="48" fillId="0" borderId="0" xfId="57" applyFont="1" applyFill="1" applyBorder="1" applyAlignment="1">
      <alignment horizontal="center" wrapText="1"/>
    </xf>
    <xf numFmtId="0" fontId="48" fillId="0" borderId="0" xfId="57" applyFont="1" applyFill="1" applyBorder="1" applyAlignment="1">
      <alignment horizontal="center"/>
    </xf>
    <xf numFmtId="0" fontId="100" fillId="0" borderId="0" xfId="57" applyFont="1" applyFill="1" applyBorder="1" applyAlignment="1">
      <alignment horizontal="left"/>
    </xf>
    <xf numFmtId="0" fontId="100" fillId="0" borderId="0" xfId="57" applyFont="1" applyFill="1" applyAlignment="1">
      <alignment wrapText="1"/>
    </xf>
    <xf numFmtId="0" fontId="31" fillId="0" borderId="0" xfId="57" applyFont="1" applyFill="1" applyAlignment="1">
      <alignment horizontal="center" wrapText="1"/>
    </xf>
    <xf numFmtId="0" fontId="31" fillId="0" borderId="0" xfId="57" applyFont="1" applyFill="1" applyBorder="1" applyAlignment="1">
      <alignment wrapText="1"/>
    </xf>
    <xf numFmtId="0" fontId="62" fillId="0" borderId="0" xfId="57" applyFont="1" applyFill="1" applyBorder="1" applyAlignment="1"/>
    <xf numFmtId="0" fontId="41" fillId="0" borderId="0" xfId="57" applyFont="1" applyFill="1" applyBorder="1" applyAlignment="1">
      <alignment horizontal="left" wrapText="1"/>
    </xf>
    <xf numFmtId="0" fontId="103" fillId="0" borderId="0" xfId="57" applyFont="1" applyFill="1" applyBorder="1" applyAlignment="1">
      <alignment horizontal="left"/>
    </xf>
    <xf numFmtId="0" fontId="53" fillId="0" borderId="0" xfId="57" applyFont="1" applyFill="1" applyBorder="1" applyAlignment="1">
      <alignment horizontal="left"/>
    </xf>
    <xf numFmtId="0" fontId="53" fillId="0" borderId="0" xfId="57" applyFont="1" applyFill="1" applyBorder="1"/>
    <xf numFmtId="0" fontId="98" fillId="0" borderId="0" xfId="57" applyFont="1" applyFill="1" applyBorder="1" applyAlignment="1">
      <alignment horizontal="left"/>
    </xf>
    <xf numFmtId="0" fontId="62" fillId="0" borderId="0" xfId="57" applyFont="1" applyFill="1" applyBorder="1" applyAlignment="1">
      <alignment horizontal="center"/>
    </xf>
    <xf numFmtId="0" fontId="53" fillId="0" borderId="0" xfId="57" applyFont="1" applyFill="1" applyBorder="1" applyAlignment="1"/>
    <xf numFmtId="0" fontId="46" fillId="0" borderId="0" xfId="57" applyFont="1" applyFill="1" applyBorder="1" applyAlignment="1"/>
    <xf numFmtId="0" fontId="62" fillId="0" borderId="0" xfId="57" applyFont="1" applyFill="1" applyBorder="1" applyAlignment="1">
      <alignment horizontal="left"/>
    </xf>
    <xf numFmtId="0" fontId="104" fillId="0" borderId="0" xfId="57" applyFont="1" applyFill="1" applyBorder="1" applyAlignment="1">
      <alignment horizontal="center"/>
    </xf>
    <xf numFmtId="0" fontId="53" fillId="0" borderId="0" xfId="57" applyFont="1" applyFill="1" applyBorder="1" applyAlignment="1">
      <alignment horizontal="center"/>
    </xf>
    <xf numFmtId="0" fontId="103" fillId="0" borderId="0" xfId="57" applyFont="1" applyFill="1" applyBorder="1" applyAlignment="1">
      <alignment horizontal="center"/>
    </xf>
    <xf numFmtId="0" fontId="30" fillId="0" borderId="0" xfId="57" applyFont="1" applyAlignment="1">
      <alignment vertical="top"/>
    </xf>
    <xf numFmtId="0" fontId="30" fillId="0" borderId="0" xfId="57" applyAlignment="1">
      <alignment vertical="top"/>
    </xf>
    <xf numFmtId="0" fontId="30" fillId="0" borderId="4" xfId="57" applyFont="1" applyFill="1" applyBorder="1"/>
    <xf numFmtId="0" fontId="30" fillId="0" borderId="18" xfId="57" applyFont="1" applyFill="1" applyBorder="1" applyAlignment="1">
      <alignment vertical="top" wrapText="1"/>
    </xf>
    <xf numFmtId="0" fontId="30" fillId="0" borderId="0" xfId="57" applyFont="1" applyFill="1" applyBorder="1" applyAlignment="1">
      <alignment vertical="top" wrapText="1"/>
    </xf>
    <xf numFmtId="41" fontId="62" fillId="0" borderId="0" xfId="57" applyNumberFormat="1" applyFont="1" applyFill="1" applyBorder="1" applyAlignment="1">
      <alignment horizontal="center"/>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108" fillId="0" borderId="0" xfId="0" applyFont="1" applyFill="1" applyAlignment="1">
      <alignment horizontal="left" wrapText="1"/>
    </xf>
    <xf numFmtId="0" fontId="43" fillId="0" borderId="0" xfId="57" applyFont="1" applyAlignment="1">
      <alignment horizontal="centerContinuous"/>
    </xf>
    <xf numFmtId="0" fontId="30" fillId="0" borderId="0" xfId="57" applyFont="1" applyAlignment="1"/>
    <xf numFmtId="0" fontId="164" fillId="0" borderId="0" xfId="57" applyFont="1" applyAlignment="1">
      <alignment horizontal="centerContinuous"/>
    </xf>
    <xf numFmtId="0" fontId="30" fillId="0" borderId="0" xfId="57" applyFont="1" applyAlignment="1">
      <alignment horizontal="right"/>
    </xf>
    <xf numFmtId="0" fontId="31" fillId="0" borderId="4" xfId="57" applyFont="1" applyBorder="1"/>
    <xf numFmtId="0" fontId="30" fillId="0" borderId="4" xfId="57" applyFont="1" applyBorder="1"/>
    <xf numFmtId="0" fontId="41" fillId="0" borderId="0" xfId="57" applyFont="1" applyFill="1" applyAlignment="1">
      <alignment horizontal="center"/>
    </xf>
    <xf numFmtId="0" fontId="31" fillId="0" borderId="4" xfId="57" applyFont="1" applyFill="1" applyBorder="1" applyAlignment="1">
      <alignment horizontal="right"/>
    </xf>
    <xf numFmtId="0" fontId="30" fillId="0" borderId="4" xfId="57" applyFont="1" applyBorder="1" applyAlignment="1">
      <alignment horizontal="center" wrapText="1"/>
    </xf>
    <xf numFmtId="0" fontId="30" fillId="11" borderId="0" xfId="57" applyFont="1" applyFill="1" applyAlignment="1">
      <alignment horizontal="left" indent="1"/>
    </xf>
    <xf numFmtId="37" fontId="30" fillId="11" borderId="0" xfId="57" applyNumberFormat="1" applyFont="1" applyFill="1" applyAlignment="1">
      <alignment horizontal="right" wrapText="1"/>
    </xf>
    <xf numFmtId="168" fontId="30" fillId="0" borderId="0" xfId="13" applyNumberFormat="1" applyFont="1" applyFill="1" applyAlignment="1">
      <alignment horizontal="center" wrapText="1"/>
    </xf>
    <xf numFmtId="0" fontId="94" fillId="0" borderId="0" xfId="57" applyFont="1" applyFill="1" applyAlignment="1">
      <alignment horizontal="left" wrapText="1"/>
    </xf>
    <xf numFmtId="37" fontId="30" fillId="11" borderId="0" xfId="57" applyNumberFormat="1" applyFont="1" applyFill="1" applyAlignment="1">
      <alignment horizontal="left" wrapText="1"/>
    </xf>
    <xf numFmtId="0" fontId="31" fillId="0" borderId="40" xfId="57" applyFont="1" applyBorder="1"/>
    <xf numFmtId="0" fontId="30" fillId="0" borderId="40" xfId="57" applyFont="1" applyBorder="1"/>
    <xf numFmtId="37" fontId="30" fillId="0" borderId="40" xfId="57" applyNumberFormat="1" applyFont="1" applyBorder="1" applyAlignment="1">
      <alignment horizontal="right" wrapText="1"/>
    </xf>
    <xf numFmtId="37" fontId="30" fillId="0" borderId="0" xfId="57" applyNumberFormat="1" applyFont="1" applyAlignment="1">
      <alignment horizontal="right" wrapText="1"/>
    </xf>
    <xf numFmtId="0" fontId="30" fillId="0" borderId="0" xfId="57" applyFont="1" applyAlignment="1">
      <alignment horizontal="right" wrapText="1"/>
    </xf>
    <xf numFmtId="0" fontId="30" fillId="0" borderId="0" xfId="57" applyFont="1" applyAlignment="1">
      <alignment horizontal="left" wrapText="1"/>
    </xf>
    <xf numFmtId="0" fontId="30" fillId="0" borderId="4" xfId="57" applyFont="1" applyBorder="1" applyAlignment="1">
      <alignment horizontal="right" wrapText="1"/>
    </xf>
    <xf numFmtId="0" fontId="30" fillId="0" borderId="4" xfId="57" applyNumberFormat="1" applyFont="1" applyFill="1" applyBorder="1" applyAlignment="1">
      <alignment horizontal="center" wrapText="1"/>
    </xf>
    <xf numFmtId="0" fontId="30" fillId="0" borderId="4" xfId="57" applyFont="1" applyBorder="1" applyAlignment="1">
      <alignment horizontal="left" wrapText="1"/>
    </xf>
    <xf numFmtId="37" fontId="99" fillId="11" borderId="0" xfId="57" applyNumberFormat="1" applyFont="1" applyFill="1" applyAlignment="1">
      <alignment horizontal="right" wrapText="1"/>
    </xf>
    <xf numFmtId="0" fontId="30" fillId="0" borderId="0" xfId="57" applyFont="1" applyAlignment="1">
      <alignment horizontal="left" vertical="center" wrapText="1"/>
    </xf>
    <xf numFmtId="0" fontId="94" fillId="0" borderId="0" xfId="57" applyFont="1" applyAlignment="1">
      <alignment horizontal="left" wrapText="1"/>
    </xf>
    <xf numFmtId="0" fontId="30" fillId="0" borderId="4" xfId="57" applyFont="1" applyBorder="1" applyAlignment="1">
      <alignment horizontal="right"/>
    </xf>
    <xf numFmtId="0" fontId="94" fillId="0" borderId="0" xfId="57" applyFont="1" applyAlignment="1">
      <alignment horizontal="left" vertical="center" wrapText="1"/>
    </xf>
    <xf numFmtId="37" fontId="30" fillId="11" borderId="0" xfId="57" applyNumberFormat="1" applyFont="1" applyFill="1" applyBorder="1" applyAlignment="1">
      <alignment horizontal="right"/>
    </xf>
    <xf numFmtId="0" fontId="30" fillId="0" borderId="0" xfId="57" applyFont="1" applyBorder="1"/>
    <xf numFmtId="37" fontId="30" fillId="0" borderId="40" xfId="57" applyNumberFormat="1" applyFont="1" applyFill="1" applyBorder="1" applyAlignment="1">
      <alignment horizontal="right" wrapText="1"/>
    </xf>
    <xf numFmtId="37" fontId="31" fillId="0" borderId="3" xfId="57" applyNumberFormat="1" applyFont="1" applyBorder="1" applyAlignment="1">
      <alignment horizontal="right" wrapText="1"/>
    </xf>
    <xf numFmtId="0" fontId="30" fillId="0" borderId="0" xfId="57" applyNumberFormat="1" applyFont="1" applyFill="1" applyBorder="1" applyAlignment="1">
      <alignment horizontal="left"/>
    </xf>
    <xf numFmtId="37" fontId="30" fillId="0" borderId="0" xfId="57" applyNumberFormat="1" applyFont="1" applyFill="1" applyAlignment="1">
      <alignment horizontal="right" wrapText="1"/>
    </xf>
    <xf numFmtId="0" fontId="30" fillId="0" borderId="0" xfId="57" applyNumberFormat="1" applyFont="1" applyAlignment="1">
      <alignment horizontal="left"/>
    </xf>
    <xf numFmtId="41" fontId="30" fillId="0" borderId="0" xfId="437" applyFont="1" applyFill="1"/>
    <xf numFmtId="0" fontId="90" fillId="0" borderId="0" xfId="57" applyFont="1" applyFill="1"/>
    <xf numFmtId="0" fontId="90" fillId="0" borderId="0" xfId="57" applyFont="1" applyAlignment="1">
      <alignment horizontal="left"/>
    </xf>
    <xf numFmtId="164" fontId="33" fillId="0" borderId="0" xfId="1" applyNumberFormat="1" applyFont="1" applyFill="1"/>
    <xf numFmtId="0" fontId="30" fillId="11" borderId="0" xfId="57" applyFont="1" applyFill="1" applyAlignment="1">
      <alignment horizontal="left" wrapText="1"/>
    </xf>
    <xf numFmtId="164" fontId="30" fillId="11" borderId="0" xfId="1" applyNumberFormat="1" applyFont="1" applyFill="1" applyAlignment="1">
      <alignment horizontal="left"/>
    </xf>
    <xf numFmtId="0" fontId="31" fillId="0" borderId="40" xfId="57" applyFont="1" applyFill="1" applyBorder="1"/>
    <xf numFmtId="164" fontId="30" fillId="0" borderId="0" xfId="57" applyNumberFormat="1" applyFont="1"/>
    <xf numFmtId="37" fontId="30" fillId="0" borderId="0" xfId="57" applyNumberFormat="1" applyFont="1" applyFill="1" applyAlignment="1">
      <alignment horizontal="right"/>
    </xf>
    <xf numFmtId="0" fontId="31" fillId="0" borderId="0" xfId="57" applyFont="1" applyFill="1"/>
    <xf numFmtId="37" fontId="30" fillId="0" borderId="110" xfId="57" applyNumberFormat="1" applyFont="1" applyFill="1" applyBorder="1" applyAlignment="1">
      <alignment horizontal="right" wrapText="1"/>
    </xf>
    <xf numFmtId="0" fontId="30" fillId="0" borderId="0" xfId="57" applyFont="1" applyFill="1" applyAlignment="1">
      <alignment horizontal="right"/>
    </xf>
    <xf numFmtId="41" fontId="30" fillId="0" borderId="0" xfId="57" applyNumberFormat="1" applyFont="1" applyFill="1" applyBorder="1" applyAlignment="1">
      <alignment horizontal="right"/>
    </xf>
    <xf numFmtId="37" fontId="30" fillId="11" borderId="0" xfId="57" applyNumberFormat="1" applyFont="1" applyFill="1"/>
    <xf numFmtId="37" fontId="99" fillId="41" borderId="110" xfId="57" applyNumberFormat="1" applyFont="1" applyFill="1" applyBorder="1" applyAlignment="1">
      <alignment horizontal="right" wrapText="1"/>
    </xf>
    <xf numFmtId="41" fontId="30" fillId="0" borderId="0" xfId="57" applyNumberFormat="1" applyFont="1" applyFill="1" applyAlignment="1">
      <alignment horizontal="right"/>
    </xf>
    <xf numFmtId="37" fontId="30" fillId="0" borderId="0" xfId="1" applyNumberFormat="1" applyFont="1" applyFill="1" applyBorder="1" applyAlignment="1">
      <alignment horizontal="right"/>
    </xf>
    <xf numFmtId="173" fontId="30" fillId="0" borderId="0" xfId="13" applyNumberFormat="1" applyFont="1" applyFill="1" applyBorder="1" applyAlignment="1">
      <alignment horizontal="right"/>
    </xf>
    <xf numFmtId="164" fontId="30" fillId="0" borderId="0" xfId="1" applyNumberFormat="1" applyFont="1" applyFill="1" applyAlignment="1">
      <alignment horizontal="right"/>
    </xf>
    <xf numFmtId="0" fontId="33" fillId="0" borderId="0" xfId="57" applyFont="1" applyFill="1"/>
    <xf numFmtId="0" fontId="31" fillId="0" borderId="6" xfId="57" applyFont="1" applyFill="1" applyBorder="1"/>
    <xf numFmtId="0" fontId="30" fillId="0" borderId="5" xfId="57" applyFont="1" applyFill="1" applyBorder="1"/>
    <xf numFmtId="0" fontId="30" fillId="0" borderId="5" xfId="57" applyFont="1" applyFill="1" applyBorder="1" applyAlignment="1">
      <alignment horizontal="right"/>
    </xf>
    <xf numFmtId="0" fontId="41" fillId="0" borderId="5" xfId="57" applyFont="1" applyFill="1" applyBorder="1"/>
    <xf numFmtId="0" fontId="30" fillId="0" borderId="33" xfId="57" applyFont="1" applyBorder="1"/>
    <xf numFmtId="0" fontId="60" fillId="0" borderId="8" xfId="57" applyFont="1" applyBorder="1"/>
    <xf numFmtId="0" fontId="30" fillId="0" borderId="0" xfId="57" applyFont="1" applyBorder="1" applyAlignment="1">
      <alignment horizontal="right"/>
    </xf>
    <xf numFmtId="0" fontId="30" fillId="0" borderId="7" xfId="57" applyFont="1" applyBorder="1"/>
    <xf numFmtId="0" fontId="30" fillId="0" borderId="8" xfId="57" applyFont="1" applyBorder="1"/>
    <xf numFmtId="0" fontId="30" fillId="0" borderId="0" xfId="57" applyFont="1" applyBorder="1" applyAlignment="1">
      <alignment horizontal="left"/>
    </xf>
    <xf numFmtId="0" fontId="30" fillId="0" borderId="8" xfId="57" applyFont="1" applyFill="1" applyBorder="1"/>
    <xf numFmtId="0" fontId="99" fillId="11" borderId="0" xfId="57" applyFont="1" applyFill="1" applyBorder="1" applyAlignment="1">
      <alignment horizontal="center"/>
    </xf>
    <xf numFmtId="0" fontId="30" fillId="11" borderId="0" xfId="57" applyFont="1" applyFill="1" applyBorder="1" applyAlignment="1">
      <alignment horizontal="center"/>
    </xf>
    <xf numFmtId="164" fontId="30" fillId="0" borderId="0" xfId="1" applyNumberFormat="1" applyFont="1"/>
    <xf numFmtId="0" fontId="30" fillId="0" borderId="0" xfId="57" quotePrefix="1" applyFont="1" applyBorder="1"/>
    <xf numFmtId="0" fontId="78" fillId="0" borderId="0" xfId="57" applyFont="1"/>
    <xf numFmtId="0" fontId="30" fillId="0" borderId="7" xfId="57" applyFont="1" applyFill="1" applyBorder="1"/>
    <xf numFmtId="0" fontId="30" fillId="0" borderId="8" xfId="57" applyFont="1" applyBorder="1" applyAlignment="1">
      <alignment vertical="top"/>
    </xf>
    <xf numFmtId="0" fontId="31" fillId="0" borderId="0" xfId="57" applyFont="1" applyFill="1" applyBorder="1" applyAlignment="1">
      <alignment horizontal="left" vertical="top"/>
    </xf>
    <xf numFmtId="0" fontId="30" fillId="0" borderId="0" xfId="57" applyFont="1" applyBorder="1" applyAlignment="1">
      <alignment vertical="top"/>
    </xf>
    <xf numFmtId="0" fontId="90" fillId="0" borderId="0" xfId="57" applyFont="1" applyBorder="1" applyAlignment="1">
      <alignment horizontal="left" vertical="top"/>
    </xf>
    <xf numFmtId="0" fontId="30" fillId="0" borderId="7" xfId="57" applyFont="1" applyFill="1" applyBorder="1" applyAlignment="1">
      <alignment vertical="top"/>
    </xf>
    <xf numFmtId="0" fontId="30" fillId="0" borderId="0" xfId="57" applyFont="1" applyFill="1" applyAlignment="1">
      <alignment vertical="top"/>
    </xf>
    <xf numFmtId="0" fontId="99" fillId="11" borderId="108" xfId="57" applyFont="1" applyFill="1" applyBorder="1" applyAlignment="1">
      <alignment horizontal="left" vertical="top"/>
    </xf>
    <xf numFmtId="0" fontId="99" fillId="11" borderId="108" xfId="57" applyFont="1" applyFill="1" applyBorder="1" applyAlignment="1">
      <alignment horizontal="center" vertical="top" wrapText="1"/>
    </xf>
    <xf numFmtId="164" fontId="99" fillId="11" borderId="108" xfId="1" applyNumberFormat="1" applyFont="1" applyFill="1" applyBorder="1" applyAlignment="1">
      <alignment horizontal="center" vertical="top"/>
    </xf>
    <xf numFmtId="0" fontId="99" fillId="11" borderId="108" xfId="57" applyFont="1" applyFill="1" applyBorder="1" applyAlignment="1">
      <alignment horizontal="center" vertical="top"/>
    </xf>
    <xf numFmtId="164" fontId="30" fillId="11" borderId="108" xfId="1" applyNumberFormat="1" applyFont="1" applyFill="1" applyBorder="1" applyAlignment="1">
      <alignment vertical="top"/>
    </xf>
    <xf numFmtId="164" fontId="99" fillId="11" borderId="108" xfId="1" applyNumberFormat="1" applyFont="1" applyFill="1" applyBorder="1" applyAlignment="1">
      <alignment vertical="top"/>
    </xf>
    <xf numFmtId="0" fontId="99" fillId="11" borderId="108" xfId="57" applyFont="1" applyFill="1" applyBorder="1" applyAlignment="1">
      <alignment vertical="top" wrapText="1"/>
    </xf>
    <xf numFmtId="0" fontId="99" fillId="11" borderId="123" xfId="57" applyFont="1" applyFill="1" applyBorder="1" applyAlignment="1">
      <alignment horizontal="left" vertical="top" indent="2"/>
    </xf>
    <xf numFmtId="0" fontId="99" fillId="11" borderId="123" xfId="57" applyFont="1" applyFill="1" applyBorder="1" applyAlignment="1">
      <alignment horizontal="center" vertical="top" wrapText="1"/>
    </xf>
    <xf numFmtId="0" fontId="99" fillId="11" borderId="123" xfId="57" applyFont="1" applyFill="1" applyBorder="1" applyAlignment="1">
      <alignment horizontal="center" vertical="top"/>
    </xf>
    <xf numFmtId="164" fontId="99" fillId="11" borderId="123" xfId="1" applyNumberFormat="1" applyFont="1" applyFill="1" applyBorder="1" applyAlignment="1">
      <alignment vertical="top"/>
    </xf>
    <xf numFmtId="0" fontId="99" fillId="11" borderId="123" xfId="57" applyFont="1" applyFill="1" applyBorder="1" applyAlignment="1">
      <alignment vertical="top" wrapText="1"/>
    </xf>
    <xf numFmtId="0" fontId="99" fillId="11" borderId="20" xfId="57" applyFont="1" applyFill="1" applyBorder="1" applyAlignment="1">
      <alignment horizontal="left" vertical="top" indent="2"/>
    </xf>
    <xf numFmtId="0" fontId="99" fillId="11" borderId="20" xfId="57" applyFont="1" applyFill="1" applyBorder="1" applyAlignment="1">
      <alignment horizontal="center" vertical="top" wrapText="1"/>
    </xf>
    <xf numFmtId="0" fontId="99" fillId="11" borderId="20" xfId="1" applyNumberFormat="1" applyFont="1" applyFill="1" applyBorder="1" applyAlignment="1">
      <alignment horizontal="center" vertical="top"/>
    </xf>
    <xf numFmtId="0" fontId="99" fillId="11" borderId="20" xfId="57" applyFont="1" applyFill="1" applyBorder="1" applyAlignment="1">
      <alignment horizontal="center" vertical="top"/>
    </xf>
    <xf numFmtId="164" fontId="99" fillId="11" borderId="20" xfId="1" applyNumberFormat="1" applyFont="1" applyFill="1" applyBorder="1" applyAlignment="1">
      <alignment vertical="top"/>
    </xf>
    <xf numFmtId="0" fontId="99" fillId="11" borderId="20" xfId="57" applyFont="1" applyFill="1" applyBorder="1" applyAlignment="1">
      <alignment vertical="top" wrapText="1"/>
    </xf>
    <xf numFmtId="0" fontId="99" fillId="11" borderId="22" xfId="57" applyFont="1" applyFill="1" applyBorder="1" applyAlignment="1">
      <alignment horizontal="left" vertical="top" indent="2"/>
    </xf>
    <xf numFmtId="0" fontId="99" fillId="11" borderId="22" xfId="57" applyFont="1" applyFill="1" applyBorder="1" applyAlignment="1">
      <alignment horizontal="center" vertical="top" wrapText="1"/>
    </xf>
    <xf numFmtId="0" fontId="99" fillId="11" borderId="22" xfId="1" applyNumberFormat="1" applyFont="1" applyFill="1" applyBorder="1" applyAlignment="1">
      <alignment horizontal="center" vertical="top"/>
    </xf>
    <xf numFmtId="0" fontId="99" fillId="11" borderId="22" xfId="57" applyFont="1" applyFill="1" applyBorder="1" applyAlignment="1">
      <alignment horizontal="center" vertical="top"/>
    </xf>
    <xf numFmtId="164" fontId="99" fillId="11" borderId="22" xfId="1" applyNumberFormat="1" applyFont="1" applyFill="1" applyBorder="1" applyAlignment="1">
      <alignment vertical="top"/>
    </xf>
    <xf numFmtId="0" fontId="99" fillId="11" borderId="22" xfId="57" applyFont="1" applyFill="1" applyBorder="1" applyAlignment="1">
      <alignment vertical="top" wrapText="1"/>
    </xf>
    <xf numFmtId="0" fontId="99" fillId="11" borderId="124" xfId="57" applyFont="1" applyFill="1" applyBorder="1" applyAlignment="1">
      <alignment horizontal="left" vertical="top"/>
    </xf>
    <xf numFmtId="0" fontId="99" fillId="11" borderId="124" xfId="57" applyFont="1" applyFill="1" applyBorder="1" applyAlignment="1">
      <alignment horizontal="center" vertical="top" wrapText="1"/>
    </xf>
    <xf numFmtId="0" fontId="99" fillId="11" borderId="124" xfId="1" applyNumberFormat="1" applyFont="1" applyFill="1" applyBorder="1" applyAlignment="1">
      <alignment horizontal="center" vertical="top"/>
    </xf>
    <xf numFmtId="0" fontId="99" fillId="11" borderId="124" xfId="57" applyFont="1" applyFill="1" applyBorder="1" applyAlignment="1">
      <alignment horizontal="center" vertical="top"/>
    </xf>
    <xf numFmtId="164" fontId="99" fillId="11" borderId="124" xfId="1" applyNumberFormat="1" applyFont="1" applyFill="1" applyBorder="1" applyAlignment="1">
      <alignment vertical="top"/>
    </xf>
    <xf numFmtId="0" fontId="99" fillId="11" borderId="124" xfId="57" applyFont="1" applyFill="1" applyBorder="1" applyAlignment="1">
      <alignment vertical="top" wrapText="1"/>
    </xf>
    <xf numFmtId="0" fontId="99" fillId="11" borderId="22" xfId="57" applyFont="1" applyFill="1" applyBorder="1" applyAlignment="1">
      <alignment horizontal="left" indent="2"/>
    </xf>
    <xf numFmtId="0" fontId="99" fillId="11" borderId="22" xfId="57" applyFont="1" applyFill="1" applyBorder="1" applyAlignment="1">
      <alignment horizontal="center"/>
    </xf>
    <xf numFmtId="0" fontId="99" fillId="11" borderId="22" xfId="57" applyNumberFormat="1" applyFont="1" applyFill="1" applyBorder="1" applyAlignment="1">
      <alignment horizontal="center"/>
    </xf>
    <xf numFmtId="0" fontId="99" fillId="11" borderId="22" xfId="57" applyFont="1" applyFill="1" applyBorder="1"/>
    <xf numFmtId="3" fontId="99" fillId="11" borderId="22" xfId="57" applyNumberFormat="1" applyFont="1" applyFill="1" applyBorder="1" applyAlignment="1">
      <alignment horizontal="right"/>
    </xf>
    <xf numFmtId="0" fontId="99" fillId="11" borderId="124" xfId="57" applyFont="1" applyFill="1" applyBorder="1"/>
    <xf numFmtId="0" fontId="30" fillId="0" borderId="24" xfId="57" applyFont="1" applyBorder="1"/>
    <xf numFmtId="0" fontId="30" fillId="0" borderId="76" xfId="57" applyFont="1" applyBorder="1"/>
    <xf numFmtId="0" fontId="30" fillId="0" borderId="76" xfId="57" applyFont="1" applyBorder="1" applyAlignment="1">
      <alignment horizontal="right"/>
    </xf>
    <xf numFmtId="0" fontId="30" fillId="0" borderId="9" xfId="57" applyFont="1" applyBorder="1"/>
    <xf numFmtId="0" fontId="170" fillId="0" borderId="0" xfId="26" applyFont="1"/>
    <xf numFmtId="43" fontId="170" fillId="0" borderId="0" xfId="26" applyNumberFormat="1" applyFont="1" applyAlignment="1">
      <alignment vertical="top"/>
    </xf>
    <xf numFmtId="0" fontId="170" fillId="0" borderId="0" xfId="26" applyFont="1" applyAlignment="1">
      <alignment vertical="top"/>
    </xf>
    <xf numFmtId="10" fontId="30" fillId="0" borderId="15" xfId="26" applyNumberFormat="1" applyFont="1" applyFill="1" applyBorder="1" applyAlignment="1">
      <alignment horizontal="right" vertical="top"/>
    </xf>
    <xf numFmtId="0" fontId="170" fillId="0" borderId="76" xfId="26" applyFont="1" applyBorder="1" applyAlignment="1">
      <alignment vertical="top"/>
    </xf>
    <xf numFmtId="10" fontId="30" fillId="0" borderId="9" xfId="26" applyNumberFormat="1" applyFont="1" applyBorder="1" applyAlignment="1">
      <alignment horizontal="right" vertical="top"/>
    </xf>
    <xf numFmtId="10" fontId="30" fillId="0" borderId="14" xfId="26" applyNumberFormat="1" applyFont="1" applyFill="1" applyBorder="1" applyAlignment="1">
      <alignment horizontal="right" vertical="top"/>
    </xf>
    <xf numFmtId="10" fontId="30" fillId="0" borderId="7" xfId="26" applyNumberFormat="1" applyFont="1" applyBorder="1" applyAlignment="1">
      <alignment horizontal="right" vertical="top"/>
    </xf>
    <xf numFmtId="10" fontId="30" fillId="0" borderId="14" xfId="26" applyNumberFormat="1" applyFont="1" applyBorder="1" applyAlignment="1">
      <alignment horizontal="right" vertical="top"/>
    </xf>
    <xf numFmtId="0" fontId="170" fillId="0" borderId="0" xfId="26" applyFont="1" applyFill="1"/>
    <xf numFmtId="0" fontId="170" fillId="0" borderId="0" xfId="26" applyFont="1" applyAlignment="1">
      <alignment horizontal="centerContinuous"/>
    </xf>
    <xf numFmtId="10" fontId="30" fillId="0" borderId="13" xfId="26" applyNumberFormat="1" applyFont="1" applyFill="1" applyBorder="1" applyAlignment="1">
      <alignment horizontal="right" vertical="top"/>
    </xf>
    <xf numFmtId="0" fontId="30" fillId="0" borderId="45" xfId="26" applyFont="1" applyBorder="1" applyAlignment="1">
      <alignment horizontal="center"/>
    </xf>
    <xf numFmtId="0" fontId="30" fillId="0" borderId="7" xfId="26" applyFont="1" applyBorder="1" applyAlignment="1">
      <alignment horizontal="center"/>
    </xf>
    <xf numFmtId="0" fontId="30" fillId="0" borderId="45" xfId="26" applyFont="1" applyFill="1" applyBorder="1" applyAlignment="1">
      <alignment horizontal="center"/>
    </xf>
    <xf numFmtId="0" fontId="30" fillId="0" borderId="7" xfId="26" applyFont="1" applyFill="1" applyBorder="1" applyAlignment="1">
      <alignment horizontal="center"/>
    </xf>
    <xf numFmtId="0" fontId="30" fillId="0" borderId="14" xfId="26" applyFont="1" applyFill="1" applyBorder="1" applyAlignment="1">
      <alignment horizontal="center"/>
    </xf>
    <xf numFmtId="2" fontId="30" fillId="0" borderId="7" xfId="26" applyNumberFormat="1" applyFont="1" applyFill="1" applyBorder="1" applyAlignment="1">
      <alignment horizontal="right" vertical="top"/>
    </xf>
    <xf numFmtId="0" fontId="170" fillId="0" borderId="0" xfId="26" applyFont="1" applyFill="1" applyAlignment="1">
      <alignment vertical="top"/>
    </xf>
    <xf numFmtId="10" fontId="30" fillId="0" borderId="7" xfId="26" applyNumberFormat="1" applyFont="1" applyFill="1" applyBorder="1" applyAlignment="1">
      <alignment horizontal="right" vertical="top"/>
    </xf>
    <xf numFmtId="0" fontId="10" fillId="0" borderId="0" xfId="5823"/>
    <xf numFmtId="0" fontId="137" fillId="0" borderId="0" xfId="5823" applyFont="1"/>
    <xf numFmtId="0" fontId="156" fillId="0" borderId="0" xfId="5823" applyFont="1"/>
    <xf numFmtId="0" fontId="97" fillId="0" borderId="0" xfId="57" applyFont="1" applyAlignment="1"/>
    <xf numFmtId="0" fontId="100" fillId="0" borderId="0" xfId="5823" applyFont="1"/>
    <xf numFmtId="0" fontId="31" fillId="0" borderId="0" xfId="57" applyFont="1" applyAlignment="1"/>
    <xf numFmtId="0" fontId="30" fillId="11" borderId="40" xfId="57" applyFont="1" applyFill="1" applyBorder="1" applyAlignment="1">
      <alignment horizontal="center"/>
    </xf>
    <xf numFmtId="0" fontId="30" fillId="0" borderId="40" xfId="57" applyFont="1" applyFill="1" applyBorder="1" applyAlignment="1">
      <alignment horizontal="left" indent="1"/>
    </xf>
    <xf numFmtId="43" fontId="30" fillId="0" borderId="124" xfId="1" applyFont="1" applyBorder="1" applyAlignment="1">
      <alignment horizontal="center"/>
    </xf>
    <xf numFmtId="0" fontId="30" fillId="0" borderId="124" xfId="57" applyFont="1" applyBorder="1" applyAlignment="1">
      <alignment horizontal="center"/>
    </xf>
    <xf numFmtId="0" fontId="31" fillId="0" borderId="0" xfId="57" applyFont="1" applyBorder="1" applyAlignment="1">
      <alignment horizontal="left" indent="1"/>
    </xf>
    <xf numFmtId="37" fontId="31" fillId="0" borderId="124" xfId="1" applyNumberFormat="1" applyFont="1" applyFill="1" applyBorder="1"/>
    <xf numFmtId="0" fontId="31" fillId="0" borderId="40" xfId="57" applyFont="1" applyBorder="1" applyAlignment="1">
      <alignment horizontal="left" indent="1"/>
    </xf>
    <xf numFmtId="0" fontId="99" fillId="11" borderId="0" xfId="57" applyFont="1" applyFill="1"/>
    <xf numFmtId="0" fontId="139" fillId="0" borderId="0" xfId="5823" applyFont="1"/>
    <xf numFmtId="0" fontId="31" fillId="0" borderId="3" xfId="57" applyFont="1" applyBorder="1" applyAlignment="1">
      <alignment horizontal="left" indent="1"/>
    </xf>
    <xf numFmtId="0" fontId="31" fillId="0" borderId="0" xfId="57" applyFont="1" applyBorder="1"/>
    <xf numFmtId="0" fontId="99" fillId="11" borderId="0" xfId="57" applyFont="1" applyFill="1" applyAlignment="1">
      <alignment horizontal="left" vertical="center" indent="1"/>
    </xf>
    <xf numFmtId="49" fontId="30" fillId="0" borderId="0" xfId="57" applyNumberFormat="1" applyAlignment="1">
      <alignment vertical="top" wrapText="1"/>
    </xf>
    <xf numFmtId="49" fontId="31" fillId="0" borderId="4" xfId="57" applyNumberFormat="1" applyFont="1" applyBorder="1" applyAlignment="1">
      <alignment horizontal="center" vertical="top" wrapText="1"/>
    </xf>
    <xf numFmtId="49" fontId="31" fillId="0" borderId="4" xfId="57" applyNumberFormat="1" applyFont="1" applyBorder="1" applyAlignment="1">
      <alignment vertical="top" wrapText="1"/>
    </xf>
    <xf numFmtId="49" fontId="30" fillId="0" borderId="0" xfId="57" applyNumberFormat="1" applyFont="1" applyAlignment="1">
      <alignment vertical="top" wrapText="1"/>
    </xf>
    <xf numFmtId="0" fontId="83" fillId="0" borderId="0" xfId="57" applyFont="1"/>
    <xf numFmtId="0" fontId="148" fillId="0" borderId="0" xfId="57" applyFont="1"/>
    <xf numFmtId="0" fontId="92" fillId="0" borderId="0" xfId="5823" applyFont="1"/>
    <xf numFmtId="42" fontId="156" fillId="0" borderId="111" xfId="5823" applyNumberFormat="1" applyFont="1" applyBorder="1"/>
    <xf numFmtId="0" fontId="156" fillId="0" borderId="0" xfId="5823" applyFont="1" applyAlignment="1">
      <alignment horizontal="right"/>
    </xf>
    <xf numFmtId="0" fontId="100" fillId="0" borderId="0" xfId="5823" applyFont="1" applyAlignment="1">
      <alignment horizontal="right"/>
    </xf>
    <xf numFmtId="42" fontId="100" fillId="0" borderId="40" xfId="5824" applyNumberFormat="1" applyFont="1" applyFill="1" applyBorder="1"/>
    <xf numFmtId="0" fontId="100" fillId="0" borderId="0" xfId="5824" applyFont="1" applyAlignment="1">
      <alignment horizontal="right"/>
    </xf>
    <xf numFmtId="42" fontId="99" fillId="11" borderId="66" xfId="57" applyNumberFormat="1" applyFont="1" applyFill="1" applyBorder="1" applyAlignment="1">
      <alignment horizontal="right"/>
    </xf>
    <xf numFmtId="0" fontId="99" fillId="11" borderId="125" xfId="57" applyFont="1" applyFill="1" applyBorder="1"/>
    <xf numFmtId="0" fontId="100" fillId="11" borderId="66" xfId="57" applyFont="1" applyFill="1" applyBorder="1"/>
    <xf numFmtId="0" fontId="100" fillId="11" borderId="49" xfId="57" applyFont="1" applyFill="1" applyBorder="1"/>
    <xf numFmtId="42" fontId="96" fillId="0" borderId="27" xfId="57" applyNumberFormat="1" applyFont="1" applyFill="1" applyBorder="1" applyAlignment="1">
      <alignment horizontal="right"/>
    </xf>
    <xf numFmtId="42" fontId="96" fillId="0" borderId="28" xfId="57" applyNumberFormat="1" applyFont="1" applyFill="1" applyBorder="1" applyAlignment="1">
      <alignment horizontal="right"/>
    </xf>
    <xf numFmtId="42" fontId="96" fillId="0" borderId="32" xfId="57" applyNumberFormat="1" applyFont="1" applyFill="1" applyBorder="1" applyAlignment="1">
      <alignment horizontal="right"/>
    </xf>
    <xf numFmtId="42" fontId="99" fillId="11" borderId="28" xfId="57" applyNumberFormat="1" applyFont="1" applyFill="1" applyBorder="1" applyAlignment="1">
      <alignment horizontal="right"/>
    </xf>
    <xf numFmtId="0" fontId="99" fillId="11" borderId="27" xfId="57" applyFont="1" applyFill="1" applyBorder="1"/>
    <xf numFmtId="0" fontId="100" fillId="11" borderId="28" xfId="57" applyFont="1" applyFill="1" applyBorder="1"/>
    <xf numFmtId="0" fontId="100" fillId="11" borderId="25" xfId="57" applyFont="1" applyFill="1" applyBorder="1"/>
    <xf numFmtId="0" fontId="31" fillId="0" borderId="0" xfId="57" applyFont="1" applyAlignment="1">
      <alignment horizontal="centerContinuous"/>
    </xf>
    <xf numFmtId="0" fontId="32" fillId="0" borderId="0" xfId="57" applyFont="1" applyAlignment="1">
      <alignment horizontal="centerContinuous"/>
    </xf>
    <xf numFmtId="0" fontId="30" fillId="11" borderId="0" xfId="57" applyFill="1"/>
    <xf numFmtId="37" fontId="31" fillId="0" borderId="3" xfId="57" applyNumberFormat="1" applyFont="1" applyBorder="1"/>
    <xf numFmtId="0" fontId="30" fillId="0" borderId="40" xfId="57" applyBorder="1"/>
    <xf numFmtId="37" fontId="99" fillId="11" borderId="0" xfId="57" applyNumberFormat="1" applyFont="1" applyFill="1"/>
    <xf numFmtId="0" fontId="30" fillId="11" borderId="0" xfId="57" applyFill="1" applyAlignment="1">
      <alignment horizontal="center"/>
    </xf>
    <xf numFmtId="0" fontId="30" fillId="0" borderId="0" xfId="57" applyAlignment="1">
      <alignment horizontal="centerContinuous"/>
    </xf>
    <xf numFmtId="172" fontId="30" fillId="0" borderId="40" xfId="13" applyNumberFormat="1" applyFont="1" applyFill="1" applyBorder="1" applyAlignment="1">
      <alignment horizontal="center" wrapText="1"/>
    </xf>
    <xf numFmtId="172" fontId="30" fillId="0" borderId="40" xfId="57" applyNumberFormat="1" applyFont="1" applyFill="1" applyBorder="1" applyAlignment="1">
      <alignment horizontal="center" wrapText="1"/>
    </xf>
    <xf numFmtId="0" fontId="0" fillId="0" borderId="127" xfId="0" applyBorder="1" applyAlignment="1">
      <alignment horizontal="center"/>
    </xf>
    <xf numFmtId="0" fontId="30" fillId="0" borderId="22" xfId="57" applyFont="1" applyFill="1" applyBorder="1"/>
    <xf numFmtId="0" fontId="99" fillId="11" borderId="126" xfId="57" applyFont="1" applyFill="1" applyBorder="1" applyAlignment="1">
      <alignment horizontal="left"/>
    </xf>
    <xf numFmtId="37" fontId="30" fillId="39" borderId="126" xfId="57" quotePrefix="1" applyNumberFormat="1" applyFont="1" applyFill="1" applyBorder="1" applyAlignment="1">
      <alignment horizontal="left"/>
    </xf>
    <xf numFmtId="41" fontId="0" fillId="0" borderId="126" xfId="0" applyNumberFormat="1" applyFill="1" applyBorder="1"/>
    <xf numFmtId="38" fontId="99" fillId="39" borderId="128" xfId="0" applyNumberFormat="1" applyFont="1" applyFill="1" applyBorder="1"/>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37" fontId="99" fillId="39" borderId="22" xfId="0" applyNumberFormat="1" applyFont="1" applyFill="1" applyBorder="1"/>
    <xf numFmtId="37" fontId="140" fillId="11" borderId="50" xfId="48" applyNumberFormat="1" applyFont="1" applyFill="1" applyBorder="1" applyAlignment="1">
      <alignment horizontal="right"/>
    </xf>
    <xf numFmtId="1" fontId="34" fillId="11" borderId="0" xfId="37" applyNumberFormat="1" applyFont="1" applyFill="1" applyBorder="1" applyAlignment="1">
      <alignment horizontal="center"/>
    </xf>
    <xf numFmtId="1" fontId="34" fillId="11" borderId="4" xfId="37" applyNumberFormat="1" applyFont="1" applyFill="1" applyBorder="1" applyAlignment="1">
      <alignment horizontal="center"/>
    </xf>
    <xf numFmtId="10" fontId="34" fillId="41" borderId="0" xfId="13" applyNumberFormat="1" applyFont="1" applyFill="1" applyAlignment="1">
      <alignment horizontal="center"/>
    </xf>
    <xf numFmtId="171" fontId="34" fillId="0" borderId="0" xfId="13" applyNumberFormat="1" applyFont="1" applyFill="1" applyAlignment="1">
      <alignment horizontal="right"/>
    </xf>
    <xf numFmtId="164" fontId="56" fillId="41" borderId="4" xfId="1" applyNumberFormat="1" applyFont="1" applyFill="1" applyBorder="1" applyAlignment="1">
      <alignment horizontal="center"/>
    </xf>
    <xf numFmtId="10" fontId="34" fillId="0" borderId="0" xfId="13" applyNumberFormat="1" applyFont="1" applyFill="1" applyBorder="1"/>
    <xf numFmtId="164" fontId="51" fillId="0" borderId="8" xfId="0" applyNumberFormat="1" applyFont="1" applyFill="1" applyBorder="1"/>
    <xf numFmtId="164" fontId="56" fillId="41" borderId="0" xfId="1" applyNumberFormat="1" applyFont="1" applyFill="1" applyBorder="1" applyAlignment="1">
      <alignment horizontal="center"/>
    </xf>
    <xf numFmtId="164" fontId="57" fillId="0" borderId="0" xfId="45" applyNumberFormat="1" applyFont="1"/>
    <xf numFmtId="164" fontId="57" fillId="0" borderId="17" xfId="5922" applyNumberFormat="1" applyFont="1" applyFill="1" applyBorder="1" applyAlignment="1">
      <alignment horizontal="center"/>
    </xf>
    <xf numFmtId="164" fontId="57" fillId="0" borderId="18" xfId="45" applyNumberFormat="1" applyFont="1" applyFill="1" applyBorder="1" applyAlignment="1">
      <alignment horizontal="center"/>
    </xf>
    <xf numFmtId="37" fontId="99" fillId="11" borderId="22" xfId="8059" applyNumberFormat="1" applyFont="1" applyFill="1" applyBorder="1" applyAlignment="1">
      <alignment horizontal="right"/>
    </xf>
    <xf numFmtId="37" fontId="99" fillId="11" borderId="20" xfId="8059" applyNumberFormat="1" applyFont="1" applyFill="1" applyBorder="1" applyAlignment="1">
      <alignment horizontal="right"/>
    </xf>
    <xf numFmtId="0" fontId="57" fillId="0" borderId="0" xfId="45" applyFont="1" applyAlignment="1">
      <alignment wrapText="1"/>
    </xf>
    <xf numFmtId="164" fontId="183" fillId="56" borderId="8" xfId="5870" applyNumberFormat="1" applyFont="1" applyFill="1" applyBorder="1"/>
    <xf numFmtId="0" fontId="57" fillId="0" borderId="0" xfId="471" applyNumberFormat="1" applyFont="1" applyFill="1" applyAlignment="1">
      <alignment horizontal="left"/>
    </xf>
    <xf numFmtId="0" fontId="57" fillId="0" borderId="0" xfId="45" applyFont="1" applyFill="1" applyAlignment="1">
      <alignment horizontal="center"/>
    </xf>
    <xf numFmtId="49" fontId="165" fillId="0" borderId="0" xfId="5916" applyNumberFormat="1" applyFont="1"/>
    <xf numFmtId="0" fontId="100" fillId="0" borderId="0" xfId="8059" applyFont="1"/>
    <xf numFmtId="10" fontId="34" fillId="0" borderId="0" xfId="13" applyNumberFormat="1" applyFont="1" applyFill="1" applyAlignment="1"/>
    <xf numFmtId="0" fontId="140" fillId="0" borderId="0" xfId="0" applyFont="1" applyFill="1" applyBorder="1" applyAlignment="1">
      <alignment horizontal="center"/>
    </xf>
    <xf numFmtId="0" fontId="31" fillId="11" borderId="0" xfId="57" applyFont="1" applyFill="1" applyAlignment="1">
      <alignment horizontal="left" vertical="center"/>
    </xf>
    <xf numFmtId="171" fontId="34" fillId="0" borderId="0" xfId="13" applyNumberFormat="1" applyFont="1" applyFill="1" applyAlignment="1">
      <alignment horizontal="right"/>
    </xf>
    <xf numFmtId="164" fontId="183" fillId="56" borderId="8" xfId="0" applyNumberFormat="1" applyFont="1" applyFill="1" applyBorder="1"/>
    <xf numFmtId="165" fontId="99" fillId="0" borderId="0" xfId="22" applyFont="1" applyFill="1" applyAlignment="1">
      <alignment horizontal="centerContinuous"/>
    </xf>
    <xf numFmtId="0" fontId="56" fillId="0" borderId="0" xfId="45" applyFont="1" applyFill="1" applyAlignment="1">
      <alignment horizontal="center"/>
    </xf>
    <xf numFmtId="49" fontId="138" fillId="0" borderId="0" xfId="5916" applyNumberFormat="1" applyFont="1"/>
    <xf numFmtId="164" fontId="56" fillId="0" borderId="20" xfId="1" applyNumberFormat="1" applyFont="1" applyFill="1" applyBorder="1" applyAlignment="1">
      <alignment horizontal="center"/>
    </xf>
    <xf numFmtId="171" fontId="43" fillId="0" borderId="0" xfId="13" applyNumberFormat="1" applyFont="1" applyFill="1" applyBorder="1" applyAlignment="1">
      <alignment horizontal="right"/>
    </xf>
    <xf numFmtId="10" fontId="34" fillId="41" borderId="134" xfId="13" applyNumberFormat="1" applyFont="1" applyFill="1" applyBorder="1" applyAlignment="1">
      <alignment horizontal="center"/>
    </xf>
    <xf numFmtId="165" fontId="32" fillId="0" borderId="0" xfId="22" applyFont="1" applyFill="1" applyAlignment="1">
      <alignment horizontal="centerContinuous"/>
    </xf>
    <xf numFmtId="172" fontId="34" fillId="0" borderId="0" xfId="13" applyNumberFormat="1" applyFont="1" applyFill="1" applyBorder="1" applyAlignment="1"/>
    <xf numFmtId="10" fontId="32" fillId="0" borderId="0" xfId="13" applyNumberFormat="1" applyFont="1" applyAlignment="1"/>
    <xf numFmtId="0" fontId="137" fillId="0" borderId="0" xfId="5916"/>
    <xf numFmtId="164" fontId="161" fillId="11" borderId="20" xfId="1" applyNumberFormat="1" applyFont="1" applyFill="1" applyBorder="1" applyAlignment="1">
      <alignment horizontal="center"/>
    </xf>
    <xf numFmtId="10" fontId="34" fillId="41" borderId="126" xfId="13" applyNumberFormat="1" applyFont="1" applyFill="1" applyBorder="1" applyAlignment="1">
      <alignment horizontal="center"/>
    </xf>
    <xf numFmtId="164" fontId="54" fillId="0" borderId="0" xfId="1" applyNumberFormat="1" applyFont="1" applyFill="1" applyBorder="1"/>
    <xf numFmtId="37" fontId="34" fillId="41" borderId="134" xfId="0" applyNumberFormat="1" applyFont="1" applyFill="1" applyBorder="1" applyAlignment="1"/>
    <xf numFmtId="164" fontId="51" fillId="0" borderId="0" xfId="1" applyNumberFormat="1" applyFont="1" applyFill="1" applyBorder="1"/>
    <xf numFmtId="10" fontId="34" fillId="0" borderId="0" xfId="13" applyNumberFormat="1" applyFont="1" applyFill="1" applyBorder="1" applyAlignment="1"/>
    <xf numFmtId="0" fontId="138" fillId="0" borderId="0" xfId="5916" applyFont="1" applyFill="1" applyAlignment="1"/>
    <xf numFmtId="43" fontId="56" fillId="41" borderId="18" xfId="2" applyNumberFormat="1" applyFont="1" applyFill="1" applyBorder="1"/>
    <xf numFmtId="172" fontId="34" fillId="0" borderId="0" xfId="13" applyNumberFormat="1" applyFont="1" applyFill="1" applyAlignment="1"/>
    <xf numFmtId="194" fontId="168" fillId="0" borderId="0" xfId="45" applyNumberFormat="1" applyFont="1" applyFill="1" applyBorder="1" applyAlignment="1">
      <alignment horizontal="center"/>
    </xf>
    <xf numFmtId="0" fontId="137" fillId="0" borderId="0" xfId="5916" applyFill="1"/>
    <xf numFmtId="0" fontId="9" fillId="0" borderId="0" xfId="8059"/>
    <xf numFmtId="172" fontId="32" fillId="0" borderId="0" xfId="13" applyNumberFormat="1" applyFont="1" applyFill="1" applyAlignment="1"/>
    <xf numFmtId="0" fontId="56" fillId="0" borderId="136" xfId="12" applyFont="1" applyBorder="1" applyAlignment="1">
      <alignment horizontal="center"/>
    </xf>
    <xf numFmtId="0" fontId="31" fillId="0" borderId="0" xfId="45" applyFont="1" applyAlignment="1"/>
    <xf numFmtId="164" fontId="183" fillId="56" borderId="0" xfId="1" applyNumberFormat="1" applyFont="1" applyFill="1" applyBorder="1"/>
    <xf numFmtId="193" fontId="9" fillId="0" borderId="0" xfId="8059" applyNumberFormat="1" applyAlignment="1">
      <alignment horizontal="left"/>
    </xf>
    <xf numFmtId="164" fontId="168" fillId="11" borderId="4" xfId="5922" applyNumberFormat="1" applyFont="1" applyFill="1" applyBorder="1" applyAlignment="1">
      <alignment horizontal="center"/>
    </xf>
    <xf numFmtId="164" fontId="168" fillId="11" borderId="0" xfId="5922" applyNumberFormat="1" applyFont="1" applyFill="1" applyBorder="1" applyAlignment="1">
      <alignment horizontal="center"/>
    </xf>
    <xf numFmtId="43" fontId="0" fillId="0" borderId="0" xfId="5854" applyFont="1"/>
    <xf numFmtId="0" fontId="100" fillId="0" borderId="0" xfId="8059" applyFont="1" applyAlignment="1">
      <alignment wrapText="1"/>
    </xf>
    <xf numFmtId="164" fontId="57" fillId="0" borderId="21" xfId="11143" applyNumberFormat="1" applyFont="1" applyFill="1" applyBorder="1"/>
    <xf numFmtId="164" fontId="56" fillId="0" borderId="22" xfId="1" applyNumberFormat="1" applyFont="1" applyFill="1" applyBorder="1" applyAlignment="1">
      <alignment horizontal="center"/>
    </xf>
    <xf numFmtId="172" fontId="32" fillId="0" borderId="0" xfId="13" applyNumberFormat="1" applyFont="1" applyAlignment="1"/>
    <xf numFmtId="164" fontId="57" fillId="0" borderId="18" xfId="11143" applyNumberFormat="1" applyFont="1" applyFill="1" applyBorder="1"/>
    <xf numFmtId="37" fontId="99" fillId="11" borderId="136" xfId="8059" applyNumberFormat="1" applyFont="1" applyFill="1" applyBorder="1" applyAlignment="1">
      <alignment horizontal="right"/>
    </xf>
    <xf numFmtId="164" fontId="57" fillId="0" borderId="19" xfId="5922" applyNumberFormat="1" applyFont="1" applyFill="1" applyBorder="1" applyAlignment="1">
      <alignment horizontal="center"/>
    </xf>
    <xf numFmtId="0" fontId="168" fillId="0" borderId="17" xfId="45" applyFont="1" applyFill="1" applyBorder="1" applyAlignment="1">
      <alignment horizontal="center"/>
    </xf>
    <xf numFmtId="37" fontId="34" fillId="41" borderId="135" xfId="0" applyNumberFormat="1" applyFont="1" applyFill="1" applyBorder="1" applyAlignment="1"/>
    <xf numFmtId="0" fontId="137" fillId="0" borderId="0" xfId="5916" quotePrefix="1" applyFill="1" applyAlignment="1"/>
    <xf numFmtId="164" fontId="34" fillId="0" borderId="8" xfId="1" applyNumberFormat="1" applyFont="1" applyFill="1" applyBorder="1" applyAlignment="1">
      <alignment horizontal="right"/>
    </xf>
    <xf numFmtId="37" fontId="34" fillId="41" borderId="4" xfId="0" applyNumberFormat="1" applyFont="1" applyFill="1" applyBorder="1" applyAlignment="1"/>
    <xf numFmtId="10" fontId="34" fillId="41" borderId="4" xfId="13" applyNumberFormat="1" applyFont="1" applyFill="1" applyBorder="1" applyAlignment="1">
      <alignment horizontal="center"/>
    </xf>
    <xf numFmtId="37" fontId="34" fillId="41" borderId="3" xfId="0" applyNumberFormat="1" applyFont="1" applyFill="1" applyBorder="1" applyAlignment="1"/>
    <xf numFmtId="10" fontId="34" fillId="41" borderId="3" xfId="13" applyNumberFormat="1" applyFont="1" applyFill="1" applyBorder="1" applyAlignment="1">
      <alignment horizontal="center"/>
    </xf>
    <xf numFmtId="164" fontId="57" fillId="0" borderId="0" xfId="5922" applyNumberFormat="1" applyFont="1" applyFill="1" applyBorder="1" applyAlignment="1">
      <alignment horizontal="center"/>
    </xf>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43" fontId="30" fillId="0" borderId="0" xfId="5854" applyFont="1" applyAlignment="1">
      <alignment horizontal="center"/>
    </xf>
    <xf numFmtId="164" fontId="183" fillId="56" borderId="0" xfId="0" applyNumberFormat="1" applyFont="1" applyFill="1" applyBorder="1"/>
    <xf numFmtId="0" fontId="154" fillId="0" borderId="76" xfId="0" applyFont="1" applyFill="1" applyBorder="1" applyAlignment="1">
      <alignment horizontal="center" vertical="center"/>
    </xf>
    <xf numFmtId="0" fontId="56" fillId="0" borderId="61" xfId="0" applyFont="1" applyBorder="1" applyAlignment="1">
      <alignment horizontal="center"/>
    </xf>
    <xf numFmtId="0" fontId="157" fillId="0" borderId="0" xfId="0" applyFont="1" applyFill="1" applyBorder="1" applyAlignment="1">
      <alignment horizontal="center" vertical="center" wrapText="1"/>
    </xf>
    <xf numFmtId="0" fontId="157" fillId="11" borderId="28" xfId="0" applyFont="1" applyFill="1" applyBorder="1" applyAlignment="1">
      <alignment horizontal="center" vertical="center" wrapText="1"/>
    </xf>
    <xf numFmtId="0" fontId="157" fillId="11" borderId="27" xfId="0" applyFont="1" applyFill="1" applyBorder="1" applyAlignment="1">
      <alignment horizontal="center" vertical="center" wrapText="1"/>
    </xf>
    <xf numFmtId="0" fontId="99" fillId="11" borderId="85" xfId="0" applyFont="1" applyFill="1" applyBorder="1" applyAlignment="1">
      <alignment horizontal="center" wrapText="1"/>
    </xf>
    <xf numFmtId="0" fontId="51" fillId="0" borderId="26" xfId="0" applyFont="1" applyBorder="1" applyAlignment="1">
      <alignment horizontal="center"/>
    </xf>
    <xf numFmtId="0" fontId="51" fillId="0" borderId="62" xfId="0" applyFont="1" applyBorder="1" applyAlignment="1">
      <alignment horizontal="center"/>
    </xf>
    <xf numFmtId="199" fontId="99" fillId="11" borderId="84" xfId="0" applyNumberFormat="1" applyFont="1" applyFill="1" applyBorder="1" applyAlignment="1">
      <alignment horizontal="center" vertical="center" wrapText="1"/>
    </xf>
    <xf numFmtId="199" fontId="99" fillId="11" borderId="25" xfId="0" applyNumberFormat="1" applyFont="1" applyFill="1" applyBorder="1" applyAlignment="1">
      <alignment horizontal="center" vertical="center" wrapText="1"/>
    </xf>
    <xf numFmtId="172" fontId="32" fillId="41" borderId="3" xfId="13" applyNumberFormat="1" applyFont="1" applyFill="1" applyBorder="1" applyAlignment="1"/>
    <xf numFmtId="10" fontId="32" fillId="41" borderId="134" xfId="13" applyNumberFormat="1" applyFont="1" applyFill="1" applyBorder="1" applyAlignment="1"/>
    <xf numFmtId="10" fontId="34" fillId="41" borderId="0" xfId="0" applyNumberFormat="1" applyFont="1" applyFill="1" applyAlignment="1"/>
    <xf numFmtId="37" fontId="34" fillId="11" borderId="8" xfId="0" applyNumberFormat="1" applyFont="1" applyFill="1" applyBorder="1"/>
    <xf numFmtId="0" fontId="140" fillId="11" borderId="0" xfId="0" applyNumberFormat="1" applyFont="1" applyFill="1" applyBorder="1" applyAlignment="1">
      <alignment horizontal="left" indent="1"/>
    </xf>
    <xf numFmtId="37" fontId="99" fillId="11" borderId="0" xfId="1" applyNumberFormat="1" applyFont="1" applyFill="1" applyAlignment="1">
      <alignment vertical="center"/>
    </xf>
    <xf numFmtId="37" fontId="99" fillId="11" borderId="0" xfId="1" applyNumberFormat="1" applyFont="1" applyFill="1" applyAlignment="1">
      <alignment vertical="center" wrapText="1"/>
    </xf>
    <xf numFmtId="37" fontId="30" fillId="11" borderId="0" xfId="1" applyNumberFormat="1" applyFont="1" applyFill="1" applyAlignment="1">
      <alignment vertical="center" wrapText="1"/>
    </xf>
    <xf numFmtId="37" fontId="0" fillId="11" borderId="0" xfId="1" applyNumberFormat="1" applyFont="1" applyFill="1" applyAlignment="1">
      <alignment vertical="center"/>
    </xf>
    <xf numFmtId="7" fontId="30" fillId="0" borderId="0" xfId="0" applyNumberFormat="1" applyFont="1" applyFill="1"/>
    <xf numFmtId="201" fontId="30" fillId="0" borderId="0" xfId="1" applyNumberFormat="1" applyFont="1" applyFill="1"/>
    <xf numFmtId="39" fontId="30" fillId="0" borderId="0" xfId="1" applyNumberFormat="1" applyFont="1" applyFill="1"/>
    <xf numFmtId="37" fontId="0" fillId="0" borderId="28" xfId="0" applyNumberFormat="1" applyBorder="1"/>
    <xf numFmtId="37" fontId="99" fillId="39" borderId="126" xfId="57" quotePrefix="1" applyNumberFormat="1" applyFont="1" applyFill="1" applyBorder="1" applyAlignment="1">
      <alignment horizontal="left"/>
    </xf>
    <xf numFmtId="37" fontId="30" fillId="39" borderId="108" xfId="0" applyNumberFormat="1" applyFont="1" applyFill="1" applyBorder="1"/>
    <xf numFmtId="202" fontId="30" fillId="0" borderId="0" xfId="1" applyNumberFormat="1" applyFont="1" applyFill="1"/>
    <xf numFmtId="0" fontId="0" fillId="0" borderId="0" xfId="0" applyAlignment="1">
      <alignment vertical="top"/>
    </xf>
    <xf numFmtId="0" fontId="31" fillId="0" borderId="4" xfId="57" applyFont="1" applyBorder="1" applyAlignment="1">
      <alignment horizontal="center"/>
    </xf>
    <xf numFmtId="0" fontId="30" fillId="0" borderId="0" xfId="26" applyFont="1" applyAlignment="1">
      <alignment wrapText="1"/>
    </xf>
    <xf numFmtId="0" fontId="30" fillId="0" borderId="0" xfId="26" applyFont="1" applyAlignment="1"/>
    <xf numFmtId="181" fontId="167" fillId="0" borderId="126" xfId="37" applyNumberFormat="1" applyFont="1" applyFill="1" applyBorder="1" applyAlignment="1" applyProtection="1">
      <alignment vertical="center" wrapText="1"/>
    </xf>
    <xf numFmtId="37" fontId="140" fillId="11" borderId="0" xfId="0" applyNumberFormat="1" applyFont="1" applyFill="1" applyBorder="1" applyAlignment="1">
      <alignment horizontal="center"/>
    </xf>
    <xf numFmtId="37" fontId="140" fillId="11" borderId="8" xfId="1" applyNumberFormat="1" applyFont="1" applyFill="1" applyBorder="1"/>
    <xf numFmtId="0" fontId="157" fillId="0" borderId="4" xfId="57" applyFont="1" applyBorder="1"/>
    <xf numFmtId="0" fontId="137" fillId="0" borderId="0" xfId="11203" applyFont="1"/>
    <xf numFmtId="0" fontId="8" fillId="0" borderId="0" xfId="11203"/>
    <xf numFmtId="0" fontId="31" fillId="0" borderId="143" xfId="57" applyFont="1" applyBorder="1"/>
    <xf numFmtId="37" fontId="31" fillId="0" borderId="143" xfId="1" applyNumberFormat="1" applyFont="1" applyBorder="1"/>
    <xf numFmtId="37" fontId="157" fillId="11" borderId="143" xfId="1" applyNumberFormat="1" applyFont="1" applyFill="1" applyBorder="1"/>
    <xf numFmtId="37" fontId="31" fillId="0" borderId="144" xfId="57" applyNumberFormat="1" applyFont="1" applyBorder="1"/>
    <xf numFmtId="164" fontId="31" fillId="0" borderId="144" xfId="1" applyNumberFormat="1" applyFont="1" applyFill="1" applyBorder="1" applyAlignment="1">
      <alignment vertical="center"/>
    </xf>
    <xf numFmtId="0" fontId="30" fillId="0" borderId="0" xfId="5870" applyFont="1"/>
    <xf numFmtId="0" fontId="31" fillId="0" borderId="0" xfId="5870" applyFont="1"/>
    <xf numFmtId="192" fontId="30" fillId="0" borderId="145" xfId="1" applyNumberFormat="1" applyFont="1" applyFill="1" applyBorder="1" applyAlignment="1">
      <alignment horizontal="right" vertical="center"/>
    </xf>
    <xf numFmtId="192" fontId="30" fillId="0" borderId="143" xfId="1" applyNumberFormat="1" applyFont="1" applyFill="1" applyBorder="1" applyAlignment="1">
      <alignment horizontal="right" vertical="center"/>
    </xf>
    <xf numFmtId="192" fontId="30" fillId="0" borderId="143" xfId="57" applyNumberFormat="1" applyFont="1" applyBorder="1"/>
    <xf numFmtId="192" fontId="30" fillId="0" borderId="143" xfId="1" applyNumberFormat="1" applyFont="1" applyFill="1" applyBorder="1" applyAlignment="1">
      <alignment vertical="center"/>
    </xf>
    <xf numFmtId="190" fontId="30" fillId="0" borderId="143" xfId="1" applyNumberFormat="1" applyFont="1" applyFill="1" applyBorder="1" applyAlignment="1">
      <alignment vertical="center"/>
    </xf>
    <xf numFmtId="190" fontId="30" fillId="0" borderId="143" xfId="1" applyNumberFormat="1" applyFont="1" applyFill="1" applyBorder="1" applyAlignment="1" applyProtection="1">
      <alignment vertical="center"/>
    </xf>
    <xf numFmtId="0" fontId="30" fillId="0" borderId="143" xfId="57" applyFont="1" applyFill="1" applyBorder="1" applyAlignment="1">
      <alignment horizontal="left" vertical="center" indent="1"/>
    </xf>
    <xf numFmtId="190" fontId="30" fillId="0" borderId="0" xfId="57" applyNumberFormat="1" applyAlignment="1">
      <alignment vertical="center"/>
    </xf>
    <xf numFmtId="0" fontId="99" fillId="11" borderId="0" xfId="57" applyFont="1" applyFill="1" applyAlignment="1">
      <alignment horizontal="center" vertical="center"/>
    </xf>
    <xf numFmtId="0" fontId="31" fillId="0" borderId="44" xfId="11550" applyFont="1" applyFill="1" applyBorder="1" applyAlignment="1"/>
    <xf numFmtId="0" fontId="31" fillId="0" borderId="44" xfId="11550" applyFont="1" applyFill="1" applyBorder="1" applyAlignment="1">
      <alignment horizontal="center" wrapText="1"/>
    </xf>
    <xf numFmtId="189" fontId="31" fillId="0" borderId="23" xfId="11550" applyNumberFormat="1" applyFont="1" applyFill="1" applyBorder="1" applyAlignment="1">
      <alignment horizontal="center" wrapText="1"/>
    </xf>
    <xf numFmtId="189" fontId="31" fillId="0" borderId="42" xfId="11550" applyNumberFormat="1" applyFont="1" applyFill="1" applyBorder="1" applyAlignment="1">
      <alignment horizontal="center" wrapText="1"/>
    </xf>
    <xf numFmtId="189" fontId="31" fillId="0" borderId="44" xfId="11550" applyNumberFormat="1" applyFont="1" applyFill="1" applyBorder="1" applyAlignment="1">
      <alignment horizontal="center" wrapText="1"/>
    </xf>
    <xf numFmtId="189" fontId="31" fillId="0" borderId="43" xfId="11550" applyNumberFormat="1" applyFont="1" applyFill="1" applyBorder="1" applyAlignment="1">
      <alignment horizontal="center" wrapText="1"/>
    </xf>
    <xf numFmtId="0" fontId="80" fillId="0" borderId="30" xfId="11530" quotePrefix="1" applyNumberFormat="1" applyFont="1" applyFill="1" applyBorder="1" applyAlignment="1" applyProtection="1">
      <alignment horizontal="left" vertical="center"/>
      <protection locked="0"/>
    </xf>
    <xf numFmtId="49" fontId="100" fillId="0" borderId="30" xfId="11550" applyNumberFormat="1" applyFont="1" applyFill="1" applyBorder="1" applyAlignment="1"/>
    <xf numFmtId="37" fontId="99" fillId="11" borderId="30" xfId="11551" quotePrefix="1" applyNumberFormat="1" applyFont="1" applyFill="1" applyBorder="1" applyAlignment="1" applyProtection="1">
      <alignment horizontal="right" vertical="center"/>
      <protection locked="0"/>
    </xf>
    <xf numFmtId="37" fontId="99" fillId="11" borderId="12" xfId="11551" quotePrefix="1" applyNumberFormat="1" applyFont="1" applyFill="1" applyBorder="1" applyAlignment="1" applyProtection="1">
      <alignment horizontal="right" vertical="center"/>
      <protection locked="0"/>
    </xf>
    <xf numFmtId="0" fontId="80" fillId="0" borderId="20" xfId="11530" applyNumberFormat="1" applyFont="1" applyFill="1" applyBorder="1" applyAlignment="1" applyProtection="1">
      <alignment horizontal="left" vertical="center"/>
      <protection locked="0"/>
    </xf>
    <xf numFmtId="49" fontId="100" fillId="0" borderId="20" xfId="11550" applyNumberFormat="1" applyFont="1" applyFill="1" applyBorder="1" applyAlignment="1"/>
    <xf numFmtId="37" fontId="99" fillId="11" borderId="17" xfId="11551" quotePrefix="1" applyNumberFormat="1" applyFont="1" applyFill="1" applyBorder="1" applyAlignment="1" applyProtection="1">
      <alignment horizontal="right" vertical="center"/>
      <protection locked="0"/>
    </xf>
    <xf numFmtId="37" fontId="99" fillId="11" borderId="7" xfId="11551" quotePrefix="1" applyNumberFormat="1" applyFont="1" applyFill="1" applyBorder="1" applyAlignment="1" applyProtection="1">
      <alignment horizontal="right" vertical="center"/>
      <protection locked="0"/>
    </xf>
    <xf numFmtId="37" fontId="99" fillId="11" borderId="65" xfId="11551" quotePrefix="1" applyNumberFormat="1" applyFont="1" applyFill="1" applyBorder="1" applyAlignment="1" applyProtection="1">
      <alignment horizontal="right" vertical="center"/>
      <protection locked="0"/>
    </xf>
    <xf numFmtId="0" fontId="100" fillId="0" borderId="20" xfId="11550" applyFont="1" applyFill="1" applyBorder="1" applyAlignment="1">
      <alignment horizontal="left"/>
    </xf>
    <xf numFmtId="37" fontId="99" fillId="11" borderId="65" xfId="11551" applyNumberFormat="1" applyFont="1" applyFill="1" applyBorder="1"/>
    <xf numFmtId="0" fontId="80" fillId="0" borderId="20" xfId="11530" quotePrefix="1" applyNumberFormat="1" applyFont="1" applyFill="1" applyBorder="1" applyAlignment="1" applyProtection="1">
      <alignment horizontal="left" vertical="center"/>
      <protection locked="0"/>
    </xf>
    <xf numFmtId="192" fontId="33" fillId="0" borderId="0" xfId="45" applyNumberFormat="1" applyFont="1"/>
    <xf numFmtId="0" fontId="100" fillId="0" borderId="20" xfId="11550" applyFont="1" applyFill="1" applyBorder="1" applyAlignment="1">
      <alignment horizontal="left" wrapText="1"/>
    </xf>
    <xf numFmtId="49" fontId="100" fillId="0" borderId="20" xfId="11550" applyNumberFormat="1" applyFont="1" applyFill="1" applyBorder="1" applyAlignment="1">
      <alignment vertical="center"/>
    </xf>
    <xf numFmtId="39" fontId="30" fillId="0" borderId="0" xfId="45" applyNumberFormat="1" applyFont="1"/>
    <xf numFmtId="37" fontId="99" fillId="11" borderId="20" xfId="11551" quotePrefix="1" applyNumberFormat="1" applyFont="1" applyFill="1" applyBorder="1" applyAlignment="1" applyProtection="1">
      <alignment horizontal="right" vertical="center"/>
      <protection locked="0"/>
    </xf>
    <xf numFmtId="0" fontId="80" fillId="0" borderId="66" xfId="11530" applyNumberFormat="1" applyFont="1" applyFill="1" applyBorder="1" applyAlignment="1" applyProtection="1">
      <alignment horizontal="left" vertical="center"/>
      <protection locked="0"/>
    </xf>
    <xf numFmtId="37" fontId="99" fillId="11" borderId="66" xfId="11551" quotePrefix="1" applyNumberFormat="1" applyFont="1" applyFill="1" applyBorder="1" applyAlignment="1" applyProtection="1">
      <alignment horizontal="right" vertical="center"/>
      <protection locked="0"/>
    </xf>
    <xf numFmtId="37" fontId="30" fillId="0" borderId="151" xfId="45" applyNumberFormat="1" applyFont="1" applyBorder="1"/>
    <xf numFmtId="37" fontId="99" fillId="11" borderId="151" xfId="45" applyNumberFormat="1" applyFont="1" applyFill="1" applyBorder="1"/>
    <xf numFmtId="37" fontId="99" fillId="11" borderId="152" xfId="45" applyNumberFormat="1" applyFont="1" applyFill="1" applyBorder="1"/>
    <xf numFmtId="37" fontId="99" fillId="11" borderId="13" xfId="11551" quotePrefix="1" applyNumberFormat="1" applyFont="1" applyFill="1" applyBorder="1" applyAlignment="1" applyProtection="1">
      <alignment horizontal="right" vertical="center"/>
      <protection locked="0"/>
    </xf>
    <xf numFmtId="37" fontId="99" fillId="11" borderId="14" xfId="11551" quotePrefix="1" applyNumberFormat="1" applyFont="1" applyFill="1" applyBorder="1" applyAlignment="1" applyProtection="1">
      <alignment horizontal="right" vertical="center"/>
      <protection locked="0"/>
    </xf>
    <xf numFmtId="37" fontId="99" fillId="11" borderId="15" xfId="11551" quotePrefix="1" applyNumberFormat="1" applyFont="1" applyFill="1" applyBorder="1" applyAlignment="1" applyProtection="1">
      <alignment horizontal="right" vertical="center"/>
      <protection locked="0"/>
    </xf>
    <xf numFmtId="37" fontId="34" fillId="41" borderId="50" xfId="48" applyNumberFormat="1" applyFont="1" applyFill="1" applyBorder="1" applyAlignment="1">
      <alignment horizontal="right"/>
    </xf>
    <xf numFmtId="0" fontId="31" fillId="7" borderId="142" xfId="5869" quotePrefix="1" applyFont="1" applyFill="1" applyAlignment="1" applyProtection="1">
      <alignment horizontal="left" vertical="center" indent="1"/>
      <protection locked="0"/>
    </xf>
    <xf numFmtId="0" fontId="31" fillId="7" borderId="142" xfId="5869" applyFont="1" applyFill="1" applyAlignment="1" applyProtection="1">
      <alignment horizontal="left" vertical="center" indent="1"/>
      <protection locked="0"/>
    </xf>
    <xf numFmtId="0" fontId="31" fillId="7" borderId="142" xfId="5828" quotePrefix="1" applyFont="1" applyFill="1" applyAlignment="1" applyProtection="1">
      <alignment horizontal="left" vertical="center" indent="1"/>
      <protection locked="0"/>
    </xf>
    <xf numFmtId="4" fontId="8" fillId="0" borderId="0" xfId="11203" applyNumberFormat="1" applyFont="1"/>
    <xf numFmtId="0" fontId="99" fillId="11" borderId="142" xfId="11162" applyFont="1" applyFill="1" applyProtection="1">
      <alignment horizontal="left" vertical="center" indent="1"/>
      <protection locked="0"/>
    </xf>
    <xf numFmtId="37" fontId="99" fillId="11" borderId="142" xfId="1" applyNumberFormat="1" applyFont="1" applyFill="1" applyBorder="1" applyAlignment="1" applyProtection="1">
      <alignment horizontal="right" vertical="center"/>
      <protection locked="0"/>
    </xf>
    <xf numFmtId="0" fontId="99" fillId="11" borderId="142" xfId="11162" quotePrefix="1" applyFont="1" applyFill="1" applyProtection="1">
      <alignment horizontal="left" vertical="center" indent="1"/>
      <protection locked="0"/>
    </xf>
    <xf numFmtId="0" fontId="137" fillId="0" borderId="0" xfId="11203" applyFont="1" applyFill="1"/>
    <xf numFmtId="0" fontId="31" fillId="0" borderId="137" xfId="11162" applyFont="1" applyFill="1" applyBorder="1" applyAlignment="1" applyProtection="1">
      <alignment horizontal="right" vertical="center" indent="1"/>
      <protection locked="0"/>
    </xf>
    <xf numFmtId="37" fontId="156" fillId="0" borderId="144" xfId="1" applyNumberFormat="1" applyFont="1" applyFill="1" applyBorder="1"/>
    <xf numFmtId="4" fontId="8" fillId="0" borderId="0" xfId="11203" applyNumberFormat="1"/>
    <xf numFmtId="0" fontId="138" fillId="0" borderId="0" xfId="11203" applyFont="1" applyAlignment="1">
      <alignment horizontal="centerContinuous"/>
    </xf>
    <xf numFmtId="0" fontId="137" fillId="0" borderId="0" xfId="11203" applyFont="1" applyAlignment="1">
      <alignment horizontal="centerContinuous"/>
    </xf>
    <xf numFmtId="0" fontId="31" fillId="7" borderId="42" xfId="15418" quotePrefix="1" applyFont="1" applyFill="1" applyBorder="1" applyAlignment="1" applyProtection="1">
      <alignment horizontal="center" wrapText="1"/>
      <protection locked="0"/>
    </xf>
    <xf numFmtId="0" fontId="31" fillId="7" borderId="44" xfId="15418" quotePrefix="1" applyFont="1" applyFill="1" applyBorder="1" applyAlignment="1" applyProtection="1">
      <alignment horizontal="center" wrapText="1"/>
      <protection locked="0"/>
    </xf>
    <xf numFmtId="0" fontId="31" fillId="7" borderId="44" xfId="15418" applyFont="1" applyFill="1" applyBorder="1" applyAlignment="1" applyProtection="1">
      <alignment horizontal="center" wrapText="1"/>
      <protection locked="0"/>
    </xf>
    <xf numFmtId="0" fontId="31" fillId="0" borderId="43" xfId="15418" applyFont="1" applyFill="1" applyBorder="1" applyAlignment="1" applyProtection="1">
      <alignment horizontal="center" wrapText="1"/>
      <protection locked="0"/>
    </xf>
    <xf numFmtId="0" fontId="81" fillId="0" borderId="42" xfId="12275" applyFont="1" applyFill="1" applyBorder="1" applyAlignment="1">
      <alignment horizontal="center" wrapText="1"/>
    </xf>
    <xf numFmtId="0" fontId="81" fillId="0" borderId="44" xfId="12275" applyFont="1" applyFill="1" applyBorder="1" applyAlignment="1">
      <alignment horizontal="center" wrapText="1"/>
    </xf>
    <xf numFmtId="0" fontId="81" fillId="0" borderId="43" xfId="12275" applyFont="1" applyFill="1" applyBorder="1" applyAlignment="1">
      <alignment horizontal="center" wrapText="1"/>
    </xf>
    <xf numFmtId="0" fontId="81" fillId="5" borderId="42" xfId="12275" applyFont="1" applyFill="1" applyBorder="1" applyAlignment="1">
      <alignment horizontal="center" wrapText="1"/>
    </xf>
    <xf numFmtId="0" fontId="31" fillId="7" borderId="44" xfId="15913" quotePrefix="1" applyFont="1" applyFill="1" applyBorder="1" applyAlignment="1" applyProtection="1">
      <alignment horizontal="center" wrapText="1"/>
      <protection locked="0"/>
    </xf>
    <xf numFmtId="0" fontId="31" fillId="7" borderId="43" xfId="15913" quotePrefix="1" applyFont="1" applyFill="1" applyBorder="1" applyAlignment="1" applyProtection="1">
      <alignment horizontal="center" wrapText="1"/>
      <protection locked="0"/>
    </xf>
    <xf numFmtId="42" fontId="100" fillId="0" borderId="27" xfId="12275" applyNumberFormat="1" applyFont="1" applyFill="1" applyBorder="1"/>
    <xf numFmtId="0" fontId="99" fillId="11" borderId="155" xfId="57" applyFont="1" applyFill="1" applyBorder="1"/>
    <xf numFmtId="42" fontId="30" fillId="0" borderId="155" xfId="57" applyNumberFormat="1" applyFont="1" applyFill="1" applyBorder="1" applyAlignment="1">
      <alignment horizontal="right"/>
    </xf>
    <xf numFmtId="0" fontId="100" fillId="11" borderId="158" xfId="57" applyFont="1" applyFill="1" applyBorder="1"/>
    <xf numFmtId="0" fontId="100" fillId="11" borderId="153" xfId="57" applyFont="1" applyFill="1" applyBorder="1"/>
    <xf numFmtId="0" fontId="99" fillId="11" borderId="157" xfId="57" applyFont="1" applyFill="1" applyBorder="1"/>
    <xf numFmtId="42" fontId="99" fillId="11" borderId="153" xfId="57" applyNumberFormat="1" applyFont="1" applyFill="1" applyBorder="1" applyAlignment="1">
      <alignment horizontal="right"/>
    </xf>
    <xf numFmtId="42" fontId="96" fillId="0" borderId="156" xfId="57" applyNumberFormat="1" applyFont="1" applyFill="1" applyBorder="1" applyAlignment="1">
      <alignment horizontal="right"/>
    </xf>
    <xf numFmtId="42" fontId="96" fillId="0" borderId="153" xfId="57" applyNumberFormat="1" applyFont="1" applyFill="1" applyBorder="1" applyAlignment="1">
      <alignment horizontal="right"/>
    </xf>
    <xf numFmtId="42" fontId="96" fillId="0" borderId="155" xfId="57" applyNumberFormat="1" applyFont="1" applyFill="1" applyBorder="1" applyAlignment="1">
      <alignment horizontal="right"/>
    </xf>
    <xf numFmtId="39" fontId="8" fillId="0" borderId="0" xfId="11203" applyNumberFormat="1"/>
    <xf numFmtId="42" fontId="96" fillId="0" borderId="154" xfId="57" applyNumberFormat="1" applyFont="1" applyFill="1" applyBorder="1" applyAlignment="1">
      <alignment horizontal="right"/>
    </xf>
    <xf numFmtId="42" fontId="96" fillId="0" borderId="151" xfId="57" applyNumberFormat="1" applyFont="1" applyFill="1" applyBorder="1" applyAlignment="1">
      <alignment horizontal="right"/>
    </xf>
    <xf numFmtId="42" fontId="96" fillId="0" borderId="152" xfId="57" applyNumberFormat="1" applyFont="1" applyFill="1" applyBorder="1" applyAlignment="1">
      <alignment horizontal="right"/>
    </xf>
    <xf numFmtId="0" fontId="30" fillId="7" borderId="49" xfId="15697" applyFont="1" applyFill="1" applyBorder="1" applyProtection="1">
      <alignment horizontal="left" vertical="center" indent="1"/>
      <protection locked="0"/>
    </xf>
    <xf numFmtId="0" fontId="30" fillId="7" borderId="1" xfId="15697" applyFont="1" applyFill="1" applyBorder="1" applyProtection="1">
      <alignment horizontal="left" vertical="center" indent="1"/>
      <protection locked="0"/>
    </xf>
    <xf numFmtId="42" fontId="100" fillId="7" borderId="42" xfId="11203" applyNumberFormat="1" applyFont="1" applyFill="1" applyBorder="1"/>
    <xf numFmtId="42" fontId="100" fillId="7" borderId="44" xfId="11203" applyNumberFormat="1" applyFont="1" applyFill="1" applyBorder="1"/>
    <xf numFmtId="42" fontId="100" fillId="7" borderId="43" xfId="11203" applyNumberFormat="1" applyFont="1" applyFill="1" applyBorder="1"/>
    <xf numFmtId="0" fontId="100" fillId="7" borderId="0" xfId="11203" applyFont="1" applyFill="1"/>
    <xf numFmtId="0" fontId="31" fillId="7" borderId="0" xfId="15697" applyFont="1" applyFill="1" applyBorder="1" applyProtection="1">
      <alignment horizontal="left" vertical="center" indent="1"/>
      <protection locked="0"/>
    </xf>
    <xf numFmtId="179" fontId="156" fillId="7" borderId="0" xfId="11203" applyNumberFormat="1" applyFont="1" applyFill="1" applyBorder="1"/>
    <xf numFmtId="0" fontId="8" fillId="0" borderId="0" xfId="11203" applyFont="1"/>
    <xf numFmtId="37" fontId="99" fillId="41" borderId="124" xfId="57" applyNumberFormat="1" applyFont="1" applyFill="1" applyBorder="1" applyAlignment="1"/>
    <xf numFmtId="0" fontId="100" fillId="0" borderId="0" xfId="11203" applyFont="1"/>
    <xf numFmtId="0" fontId="137" fillId="0" borderId="0" xfId="11203" applyFont="1"/>
    <xf numFmtId="0" fontId="8" fillId="0" borderId="0" xfId="11203"/>
    <xf numFmtId="0" fontId="156" fillId="0" borderId="0" xfId="11203" applyFont="1"/>
    <xf numFmtId="37" fontId="99" fillId="11" borderId="20" xfId="1" applyNumberFormat="1" applyFont="1" applyFill="1" applyBorder="1"/>
    <xf numFmtId="10" fontId="186" fillId="0" borderId="7" xfId="26" applyNumberFormat="1" applyFont="1" applyBorder="1" applyAlignment="1">
      <alignment horizontal="right" vertical="top"/>
    </xf>
    <xf numFmtId="0" fontId="7" fillId="0" borderId="0" xfId="16084"/>
    <xf numFmtId="0" fontId="145"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1" fillId="0" borderId="0" xfId="8059" applyFont="1"/>
    <xf numFmtId="0" fontId="157" fillId="0" borderId="0" xfId="0" applyFont="1" applyBorder="1" applyAlignment="1">
      <alignment horizontal="center" wrapText="1"/>
    </xf>
    <xf numFmtId="0" fontId="99" fillId="11" borderId="0" xfId="57" applyFont="1" applyFill="1" applyBorder="1" applyAlignment="1">
      <alignment horizontal="left"/>
    </xf>
    <xf numFmtId="0" fontId="188" fillId="0" borderId="0" xfId="57" applyFont="1" applyFill="1" applyBorder="1" applyAlignment="1">
      <alignment horizontal="center" vertical="top"/>
    </xf>
    <xf numFmtId="0" fontId="188" fillId="0" borderId="153" xfId="57" applyFont="1" applyFill="1" applyBorder="1" applyAlignment="1">
      <alignment horizontal="center" vertical="top"/>
    </xf>
    <xf numFmtId="37" fontId="34" fillId="0" borderId="71" xfId="1" applyNumberFormat="1" applyFont="1" applyFill="1" applyBorder="1" applyAlignment="1"/>
    <xf numFmtId="37" fontId="154" fillId="11" borderId="0" xfId="1" applyNumberFormat="1" applyFont="1" applyFill="1" applyBorder="1" applyAlignment="1"/>
    <xf numFmtId="37" fontId="32" fillId="0" borderId="37" xfId="1" applyNumberFormat="1" applyFont="1" applyFill="1" applyBorder="1" applyAlignment="1"/>
    <xf numFmtId="37" fontId="34" fillId="0" borderId="77" xfId="1" applyNumberFormat="1" applyFont="1" applyFill="1" applyBorder="1" applyAlignment="1"/>
    <xf numFmtId="0" fontId="140" fillId="11" borderId="7" xfId="0" applyFont="1" applyFill="1" applyBorder="1" applyAlignment="1">
      <alignment horizontal="center"/>
    </xf>
    <xf numFmtId="0" fontId="34" fillId="0" borderId="83" xfId="0" applyNumberFormat="1" applyFont="1" applyFill="1" applyBorder="1" applyAlignment="1">
      <alignment horizontal="center"/>
    </xf>
    <xf numFmtId="10" fontId="34" fillId="0" borderId="0" xfId="13" quotePrefix="1" applyNumberFormat="1" applyFont="1" applyFill="1" applyBorder="1" applyAlignment="1">
      <alignment horizontal="center"/>
    </xf>
    <xf numFmtId="0" fontId="140" fillId="11" borderId="7" xfId="0" quotePrefix="1" applyNumberFormat="1" applyFont="1" applyFill="1" applyBorder="1" applyAlignment="1"/>
    <xf numFmtId="0" fontId="30" fillId="0" borderId="16" xfId="0" applyFont="1" applyBorder="1" applyAlignment="1">
      <alignment horizontal="center" vertical="top"/>
    </xf>
    <xf numFmtId="0" fontId="30" fillId="0" borderId="16" xfId="0" applyFont="1" applyFill="1" applyBorder="1" applyAlignment="1">
      <alignment vertical="top"/>
    </xf>
    <xf numFmtId="0" fontId="30" fillId="0" borderId="37" xfId="0" applyFont="1" applyFill="1" applyBorder="1" applyAlignment="1">
      <alignment vertical="top"/>
    </xf>
    <xf numFmtId="37" fontId="99" fillId="11" borderId="37" xfId="0" applyNumberFormat="1" applyFont="1" applyFill="1" applyBorder="1" applyAlignment="1">
      <alignment vertical="top"/>
    </xf>
    <xf numFmtId="10" fontId="99" fillId="11" borderId="37" xfId="13" applyNumberFormat="1" applyFont="1" applyFill="1" applyBorder="1" applyAlignment="1">
      <alignment vertical="top"/>
    </xf>
    <xf numFmtId="0" fontId="0" fillId="0" borderId="37" xfId="0" applyBorder="1" applyAlignment="1">
      <alignment vertical="top"/>
    </xf>
    <xf numFmtId="0" fontId="30" fillId="0" borderId="37" xfId="0" applyFont="1" applyBorder="1" applyAlignment="1">
      <alignment vertical="top"/>
    </xf>
    <xf numFmtId="0" fontId="34" fillId="0" borderId="0" xfId="57" applyFont="1" applyFill="1" applyAlignment="1"/>
    <xf numFmtId="0" fontId="30" fillId="0" borderId="0" xfId="57" applyFont="1" applyFill="1" applyAlignment="1"/>
    <xf numFmtId="37" fontId="30" fillId="0" borderId="4" xfId="57" applyNumberFormat="1" applyFont="1" applyFill="1" applyBorder="1" applyAlignment="1"/>
    <xf numFmtId="172" fontId="30" fillId="0" borderId="4" xfId="57" applyNumberFormat="1" applyFont="1" applyFill="1" applyBorder="1" applyAlignment="1"/>
    <xf numFmtId="37" fontId="31" fillId="0" borderId="0" xfId="57" applyNumberFormat="1" applyFont="1" applyFill="1" applyAlignment="1"/>
    <xf numFmtId="37" fontId="30" fillId="0" borderId="168" xfId="57" applyNumberFormat="1" applyFont="1" applyFill="1" applyBorder="1" applyAlignment="1"/>
    <xf numFmtId="0" fontId="53" fillId="0" borderId="0" xfId="57" applyFont="1" applyFill="1" applyAlignment="1"/>
    <xf numFmtId="0" fontId="48" fillId="0" borderId="0" xfId="57" applyFont="1" applyFill="1" applyAlignment="1"/>
    <xf numFmtId="0" fontId="62" fillId="0" borderId="157" xfId="57" applyFont="1" applyFill="1" applyBorder="1" applyAlignment="1">
      <alignment horizontal="left"/>
    </xf>
    <xf numFmtId="0" fontId="62" fillId="0" borderId="168" xfId="57" applyFont="1" applyFill="1" applyBorder="1" applyAlignment="1">
      <alignment horizontal="left"/>
    </xf>
    <xf numFmtId="0" fontId="62" fillId="0" borderId="156" xfId="57" applyFont="1" applyFill="1" applyBorder="1" applyAlignment="1">
      <alignment horizontal="left"/>
    </xf>
    <xf numFmtId="37" fontId="30" fillId="0" borderId="153" xfId="57" applyNumberFormat="1" applyFont="1" applyFill="1" applyBorder="1" applyAlignment="1">
      <alignment wrapText="1"/>
    </xf>
    <xf numFmtId="0" fontId="62" fillId="0" borderId="153" xfId="57" applyFont="1" applyFill="1" applyBorder="1" applyAlignment="1"/>
    <xf numFmtId="175" fontId="31" fillId="11" borderId="157" xfId="10" applyNumberFormat="1" applyFont="1" applyFill="1" applyBorder="1" applyAlignment="1" applyProtection="1">
      <alignment horizontal="left"/>
      <protection locked="0"/>
    </xf>
    <xf numFmtId="175" fontId="30" fillId="11" borderId="168" xfId="10" applyNumberFormat="1" applyFont="1" applyFill="1" applyBorder="1" applyAlignment="1" applyProtection="1">
      <protection locked="0"/>
    </xf>
    <xf numFmtId="37" fontId="30" fillId="11" borderId="153" xfId="57" applyNumberFormat="1" applyFont="1" applyFill="1" applyBorder="1" applyAlignment="1">
      <alignment wrapText="1"/>
    </xf>
    <xf numFmtId="0" fontId="30" fillId="11" borderId="153" xfId="57" applyFont="1" applyFill="1" applyBorder="1" applyAlignment="1">
      <alignment horizontal="left"/>
    </xf>
    <xf numFmtId="175" fontId="30" fillId="11" borderId="157" xfId="10" applyNumberFormat="1" applyFont="1" applyFill="1" applyBorder="1" applyAlignment="1" applyProtection="1">
      <alignment horizontal="center"/>
      <protection locked="0"/>
    </xf>
    <xf numFmtId="183" fontId="30" fillId="11" borderId="168" xfId="10" applyNumberFormat="1" applyFont="1" applyFill="1" applyBorder="1" applyAlignment="1" applyProtection="1">
      <alignment horizontal="center"/>
      <protection locked="0"/>
    </xf>
    <xf numFmtId="175" fontId="0" fillId="11" borderId="168" xfId="10" applyNumberFormat="1" applyFont="1" applyFill="1" applyBorder="1" applyAlignment="1" applyProtection="1">
      <alignment vertical="top"/>
      <protection locked="0"/>
    </xf>
    <xf numFmtId="175" fontId="30" fillId="11" borderId="156" xfId="10" applyNumberFormat="1" applyFont="1" applyFill="1" applyBorder="1" applyAlignment="1" applyProtection="1">
      <alignment vertical="top"/>
      <protection locked="0"/>
    </xf>
    <xf numFmtId="0" fontId="3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center" vertical="top"/>
      <protection locked="0"/>
    </xf>
    <xf numFmtId="183" fontId="30" fillId="11" borderId="168" xfId="10" applyNumberFormat="1" applyFont="1" applyFill="1" applyBorder="1" applyAlignment="1" applyProtection="1">
      <alignment horizontal="center" vertical="top"/>
      <protection locked="0"/>
    </xf>
    <xf numFmtId="175" fontId="30" fillId="11" borderId="168" xfId="10" applyNumberFormat="1" applyFont="1" applyFill="1" applyBorder="1" applyAlignment="1" applyProtection="1">
      <alignment vertical="top"/>
      <protection locked="0"/>
    </xf>
    <xf numFmtId="37" fontId="99" fillId="11" borderId="153" xfId="57" applyNumberFormat="1" applyFont="1" applyFill="1" applyBorder="1" applyAlignment="1">
      <alignment wrapText="1"/>
    </xf>
    <xf numFmtId="0" fontId="0" fillId="11" borderId="153" xfId="57" applyFont="1" applyFill="1" applyBorder="1" applyAlignment="1">
      <alignment horizontal="left" vertical="top" wrapText="1"/>
    </xf>
    <xf numFmtId="183" fontId="30" fillId="11" borderId="168" xfId="10" applyNumberFormat="1" applyFont="1" applyFill="1" applyBorder="1" applyAlignment="1" applyProtection="1">
      <alignment horizontal="left" vertical="top"/>
      <protection locked="0"/>
    </xf>
    <xf numFmtId="0" fontId="30" fillId="0" borderId="157" xfId="57" applyFont="1" applyFill="1" applyBorder="1" applyAlignment="1"/>
    <xf numFmtId="0" fontId="30" fillId="0" borderId="168" xfId="57" applyFont="1" applyFill="1" applyBorder="1" applyAlignment="1"/>
    <xf numFmtId="175" fontId="30" fillId="0" borderId="168" xfId="10" applyNumberFormat="1" applyFont="1" applyFill="1" applyBorder="1" applyAlignment="1" applyProtection="1">
      <alignment horizontal="left"/>
      <protection locked="0"/>
    </xf>
    <xf numFmtId="175" fontId="30" fillId="0" borderId="156" xfId="10" applyNumberFormat="1" applyFont="1" applyFill="1" applyBorder="1" applyAlignment="1" applyProtection="1">
      <alignment horizontal="left"/>
      <protection locked="0"/>
    </xf>
    <xf numFmtId="0" fontId="100" fillId="0" borderId="153" xfId="57" applyFont="1" applyFill="1" applyBorder="1" applyAlignment="1">
      <alignment wrapText="1"/>
    </xf>
    <xf numFmtId="0" fontId="31" fillId="0" borderId="157" xfId="57" applyFont="1" applyFill="1" applyBorder="1" applyAlignment="1"/>
    <xf numFmtId="0" fontId="31" fillId="0" borderId="168" xfId="57" applyFont="1" applyFill="1" applyBorder="1" applyAlignment="1"/>
    <xf numFmtId="0" fontId="30" fillId="0" borderId="156" xfId="57" applyFont="1" applyFill="1" applyBorder="1" applyAlignment="1"/>
    <xf numFmtId="0" fontId="30" fillId="0" borderId="153" xfId="57" applyFont="1" applyFill="1" applyBorder="1" applyAlignment="1">
      <alignment wrapText="1"/>
    </xf>
    <xf numFmtId="0" fontId="31" fillId="0" borderId="169" xfId="57" applyFont="1" applyFill="1" applyBorder="1" applyAlignment="1"/>
    <xf numFmtId="0" fontId="30" fillId="0" borderId="143" xfId="57" applyFont="1" applyFill="1" applyBorder="1" applyAlignment="1">
      <alignment wrapText="1"/>
    </xf>
    <xf numFmtId="37" fontId="30" fillId="0" borderId="143" xfId="57" applyNumberFormat="1" applyFont="1" applyFill="1" applyBorder="1" applyAlignment="1">
      <alignment wrapText="1"/>
    </xf>
    <xf numFmtId="37" fontId="30" fillId="0" borderId="143" xfId="57" applyNumberFormat="1" applyFont="1" applyFill="1" applyBorder="1" applyAlignment="1">
      <alignment horizontal="center" wrapText="1"/>
    </xf>
    <xf numFmtId="0" fontId="30" fillId="0" borderId="170" xfId="57" applyFont="1" applyFill="1" applyBorder="1" applyAlignment="1">
      <alignment horizontal="center" wrapText="1"/>
    </xf>
    <xf numFmtId="0" fontId="31" fillId="0" borderId="157" xfId="11" applyFont="1" applyFill="1" applyBorder="1" applyAlignment="1">
      <alignment horizontal="left"/>
    </xf>
    <xf numFmtId="0" fontId="31" fillId="0" borderId="168" xfId="11" applyFont="1" applyFill="1" applyBorder="1" applyAlignment="1">
      <alignment horizontal="left"/>
    </xf>
    <xf numFmtId="0" fontId="31" fillId="0" borderId="168" xfId="11" applyFont="1" applyFill="1" applyBorder="1" applyAlignment="1">
      <alignment horizontal="left" wrapText="1"/>
    </xf>
    <xf numFmtId="0" fontId="31" fillId="0" borderId="153" xfId="11" applyFont="1" applyFill="1" applyBorder="1" applyAlignment="1">
      <alignment wrapText="1"/>
    </xf>
    <xf numFmtId="37" fontId="100" fillId="0" borderId="153" xfId="57" applyNumberFormat="1" applyFont="1" applyFill="1" applyBorder="1" applyAlignment="1">
      <alignment wrapText="1"/>
    </xf>
    <xf numFmtId="0" fontId="31" fillId="0" borderId="153" xfId="57" applyFont="1" applyFill="1" applyBorder="1" applyAlignment="1">
      <alignment wrapText="1"/>
    </xf>
    <xf numFmtId="0" fontId="31" fillId="11" borderId="168" xfId="11" applyFont="1" applyFill="1" applyBorder="1" applyAlignment="1">
      <alignment horizontal="left"/>
    </xf>
    <xf numFmtId="0" fontId="31" fillId="11" borderId="168" xfId="11" applyFont="1" applyFill="1" applyBorder="1" applyAlignment="1">
      <alignment horizontal="left" wrapText="1"/>
    </xf>
    <xf numFmtId="0" fontId="31" fillId="11" borderId="153" xfId="11" applyFont="1" applyFill="1" applyBorder="1" applyAlignment="1">
      <alignment wrapText="1"/>
    </xf>
    <xf numFmtId="0" fontId="30" fillId="11" borderId="153" xfId="57" applyFont="1" applyFill="1" applyBorder="1" applyAlignment="1">
      <alignment wrapText="1"/>
    </xf>
    <xf numFmtId="37" fontId="99" fillId="11" borderId="153" xfId="57" applyNumberFormat="1" applyFont="1" applyFill="1" applyBorder="1" applyAlignment="1"/>
    <xf numFmtId="175" fontId="30" fillId="11" borderId="157" xfId="10" applyNumberFormat="1" applyFont="1" applyFill="1" applyBorder="1" applyAlignment="1" applyProtection="1">
      <alignment horizontal="left" vertical="top"/>
      <protection locked="0"/>
    </xf>
    <xf numFmtId="0" fontId="30" fillId="11" borderId="153" xfId="57" applyNumberFormat="1" applyFont="1" applyFill="1" applyBorder="1" applyAlignment="1">
      <alignment horizontal="left" vertical="top" wrapText="1"/>
    </xf>
    <xf numFmtId="0" fontId="30" fillId="0" borderId="157" xfId="57" applyFont="1" applyFill="1" applyBorder="1" applyAlignment="1">
      <alignment horizontal="center"/>
    </xf>
    <xf numFmtId="0" fontId="30" fillId="0" borderId="168" xfId="57" applyFont="1" applyFill="1" applyBorder="1" applyAlignment="1">
      <alignment horizontal="center"/>
    </xf>
    <xf numFmtId="0" fontId="30" fillId="0" borderId="156" xfId="57" applyFont="1" applyFill="1" applyBorder="1" applyAlignment="1">
      <alignment horizontal="center"/>
    </xf>
    <xf numFmtId="0" fontId="30" fillId="0" borderId="168" xfId="57" applyFont="1" applyFill="1" applyBorder="1"/>
    <xf numFmtId="0" fontId="30" fillId="0" borderId="156" xfId="57" applyFont="1" applyFill="1" applyBorder="1"/>
    <xf numFmtId="37" fontId="30" fillId="0" borderId="153" xfId="57" applyNumberFormat="1" applyFont="1" applyFill="1" applyBorder="1" applyAlignment="1"/>
    <xf numFmtId="0" fontId="31" fillId="0" borderId="157" xfId="57" applyFont="1" applyFill="1" applyBorder="1"/>
    <xf numFmtId="0" fontId="31" fillId="0" borderId="168" xfId="57" applyFont="1" applyFill="1" applyBorder="1"/>
    <xf numFmtId="37" fontId="100" fillId="0" borderId="153" xfId="57" applyNumberFormat="1" applyFont="1" applyFill="1" applyBorder="1" applyAlignment="1"/>
    <xf numFmtId="0" fontId="31" fillId="0" borderId="169" xfId="57" applyFont="1" applyFill="1" applyBorder="1"/>
    <xf numFmtId="0" fontId="30" fillId="0" borderId="143" xfId="57" applyFont="1" applyFill="1" applyBorder="1"/>
    <xf numFmtId="0" fontId="30" fillId="0" borderId="143" xfId="57" applyFont="1" applyFill="1" applyBorder="1" applyAlignment="1"/>
    <xf numFmtId="0" fontId="30" fillId="0" borderId="143" xfId="57" applyFont="1" applyFill="1" applyBorder="1" applyAlignment="1">
      <alignment horizontal="center"/>
    </xf>
    <xf numFmtId="0" fontId="30" fillId="0" borderId="170" xfId="57" applyFont="1" applyFill="1" applyBorder="1" applyAlignment="1">
      <alignment horizontal="center"/>
    </xf>
    <xf numFmtId="0" fontId="100" fillId="0" borderId="0" xfId="57" applyFont="1" applyFill="1" applyBorder="1" applyAlignment="1"/>
    <xf numFmtId="0" fontId="62" fillId="0" borderId="157" xfId="11" applyFont="1" applyFill="1" applyBorder="1" applyAlignment="1">
      <alignment horizontal="left"/>
    </xf>
    <xf numFmtId="0" fontId="62" fillId="0" borderId="168" xfId="11" applyFont="1" applyFill="1" applyBorder="1" applyAlignment="1">
      <alignment horizontal="left"/>
    </xf>
    <xf numFmtId="0" fontId="62" fillId="0" borderId="168" xfId="11" applyFont="1" applyFill="1" applyBorder="1" applyAlignment="1">
      <alignment horizontal="left" wrapText="1"/>
    </xf>
    <xf numFmtId="0" fontId="62" fillId="0" borderId="156" xfId="11" applyFont="1" applyFill="1" applyBorder="1" applyAlignment="1">
      <alignment horizontal="left" wrapText="1"/>
    </xf>
    <xf numFmtId="0" fontId="72" fillId="0" borderId="153" xfId="11" applyFont="1" applyFill="1" applyBorder="1" applyAlignment="1">
      <alignment wrapText="1"/>
    </xf>
    <xf numFmtId="0" fontId="62" fillId="0" borderId="153" xfId="57" applyFont="1" applyFill="1" applyBorder="1" applyAlignment="1">
      <alignment wrapText="1"/>
    </xf>
    <xf numFmtId="37" fontId="100" fillId="11" borderId="168" xfId="57" applyNumberFormat="1" applyFont="1" applyFill="1" applyBorder="1" applyAlignment="1">
      <alignment vertical="top"/>
    </xf>
    <xf numFmtId="37" fontId="100" fillId="11" borderId="156" xfId="57" applyNumberFormat="1" applyFont="1" applyFill="1" applyBorder="1" applyAlignment="1">
      <alignment vertical="top"/>
    </xf>
    <xf numFmtId="175" fontId="30" fillId="11" borderId="168" xfId="10" quotePrefix="1" applyNumberFormat="1" applyFont="1" applyFill="1" applyBorder="1" applyAlignment="1" applyProtection="1">
      <alignment horizontal="center" vertical="top"/>
      <protection locked="0"/>
    </xf>
    <xf numFmtId="0" fontId="31" fillId="0" borderId="153" xfId="57" applyFont="1" applyFill="1" applyBorder="1" applyAlignment="1"/>
    <xf numFmtId="0" fontId="31" fillId="0" borderId="156" xfId="57" applyFont="1" applyFill="1" applyBorder="1" applyAlignment="1"/>
    <xf numFmtId="0" fontId="31" fillId="0" borderId="153" xfId="57" applyFont="1" applyFill="1" applyBorder="1"/>
    <xf numFmtId="0" fontId="31" fillId="0" borderId="156" xfId="57" applyFont="1" applyFill="1" applyBorder="1"/>
    <xf numFmtId="37" fontId="30" fillId="11" borderId="153" xfId="57" applyNumberFormat="1" applyFont="1" applyFill="1" applyBorder="1" applyAlignment="1"/>
    <xf numFmtId="0" fontId="31" fillId="0" borderId="171" xfId="57" applyFont="1" applyFill="1" applyBorder="1"/>
    <xf numFmtId="0" fontId="31" fillId="0" borderId="170" xfId="57" applyFont="1" applyFill="1" applyBorder="1"/>
    <xf numFmtId="0" fontId="30" fillId="0" borderId="170" xfId="57" applyFont="1" applyFill="1" applyBorder="1"/>
    <xf numFmtId="38" fontId="30" fillId="0" borderId="0" xfId="57" applyNumberFormat="1" applyFont="1" applyFill="1" applyBorder="1" applyAlignment="1"/>
    <xf numFmtId="0" fontId="48" fillId="0" borderId="0" xfId="57" applyFont="1" applyFill="1" applyBorder="1" applyAlignment="1"/>
    <xf numFmtId="0" fontId="62" fillId="0" borderId="156" xfId="11" applyFont="1" applyFill="1" applyBorder="1" applyAlignment="1">
      <alignment horizontal="left"/>
    </xf>
    <xf numFmtId="38" fontId="30" fillId="0" borderId="153" xfId="57" applyNumberFormat="1" applyFont="1" applyFill="1" applyBorder="1" applyAlignment="1"/>
    <xf numFmtId="0" fontId="31" fillId="11" borderId="156" xfId="11" applyFont="1" applyFill="1" applyBorder="1" applyAlignment="1">
      <alignment horizontal="left" vertical="top"/>
    </xf>
    <xf numFmtId="0" fontId="30" fillId="11" borderId="153" xfId="57" applyFont="1" applyFill="1" applyBorder="1" applyAlignment="1">
      <alignment vertical="top" wrapText="1"/>
    </xf>
    <xf numFmtId="0" fontId="100" fillId="11" borderId="153" xfId="57" applyFont="1" applyFill="1" applyBorder="1" applyAlignment="1">
      <alignment vertical="top" wrapText="1"/>
    </xf>
    <xf numFmtId="0" fontId="30" fillId="11" borderId="156" xfId="11" applyFont="1" applyFill="1" applyBorder="1" applyAlignment="1">
      <alignment horizontal="left" vertical="top"/>
    </xf>
    <xf numFmtId="0" fontId="30" fillId="0" borderId="156" xfId="57" applyFont="1" applyFill="1" applyBorder="1" applyAlignment="1">
      <alignment horizontal="left" vertical="top" indent="1"/>
    </xf>
    <xf numFmtId="0" fontId="100" fillId="0" borderId="153" xfId="57" applyFont="1" applyFill="1" applyBorder="1" applyAlignment="1">
      <alignment vertical="top"/>
    </xf>
    <xf numFmtId="37" fontId="99" fillId="11" borderId="153" xfId="1" applyNumberFormat="1" applyFont="1" applyFill="1" applyBorder="1" applyAlignment="1">
      <alignment horizontal="right"/>
    </xf>
    <xf numFmtId="37" fontId="30" fillId="0" borderId="153" xfId="1" applyNumberFormat="1" applyFont="1" applyFill="1" applyBorder="1" applyAlignment="1">
      <alignment horizontal="right"/>
    </xf>
    <xf numFmtId="37" fontId="30" fillId="0" borderId="0" xfId="57" applyNumberFormat="1" applyFont="1" applyFill="1" applyBorder="1" applyAlignment="1"/>
    <xf numFmtId="0" fontId="30" fillId="0" borderId="17" xfId="57" applyFont="1" applyFill="1" applyBorder="1" applyAlignment="1">
      <alignment wrapText="1"/>
    </xf>
    <xf numFmtId="43" fontId="30" fillId="0" borderId="0" xfId="1" applyFill="1" applyBorder="1" applyAlignment="1"/>
    <xf numFmtId="0" fontId="30" fillId="0" borderId="0" xfId="57" applyAlignment="1"/>
    <xf numFmtId="0" fontId="53" fillId="0" borderId="0" xfId="57" applyFont="1" applyAlignment="1"/>
    <xf numFmtId="37" fontId="30" fillId="0" borderId="126" xfId="57" applyNumberFormat="1" applyFont="1" applyFill="1" applyBorder="1" applyAlignment="1"/>
    <xf numFmtId="0" fontId="131" fillId="0" borderId="0" xfId="52844" applyFont="1" applyFill="1"/>
    <xf numFmtId="0" fontId="131" fillId="0" borderId="0" xfId="52844" applyFont="1" applyFill="1" applyAlignment="1">
      <alignment horizontal="centerContinuous"/>
    </xf>
    <xf numFmtId="0" fontId="130" fillId="0" borderId="0" xfId="52844" applyFont="1" applyFill="1" applyAlignment="1">
      <alignment horizontal="centerContinuous"/>
    </xf>
    <xf numFmtId="0" fontId="130" fillId="0" borderId="0" xfId="52844" applyFont="1" applyAlignment="1">
      <alignment horizontal="centerContinuous"/>
    </xf>
    <xf numFmtId="0" fontId="130" fillId="0" borderId="0" xfId="52844" applyFont="1"/>
    <xf numFmtId="0" fontId="131" fillId="0" borderId="0" xfId="52844" quotePrefix="1" applyFont="1" applyFill="1"/>
    <xf numFmtId="0" fontId="131" fillId="0" borderId="0" xfId="52844" applyFont="1" applyAlignment="1">
      <alignment horizontal="centerContinuous"/>
    </xf>
    <xf numFmtId="0" fontId="131" fillId="0" borderId="0" xfId="52844" applyFont="1" applyFill="1" applyAlignment="1"/>
    <xf numFmtId="0" fontId="130" fillId="0" borderId="1" xfId="52844" applyFont="1" applyBorder="1"/>
    <xf numFmtId="43" fontId="130" fillId="0" borderId="1" xfId="52845" applyFont="1" applyBorder="1" applyAlignment="1"/>
    <xf numFmtId="43" fontId="130" fillId="0" borderId="0" xfId="52845" applyFont="1" applyFill="1" applyBorder="1" applyAlignment="1"/>
    <xf numFmtId="0" fontId="130" fillId="0" borderId="10" xfId="52844" applyFont="1" applyBorder="1"/>
    <xf numFmtId="0" fontId="130" fillId="0" borderId="0" xfId="52844" applyFont="1" applyBorder="1"/>
    <xf numFmtId="0" fontId="130" fillId="0" borderId="0" xfId="52844" applyFont="1" applyFill="1"/>
    <xf numFmtId="164" fontId="130" fillId="0" borderId="0" xfId="52845" applyNumberFormat="1" applyFont="1" applyFill="1" applyBorder="1" applyAlignment="1">
      <alignment horizontal="center"/>
    </xf>
    <xf numFmtId="0" fontId="130" fillId="0" borderId="8" xfId="52844" applyFont="1" applyBorder="1"/>
    <xf numFmtId="164" fontId="130" fillId="0" borderId="6" xfId="52845" applyNumberFormat="1" applyFont="1" applyFill="1" applyBorder="1" applyAlignment="1">
      <alignment horizontal="center"/>
    </xf>
    <xf numFmtId="164" fontId="130" fillId="11" borderId="6" xfId="52845" applyNumberFormat="1" applyFont="1" applyFill="1" applyBorder="1" applyAlignment="1">
      <alignment horizontal="center"/>
    </xf>
    <xf numFmtId="164" fontId="130" fillId="11" borderId="5" xfId="52845" applyNumberFormat="1" applyFont="1" applyFill="1" applyBorder="1" applyAlignment="1">
      <alignment horizontal="center"/>
    </xf>
    <xf numFmtId="164" fontId="130" fillId="0" borderId="23" xfId="52845" applyNumberFormat="1" applyFont="1" applyFill="1" applyBorder="1" applyAlignment="1">
      <alignment horizontal="center"/>
    </xf>
    <xf numFmtId="164" fontId="130" fillId="11" borderId="10" xfId="52845" applyNumberFormat="1" applyFont="1" applyFill="1" applyBorder="1" applyAlignment="1">
      <alignment horizontal="center"/>
    </xf>
    <xf numFmtId="164" fontId="130" fillId="11" borderId="11" xfId="52845" applyNumberFormat="1" applyFont="1" applyFill="1" applyBorder="1" applyAlignment="1">
      <alignment horizontal="center"/>
    </xf>
    <xf numFmtId="164" fontId="130" fillId="11" borderId="33" xfId="52845" applyNumberFormat="1" applyFont="1" applyFill="1" applyBorder="1" applyAlignment="1">
      <alignment horizontal="center"/>
    </xf>
    <xf numFmtId="0" fontId="130" fillId="0" borderId="10" xfId="52844" applyFont="1" applyBorder="1" applyAlignment="1">
      <alignment wrapText="1"/>
    </xf>
    <xf numFmtId="164" fontId="132" fillId="11" borderId="11" xfId="52845" applyNumberFormat="1" applyFont="1" applyFill="1" applyBorder="1" applyAlignment="1">
      <alignment horizontal="center" wrapText="1"/>
    </xf>
    <xf numFmtId="0" fontId="132" fillId="11" borderId="10" xfId="52844" applyFont="1" applyFill="1" applyBorder="1" applyAlignment="1">
      <alignment horizontal="center" wrapText="1"/>
    </xf>
    <xf numFmtId="0" fontId="132" fillId="11" borderId="11" xfId="52844" applyFont="1" applyFill="1" applyBorder="1" applyAlignment="1">
      <alignment horizontal="center" wrapText="1"/>
    </xf>
    <xf numFmtId="43" fontId="130" fillId="0" borderId="13" xfId="52845" applyFont="1" applyFill="1" applyBorder="1" applyAlignment="1">
      <alignment horizontal="center"/>
    </xf>
    <xf numFmtId="0" fontId="132" fillId="11" borderId="0" xfId="52844" applyFont="1" applyFill="1" applyBorder="1" applyAlignment="1">
      <alignment horizontal="center" wrapText="1"/>
    </xf>
    <xf numFmtId="164" fontId="130" fillId="0" borderId="14" xfId="52845" applyNumberFormat="1" applyFont="1" applyFill="1" applyBorder="1" applyAlignment="1">
      <alignment horizontal="center"/>
    </xf>
    <xf numFmtId="0" fontId="130" fillId="0" borderId="8" xfId="52844" applyFont="1" applyBorder="1" applyAlignment="1">
      <alignment wrapText="1"/>
    </xf>
    <xf numFmtId="164" fontId="132" fillId="11" borderId="0" xfId="52845" applyNumberFormat="1" applyFont="1" applyFill="1" applyBorder="1" applyAlignment="1">
      <alignment horizontal="center" wrapText="1"/>
    </xf>
    <xf numFmtId="0" fontId="132" fillId="11" borderId="8" xfId="52844" applyFont="1" applyFill="1" applyBorder="1" applyAlignment="1">
      <alignment horizontal="center" wrapText="1"/>
    </xf>
    <xf numFmtId="43" fontId="47" fillId="0" borderId="14" xfId="52845" applyFont="1" applyFill="1" applyBorder="1" applyAlignment="1">
      <alignment horizontal="center" wrapText="1"/>
    </xf>
    <xf numFmtId="0" fontId="130" fillId="0" borderId="24" xfId="52844" applyFont="1" applyBorder="1"/>
    <xf numFmtId="0" fontId="130" fillId="0" borderId="9" xfId="52844" applyFont="1" applyBorder="1"/>
    <xf numFmtId="164" fontId="132" fillId="11" borderId="1" xfId="52845" applyNumberFormat="1" applyFont="1" applyFill="1" applyBorder="1" applyAlignment="1">
      <alignment horizontal="center"/>
    </xf>
    <xf numFmtId="0" fontId="132" fillId="11" borderId="24" xfId="52844" applyFont="1" applyFill="1" applyBorder="1" applyAlignment="1">
      <alignment horizontal="center" wrapText="1"/>
    </xf>
    <xf numFmtId="0" fontId="132" fillId="11" borderId="1" xfId="52844" applyFont="1" applyFill="1" applyBorder="1" applyAlignment="1">
      <alignment horizontal="center" wrapText="1"/>
    </xf>
    <xf numFmtId="43" fontId="47" fillId="0" borderId="15" xfId="52845" applyFont="1" applyFill="1" applyBorder="1" applyAlignment="1">
      <alignment horizontal="center" wrapText="1"/>
    </xf>
    <xf numFmtId="164" fontId="130" fillId="0" borderId="15" xfId="52845" applyNumberFormat="1" applyFont="1" applyFill="1" applyBorder="1"/>
    <xf numFmtId="0" fontId="130" fillId="0" borderId="7" xfId="52844" applyFont="1" applyBorder="1"/>
    <xf numFmtId="164" fontId="132" fillId="11" borderId="0" xfId="52845" applyNumberFormat="1" applyFont="1" applyFill="1" applyBorder="1"/>
    <xf numFmtId="43" fontId="132" fillId="11" borderId="8" xfId="52845" applyFont="1" applyFill="1" applyBorder="1"/>
    <xf numFmtId="43" fontId="132" fillId="11" borderId="0" xfId="52845" applyFont="1" applyFill="1" applyBorder="1"/>
    <xf numFmtId="164" fontId="130" fillId="0" borderId="14" xfId="52845" applyNumberFormat="1" applyFont="1" applyFill="1" applyBorder="1"/>
    <xf numFmtId="164" fontId="132" fillId="11" borderId="8" xfId="52845" applyNumberFormat="1" applyFont="1" applyFill="1" applyBorder="1"/>
    <xf numFmtId="164" fontId="130" fillId="0" borderId="0" xfId="52845" applyNumberFormat="1" applyFont="1" applyFill="1" applyBorder="1"/>
    <xf numFmtId="164" fontId="132" fillId="11" borderId="14" xfId="52845" applyNumberFormat="1" applyFont="1" applyFill="1" applyBorder="1"/>
    <xf numFmtId="164" fontId="132" fillId="11" borderId="1" xfId="52845" applyNumberFormat="1" applyFont="1" applyFill="1" applyBorder="1"/>
    <xf numFmtId="43" fontId="132" fillId="11" borderId="24" xfId="52845" applyFont="1" applyFill="1" applyBorder="1"/>
    <xf numFmtId="43" fontId="132" fillId="11" borderId="1" xfId="52845" applyFont="1" applyFill="1" applyBorder="1"/>
    <xf numFmtId="164" fontId="132" fillId="11" borderId="24" xfId="52845" applyNumberFormat="1" applyFont="1" applyFill="1" applyBorder="1"/>
    <xf numFmtId="164" fontId="132" fillId="11" borderId="9" xfId="52845" applyNumberFormat="1" applyFont="1" applyFill="1" applyBorder="1"/>
    <xf numFmtId="0" fontId="130" fillId="0" borderId="6" xfId="52844" applyFont="1" applyFill="1" applyBorder="1"/>
    <xf numFmtId="0" fontId="130" fillId="0" borderId="5" xfId="52844" applyFont="1" applyFill="1" applyBorder="1"/>
    <xf numFmtId="0" fontId="130" fillId="0" borderId="33" xfId="52844" applyFont="1" applyFill="1" applyBorder="1"/>
    <xf numFmtId="164" fontId="130" fillId="0" borderId="1" xfId="52845" applyNumberFormat="1" applyFont="1" applyFill="1" applyBorder="1"/>
    <xf numFmtId="164" fontId="130" fillId="0" borderId="24" xfId="52845" applyNumberFormat="1" applyFont="1" applyFill="1" applyBorder="1"/>
    <xf numFmtId="164" fontId="130" fillId="0" borderId="0" xfId="52844" applyNumberFormat="1" applyFont="1"/>
    <xf numFmtId="0" fontId="130" fillId="0" borderId="24" xfId="52844" applyFont="1" applyFill="1" applyBorder="1"/>
    <xf numFmtId="0" fontId="130" fillId="0" borderId="1" xfId="52844" applyFont="1" applyFill="1" applyBorder="1"/>
    <xf numFmtId="0" fontId="130" fillId="0" borderId="9" xfId="52844" applyFont="1" applyFill="1" applyBorder="1"/>
    <xf numFmtId="164" fontId="130" fillId="0" borderId="33" xfId="52845" applyNumberFormat="1" applyFont="1" applyFill="1" applyBorder="1"/>
    <xf numFmtId="164" fontId="130" fillId="0" borderId="5" xfId="52845" applyNumberFormat="1" applyFont="1" applyFill="1" applyBorder="1"/>
    <xf numFmtId="164" fontId="130" fillId="0" borderId="6" xfId="52845" applyNumberFormat="1" applyFont="1" applyFill="1" applyBorder="1"/>
    <xf numFmtId="43" fontId="130" fillId="0" borderId="0" xfId="52845" applyFont="1" applyFill="1" applyBorder="1"/>
    <xf numFmtId="0" fontId="130" fillId="0" borderId="11" xfId="52844" applyFont="1" applyBorder="1"/>
    <xf numFmtId="164" fontId="130" fillId="11" borderId="6" xfId="52846" applyNumberFormat="1" applyFont="1" applyFill="1" applyBorder="1" applyAlignment="1">
      <alignment horizontal="center"/>
    </xf>
    <xf numFmtId="164" fontId="130" fillId="11" borderId="5" xfId="52846" applyNumberFormat="1" applyFont="1" applyFill="1" applyBorder="1" applyAlignment="1">
      <alignment horizontal="center"/>
    </xf>
    <xf numFmtId="164" fontId="130" fillId="0" borderId="23" xfId="52846" applyNumberFormat="1" applyFont="1" applyFill="1" applyBorder="1" applyAlignment="1">
      <alignment horizontal="center"/>
    </xf>
    <xf numFmtId="164" fontId="132" fillId="11" borderId="10" xfId="52846" applyNumberFormat="1" applyFont="1" applyFill="1" applyBorder="1" applyAlignment="1">
      <alignment horizontal="center" wrapText="1"/>
    </xf>
    <xf numFmtId="164" fontId="132" fillId="11" borderId="11" xfId="52846" applyNumberFormat="1" applyFont="1" applyFill="1" applyBorder="1" applyAlignment="1">
      <alignment horizontal="center" wrapText="1"/>
    </xf>
    <xf numFmtId="43" fontId="130" fillId="0" borderId="13" xfId="52846" applyFont="1" applyFill="1" applyBorder="1" applyAlignment="1">
      <alignment horizontal="center"/>
    </xf>
    <xf numFmtId="164" fontId="131" fillId="0" borderId="13" xfId="52845" applyNumberFormat="1" applyFont="1" applyFill="1" applyBorder="1" applyAlignment="1">
      <alignment horizontal="center" wrapText="1"/>
    </xf>
    <xf numFmtId="164" fontId="132" fillId="11" borderId="8" xfId="52846" applyNumberFormat="1" applyFont="1" applyFill="1" applyBorder="1" applyAlignment="1">
      <alignment horizontal="center" wrapText="1"/>
    </xf>
    <xf numFmtId="164" fontId="132" fillId="11" borderId="0" xfId="52846" applyNumberFormat="1" applyFont="1" applyFill="1" applyBorder="1" applyAlignment="1">
      <alignment horizontal="center" wrapText="1"/>
    </xf>
    <xf numFmtId="164" fontId="132" fillId="11" borderId="0" xfId="52846" applyNumberFormat="1" applyFont="1" applyFill="1" applyBorder="1" applyAlignment="1">
      <alignment horizontal="center"/>
    </xf>
    <xf numFmtId="164" fontId="130" fillId="0" borderId="14" xfId="52846" applyNumberFormat="1" applyFont="1" applyFill="1" applyBorder="1" applyAlignment="1">
      <alignment horizontal="center" wrapText="1"/>
    </xf>
    <xf numFmtId="0" fontId="47" fillId="0" borderId="13" xfId="52844" applyFont="1" applyFill="1" applyBorder="1" applyAlignment="1">
      <alignment horizontal="center" wrapText="1"/>
    </xf>
    <xf numFmtId="9" fontId="47" fillId="0" borderId="13" xfId="52844" applyNumberFormat="1" applyFont="1" applyFill="1" applyBorder="1" applyAlignment="1">
      <alignment horizontal="center" wrapText="1"/>
    </xf>
    <xf numFmtId="164" fontId="132" fillId="11" borderId="24" xfId="52846" applyNumberFormat="1" applyFont="1" applyFill="1" applyBorder="1" applyAlignment="1">
      <alignment horizontal="center"/>
    </xf>
    <xf numFmtId="164" fontId="132" fillId="11" borderId="1" xfId="52846" applyNumberFormat="1" applyFont="1" applyFill="1" applyBorder="1" applyAlignment="1">
      <alignment horizontal="center"/>
    </xf>
    <xf numFmtId="164" fontId="130" fillId="0" borderId="15" xfId="52846" applyNumberFormat="1" applyFont="1" applyFill="1" applyBorder="1" applyAlignment="1">
      <alignment horizontal="center"/>
    </xf>
    <xf numFmtId="0" fontId="47" fillId="0" borderId="15" xfId="52844" applyFont="1" applyFill="1" applyBorder="1" applyAlignment="1">
      <alignment horizontal="center" wrapText="1"/>
    </xf>
    <xf numFmtId="0" fontId="130" fillId="0" borderId="15" xfId="52844" applyFont="1" applyFill="1" applyBorder="1" applyAlignment="1">
      <alignment horizontal="center" wrapText="1"/>
    </xf>
    <xf numFmtId="164" fontId="132" fillId="11" borderId="8" xfId="52846" applyNumberFormat="1" applyFont="1" applyFill="1" applyBorder="1"/>
    <xf numFmtId="164" fontId="132" fillId="11" borderId="0" xfId="52846" applyNumberFormat="1" applyFont="1" applyFill="1" applyBorder="1"/>
    <xf numFmtId="164" fontId="130" fillId="0" borderId="14" xfId="52846" applyNumberFormat="1" applyFont="1" applyFill="1" applyBorder="1"/>
    <xf numFmtId="164" fontId="132" fillId="11" borderId="13" xfId="52844" applyNumberFormat="1" applyFont="1" applyFill="1" applyBorder="1" applyAlignment="1">
      <alignment horizontal="center" wrapText="1"/>
    </xf>
    <xf numFmtId="164" fontId="132" fillId="11" borderId="13" xfId="52844" applyNumberFormat="1" applyFont="1" applyFill="1" applyBorder="1"/>
    <xf numFmtId="164" fontId="130" fillId="0" borderId="13" xfId="52844" applyNumberFormat="1" applyFont="1" applyFill="1" applyBorder="1"/>
    <xf numFmtId="164" fontId="130" fillId="0" borderId="14" xfId="52844" applyNumberFormat="1" applyFont="1" applyFill="1" applyBorder="1"/>
    <xf numFmtId="164" fontId="132" fillId="11" borderId="14" xfId="52844" applyNumberFormat="1" applyFont="1" applyFill="1" applyBorder="1" applyAlignment="1">
      <alignment horizontal="center" wrapText="1"/>
    </xf>
    <xf numFmtId="164" fontId="132" fillId="11" borderId="14" xfId="52844" applyNumberFormat="1" applyFont="1" applyFill="1" applyBorder="1"/>
    <xf numFmtId="164" fontId="132" fillId="11" borderId="15" xfId="52844" applyNumberFormat="1" applyFont="1" applyFill="1" applyBorder="1" applyAlignment="1">
      <alignment horizontal="center" wrapText="1"/>
    </xf>
    <xf numFmtId="164" fontId="132" fillId="11" borderId="15" xfId="52844" applyNumberFormat="1" applyFont="1" applyFill="1" applyBorder="1"/>
    <xf numFmtId="164" fontId="130" fillId="0" borderId="15" xfId="52844" applyNumberFormat="1" applyFont="1" applyFill="1" applyBorder="1"/>
    <xf numFmtId="164" fontId="130" fillId="0" borderId="23" xfId="52846" applyNumberFormat="1" applyFont="1" applyFill="1" applyBorder="1"/>
    <xf numFmtId="164" fontId="130" fillId="0" borderId="23" xfId="52845" applyNumberFormat="1" applyFont="1" applyFill="1" applyBorder="1"/>
    <xf numFmtId="164" fontId="131" fillId="0" borderId="23" xfId="52845" applyNumberFormat="1" applyFont="1" applyFill="1" applyBorder="1"/>
    <xf numFmtId="43" fontId="130" fillId="0" borderId="0" xfId="52845" applyFont="1"/>
    <xf numFmtId="43" fontId="130" fillId="0" borderId="0" xfId="52844" applyNumberFormat="1" applyFont="1"/>
    <xf numFmtId="0" fontId="149" fillId="0" borderId="0" xfId="52844" applyFont="1" applyFill="1" applyAlignment="1">
      <alignment horizontal="centerContinuous"/>
    </xf>
    <xf numFmtId="0" fontId="137" fillId="0" borderId="0" xfId="52844" applyFont="1" applyAlignment="1">
      <alignment horizontal="centerContinuous"/>
    </xf>
    <xf numFmtId="164" fontId="150" fillId="0" borderId="0" xfId="52845" applyNumberFormat="1" applyFont="1" applyAlignment="1">
      <alignment horizontal="centerContinuous"/>
    </xf>
    <xf numFmtId="43" fontId="150" fillId="0" borderId="0" xfId="52845" applyFont="1" applyAlignment="1">
      <alignment horizontal="centerContinuous"/>
    </xf>
    <xf numFmtId="164" fontId="0" fillId="0" borderId="0" xfId="52845" applyNumberFormat="1" applyFont="1"/>
    <xf numFmtId="164" fontId="150" fillId="0" borderId="0" xfId="52845" applyNumberFormat="1" applyFont="1" applyFill="1" applyAlignment="1">
      <alignment horizontal="centerContinuous"/>
    </xf>
    <xf numFmtId="0" fontId="99" fillId="11" borderId="0" xfId="57" applyFont="1" applyFill="1" applyAlignment="1">
      <alignment horizontal="center"/>
    </xf>
    <xf numFmtId="164" fontId="130" fillId="0" borderId="0" xfId="52845" applyNumberFormat="1" applyFont="1"/>
    <xf numFmtId="0" fontId="130" fillId="0" borderId="12" xfId="52844" applyFont="1" applyBorder="1"/>
    <xf numFmtId="164" fontId="130" fillId="0" borderId="10" xfId="52845" applyNumberFormat="1" applyFont="1" applyFill="1" applyBorder="1" applyAlignment="1">
      <alignment horizontal="center"/>
    </xf>
    <xf numFmtId="164" fontId="130" fillId="0" borderId="13" xfId="52845" applyNumberFormat="1" applyFont="1" applyFill="1" applyBorder="1" applyAlignment="1">
      <alignment horizontal="center"/>
    </xf>
    <xf numFmtId="0" fontId="130" fillId="0" borderId="13" xfId="52844" applyFont="1" applyBorder="1" applyAlignment="1">
      <alignment wrapText="1"/>
    </xf>
    <xf numFmtId="164" fontId="132" fillId="11" borderId="10" xfId="52845" applyNumberFormat="1" applyFont="1" applyFill="1" applyBorder="1" applyAlignment="1">
      <alignment horizontal="center" wrapText="1"/>
    </xf>
    <xf numFmtId="0" fontId="130" fillId="0" borderId="14" xfId="52844" applyFont="1" applyBorder="1" applyAlignment="1">
      <alignment wrapText="1"/>
    </xf>
    <xf numFmtId="164" fontId="132" fillId="11" borderId="8" xfId="52845" applyNumberFormat="1" applyFont="1" applyFill="1" applyBorder="1" applyAlignment="1">
      <alignment horizontal="center" wrapText="1"/>
    </xf>
    <xf numFmtId="0" fontId="130" fillId="0" borderId="15" xfId="52844" applyFont="1" applyBorder="1"/>
    <xf numFmtId="0" fontId="130" fillId="0" borderId="15" xfId="52844" applyFont="1" applyBorder="1" applyAlignment="1">
      <alignment horizontal="center"/>
    </xf>
    <xf numFmtId="0" fontId="130" fillId="0" borderId="14" xfId="52844" applyFont="1" applyBorder="1"/>
    <xf numFmtId="0" fontId="132" fillId="11" borderId="8" xfId="52844" applyFont="1" applyFill="1" applyBorder="1" applyAlignment="1">
      <alignment horizontal="center"/>
    </xf>
    <xf numFmtId="0" fontId="132" fillId="11" borderId="14" xfId="52844" applyFont="1" applyFill="1" applyBorder="1" applyAlignment="1">
      <alignment horizontal="center"/>
    </xf>
    <xf numFmtId="0" fontId="5" fillId="0" borderId="0" xfId="52844"/>
    <xf numFmtId="0" fontId="130" fillId="0" borderId="6" xfId="52844" applyFont="1" applyBorder="1"/>
    <xf numFmtId="0" fontId="130" fillId="0" borderId="5" xfId="52844" applyFont="1" applyBorder="1"/>
    <xf numFmtId="0" fontId="130" fillId="0" borderId="33" xfId="52844" applyFont="1" applyBorder="1"/>
    <xf numFmtId="164" fontId="130" fillId="0" borderId="0" xfId="52845" applyNumberFormat="1" applyFont="1" applyFill="1"/>
    <xf numFmtId="43" fontId="0" fillId="0" borderId="0" xfId="52845" applyFont="1"/>
    <xf numFmtId="164" fontId="0" fillId="0" borderId="0" xfId="52845" quotePrefix="1" applyNumberFormat="1" applyFont="1"/>
    <xf numFmtId="0" fontId="132" fillId="0" borderId="8" xfId="52844" applyFont="1" applyFill="1" applyBorder="1" applyAlignment="1">
      <alignment horizontal="center"/>
    </xf>
    <xf numFmtId="0" fontId="132" fillId="0" borderId="14" xfId="52844" applyFont="1" applyFill="1" applyBorder="1" applyAlignment="1">
      <alignment horizontal="center"/>
    </xf>
    <xf numFmtId="164" fontId="132" fillId="11" borderId="7" xfId="52845" applyNumberFormat="1" applyFont="1" applyFill="1" applyBorder="1"/>
    <xf numFmtId="0" fontId="132" fillId="11" borderId="24" xfId="52844" applyFont="1" applyFill="1" applyBorder="1" applyAlignment="1">
      <alignment horizontal="center"/>
    </xf>
    <xf numFmtId="0" fontId="132" fillId="11" borderId="15" xfId="52844" applyFont="1" applyFill="1" applyBorder="1" applyAlignment="1">
      <alignment horizontal="center"/>
    </xf>
    <xf numFmtId="0" fontId="130" fillId="0" borderId="0" xfId="52844" applyFont="1" applyFill="1" applyBorder="1"/>
    <xf numFmtId="0" fontId="157" fillId="11" borderId="0" xfId="57" applyFont="1" applyFill="1" applyAlignment="1">
      <alignment horizontal="center"/>
    </xf>
    <xf numFmtId="0" fontId="32" fillId="0" borderId="0" xfId="57" applyFont="1" applyFill="1" applyAlignment="1">
      <alignment horizontal="centerContinuous"/>
    </xf>
    <xf numFmtId="0" fontId="34" fillId="0" borderId="0" xfId="57" applyFont="1" applyFill="1" applyAlignment="1">
      <alignment horizontal="centerContinuous"/>
    </xf>
    <xf numFmtId="0" fontId="146" fillId="36" borderId="0" xfId="57" applyFont="1" applyFill="1" applyAlignment="1">
      <alignment horizontal="center"/>
    </xf>
    <xf numFmtId="0" fontId="141" fillId="36" borderId="0" xfId="57" applyFont="1" applyFill="1"/>
    <xf numFmtId="0" fontId="141" fillId="36" borderId="0" xfId="57" applyFont="1" applyFill="1" applyAlignment="1">
      <alignment horizontal="center"/>
    </xf>
    <xf numFmtId="0" fontId="30" fillId="0" borderId="0" xfId="57" applyFill="1" applyAlignment="1">
      <alignment horizontal="center"/>
    </xf>
    <xf numFmtId="0" fontId="52" fillId="0" borderId="0" xfId="57" applyFont="1" applyFill="1" applyAlignment="1">
      <alignment horizontal="right"/>
    </xf>
    <xf numFmtId="0" fontId="31" fillId="0" borderId="0" xfId="57" applyFont="1" applyFill="1" applyAlignment="1"/>
    <xf numFmtId="0" fontId="99" fillId="0" borderId="0" xfId="57" applyFont="1" applyFill="1" applyAlignment="1">
      <alignment horizontal="center" vertical="top"/>
    </xf>
    <xf numFmtId="0" fontId="30" fillId="0" borderId="0" xfId="57" applyFill="1" applyAlignment="1">
      <alignment horizontal="left" vertical="center"/>
    </xf>
    <xf numFmtId="0" fontId="30" fillId="0" borderId="0" xfId="57" applyFill="1" applyAlignment="1">
      <alignment horizontal="center" vertical="center"/>
    </xf>
    <xf numFmtId="0" fontId="30" fillId="0" borderId="0" xfId="57" applyFill="1" applyAlignment="1">
      <alignment horizontal="center" vertical="top"/>
    </xf>
    <xf numFmtId="0" fontId="83" fillId="0" borderId="0" xfId="57" applyFont="1" applyFill="1" applyAlignment="1">
      <alignment horizontal="center" vertical="center"/>
    </xf>
    <xf numFmtId="0" fontId="30" fillId="0" borderId="0" xfId="57" applyFont="1" applyFill="1" applyAlignment="1">
      <alignment horizontal="left" vertical="center"/>
    </xf>
    <xf numFmtId="0" fontId="31" fillId="0" borderId="143" xfId="57" applyFont="1" applyFill="1" applyBorder="1" applyAlignment="1">
      <alignment horizontal="left" indent="1"/>
    </xf>
    <xf numFmtId="0" fontId="30" fillId="0" borderId="143" xfId="57" applyBorder="1"/>
    <xf numFmtId="37" fontId="31" fillId="0" borderId="143" xfId="1" applyNumberFormat="1" applyFont="1" applyFill="1" applyBorder="1" applyAlignment="1">
      <alignment wrapText="1"/>
    </xf>
    <xf numFmtId="0" fontId="94" fillId="0" borderId="0" xfId="57" applyFont="1"/>
    <xf numFmtId="0" fontId="30" fillId="0" borderId="0" xfId="57" applyFill="1" applyAlignment="1"/>
    <xf numFmtId="0" fontId="30" fillId="6" borderId="0" xfId="57" applyFill="1"/>
    <xf numFmtId="0" fontId="99" fillId="0" borderId="0" xfId="57" applyFont="1" applyFill="1" applyAlignment="1">
      <alignment horizontal="center" vertical="center"/>
    </xf>
    <xf numFmtId="0" fontId="30" fillId="0" borderId="0" xfId="57" applyFont="1" applyFill="1" applyAlignment="1">
      <alignment horizontal="left" vertical="center" wrapText="1"/>
    </xf>
    <xf numFmtId="0" fontId="30" fillId="0" borderId="0" xfId="57" applyFont="1" applyFill="1" applyAlignment="1">
      <alignment vertical="center" wrapText="1"/>
    </xf>
    <xf numFmtId="0" fontId="30" fillId="0" borderId="0" xfId="57" applyFill="1" applyAlignment="1">
      <alignment horizontal="center" vertical="center" wrapText="1"/>
    </xf>
    <xf numFmtId="0" fontId="31" fillId="0" borderId="143" xfId="57" applyFont="1" applyFill="1" applyBorder="1" applyAlignment="1">
      <alignment horizontal="left" vertical="center"/>
    </xf>
    <xf numFmtId="0" fontId="30" fillId="0" borderId="143" xfId="57" applyFont="1" applyFill="1" applyBorder="1" applyAlignment="1">
      <alignment horizontal="center" vertical="center"/>
    </xf>
    <xf numFmtId="37" fontId="31" fillId="0" borderId="143" xfId="57" applyNumberFormat="1" applyFont="1" applyFill="1" applyBorder="1" applyAlignment="1">
      <alignment vertical="center"/>
    </xf>
    <xf numFmtId="0" fontId="31" fillId="0" borderId="143" xfId="57" applyFont="1" applyFill="1" applyBorder="1" applyAlignment="1"/>
    <xf numFmtId="164" fontId="30" fillId="0" borderId="0" xfId="1" applyNumberFormat="1" applyFont="1" applyFill="1" applyBorder="1" applyAlignment="1"/>
    <xf numFmtId="0" fontId="30" fillId="0" borderId="1" xfId="57" applyFill="1" applyBorder="1" applyAlignment="1">
      <alignment horizontal="center"/>
    </xf>
    <xf numFmtId="0" fontId="30" fillId="0" borderId="1" xfId="57" applyFill="1" applyBorder="1" applyAlignment="1"/>
    <xf numFmtId="0" fontId="30" fillId="0" borderId="1" xfId="57" applyFont="1" applyFill="1" applyBorder="1"/>
    <xf numFmtId="164" fontId="30" fillId="0" borderId="1" xfId="1" applyNumberFormat="1" applyFont="1" applyFill="1" applyBorder="1" applyAlignment="1"/>
    <xf numFmtId="0" fontId="83" fillId="0" borderId="0" xfId="57" applyFont="1" applyFill="1" applyAlignment="1"/>
    <xf numFmtId="0" fontId="99" fillId="11" borderId="0" xfId="57" applyFont="1" applyFill="1" applyAlignment="1"/>
    <xf numFmtId="0" fontId="30" fillId="0" borderId="0" xfId="57" applyFont="1" applyFill="1" applyAlignment="1">
      <alignment horizontal="left" indent="1"/>
    </xf>
    <xf numFmtId="37" fontId="30" fillId="0" borderId="0" xfId="57" applyNumberFormat="1" applyFill="1"/>
    <xf numFmtId="0" fontId="31" fillId="0" borderId="0" xfId="57" applyFont="1" applyFill="1" applyAlignment="1">
      <alignment horizontal="left" indent="1"/>
    </xf>
    <xf numFmtId="37" fontId="31" fillId="0" borderId="0" xfId="57" applyNumberFormat="1" applyFont="1" applyFill="1"/>
    <xf numFmtId="164" fontId="30" fillId="0" borderId="0" xfId="57" applyNumberFormat="1" applyFill="1"/>
    <xf numFmtId="0" fontId="30" fillId="11" borderId="0" xfId="57" applyFont="1" applyFill="1" applyAlignment="1"/>
    <xf numFmtId="0" fontId="147" fillId="36" borderId="0" xfId="57" applyFont="1" applyFill="1" applyAlignment="1"/>
    <xf numFmtId="0" fontId="146" fillId="36" borderId="0" xfId="57" applyFont="1" applyFill="1"/>
    <xf numFmtId="0" fontId="31" fillId="0" borderId="0" xfId="57" applyFont="1" applyFill="1" applyAlignment="1">
      <alignment horizontal="center" vertical="top"/>
    </xf>
    <xf numFmtId="0" fontId="30" fillId="0" borderId="0" xfId="57" applyFont="1" applyFill="1" applyAlignment="1">
      <alignment vertical="top" wrapText="1"/>
    </xf>
    <xf numFmtId="0" fontId="41" fillId="0" borderId="0" xfId="57" applyFont="1" applyFill="1"/>
    <xf numFmtId="164" fontId="30" fillId="0" borderId="0" xfId="1" applyNumberFormat="1" applyFont="1" applyFill="1" applyAlignment="1"/>
    <xf numFmtId="0" fontId="47" fillId="0" borderId="0" xfId="57" applyFont="1" applyFill="1" applyAlignment="1">
      <alignment vertical="center" wrapText="1"/>
    </xf>
    <xf numFmtId="0" fontId="51" fillId="0" borderId="0" xfId="57" applyFont="1" applyFill="1" applyAlignment="1">
      <alignment vertical="center" wrapText="1"/>
    </xf>
    <xf numFmtId="0" fontId="30" fillId="0" borderId="1" xfId="57" applyFill="1" applyBorder="1"/>
    <xf numFmtId="0" fontId="61" fillId="0" borderId="0" xfId="57" applyFont="1" applyFill="1"/>
    <xf numFmtId="164" fontId="30" fillId="0" borderId="0" xfId="57" applyNumberFormat="1" applyFont="1" applyFill="1"/>
    <xf numFmtId="0" fontId="30" fillId="0" borderId="0" xfId="57" applyAlignment="1">
      <alignment horizontal="center"/>
    </xf>
    <xf numFmtId="0" fontId="30" fillId="0" borderId="0" xfId="57" applyFont="1" applyFill="1" applyAlignment="1">
      <alignment horizontal="center" vertical="top"/>
    </xf>
    <xf numFmtId="0" fontId="149" fillId="0" borderId="0" xfId="52847" applyFont="1" applyAlignment="1">
      <alignment horizontal="centerContinuous"/>
    </xf>
    <xf numFmtId="0" fontId="137" fillId="0" borderId="0" xfId="52847" applyFont="1" applyAlignment="1">
      <alignment horizontal="centerContinuous"/>
    </xf>
    <xf numFmtId="0" fontId="137" fillId="0" borderId="0" xfId="52847" applyFont="1"/>
    <xf numFmtId="0" fontId="5" fillId="0" borderId="0" xfId="52847"/>
    <xf numFmtId="0" fontId="139" fillId="0" borderId="0" xfId="52847" applyFont="1"/>
    <xf numFmtId="0" fontId="150" fillId="0" borderId="0" xfId="52847" applyFont="1"/>
    <xf numFmtId="0" fontId="138" fillId="0" borderId="0" xfId="52847" applyFont="1"/>
    <xf numFmtId="0" fontId="149" fillId="0" borderId="0" xfId="52847" applyFont="1"/>
    <xf numFmtId="0" fontId="151" fillId="0" borderId="0" xfId="52847" applyFont="1"/>
    <xf numFmtId="0" fontId="138" fillId="0" borderId="4" xfId="52847" applyFont="1" applyBorder="1"/>
    <xf numFmtId="0" fontId="138" fillId="0" borderId="4" xfId="52847" applyFont="1" applyBorder="1" applyAlignment="1">
      <alignment horizontal="center"/>
    </xf>
    <xf numFmtId="0" fontId="137" fillId="0" borderId="0" xfId="52847" applyFont="1" applyAlignment="1">
      <alignment horizontal="center"/>
    </xf>
    <xf numFmtId="0" fontId="159" fillId="0" borderId="4" xfId="52847" applyFont="1" applyBorder="1" applyAlignment="1">
      <alignment horizontal="center" wrapText="1"/>
    </xf>
    <xf numFmtId="0" fontId="137" fillId="11" borderId="0" xfId="52847" applyFont="1" applyFill="1"/>
    <xf numFmtId="0" fontId="137" fillId="0" borderId="0" xfId="52847" applyFont="1" applyFill="1"/>
    <xf numFmtId="37" fontId="145" fillId="11" borderId="0" xfId="52847" applyNumberFormat="1" applyFont="1" applyFill="1" applyAlignment="1">
      <alignment horizontal="right"/>
    </xf>
    <xf numFmtId="190" fontId="145" fillId="11" borderId="0" xfId="52847" applyNumberFormat="1" applyFont="1" applyFill="1" applyAlignment="1">
      <alignment horizontal="right"/>
    </xf>
    <xf numFmtId="0" fontId="145" fillId="0" borderId="0" xfId="52847" applyFont="1"/>
    <xf numFmtId="37" fontId="137" fillId="11" borderId="0" xfId="52847" applyNumberFormat="1" applyFont="1" applyFill="1" applyAlignment="1">
      <alignment horizontal="right"/>
    </xf>
    <xf numFmtId="190" fontId="137" fillId="11" borderId="0" xfId="52847" applyNumberFormat="1" applyFont="1" applyFill="1" applyAlignment="1">
      <alignment horizontal="right"/>
    </xf>
    <xf numFmtId="0" fontId="62" fillId="0" borderId="143" xfId="52847" applyFont="1" applyBorder="1"/>
    <xf numFmtId="37" fontId="138" fillId="0" borderId="143" xfId="1" applyNumberFormat="1" applyFont="1" applyFill="1" applyBorder="1"/>
    <xf numFmtId="0" fontId="137" fillId="0" borderId="0" xfId="52847" applyFont="1" applyBorder="1"/>
    <xf numFmtId="190" fontId="137" fillId="0" borderId="143" xfId="1" applyNumberFormat="1" applyFont="1" applyFill="1" applyBorder="1"/>
    <xf numFmtId="0" fontId="137" fillId="0" borderId="0" xfId="52847" applyFont="1" applyAlignment="1">
      <alignment horizontal="left" indent="1"/>
    </xf>
    <xf numFmtId="37" fontId="145" fillId="11" borderId="0" xfId="52848" applyNumberFormat="1" applyFont="1" applyFill="1"/>
    <xf numFmtId="37" fontId="145" fillId="11" borderId="4" xfId="52848" applyNumberFormat="1" applyFont="1" applyFill="1" applyBorder="1"/>
    <xf numFmtId="0" fontId="137" fillId="0" borderId="143" xfId="52847" applyFont="1" applyBorder="1"/>
    <xf numFmtId="37" fontId="137" fillId="0" borderId="0" xfId="52847" applyNumberFormat="1" applyFont="1"/>
    <xf numFmtId="164" fontId="137" fillId="0" borderId="0" xfId="52847" applyNumberFormat="1" applyFont="1"/>
    <xf numFmtId="0" fontId="138" fillId="0" borderId="143" xfId="52847" applyFont="1" applyBorder="1"/>
    <xf numFmtId="37" fontId="138" fillId="0" borderId="143" xfId="52847" applyNumberFormat="1" applyFont="1" applyBorder="1"/>
    <xf numFmtId="0" fontId="5" fillId="0" borderId="0" xfId="52847" applyFill="1"/>
    <xf numFmtId="0" fontId="91" fillId="0" borderId="0" xfId="52847" applyFont="1"/>
    <xf numFmtId="0" fontId="99" fillId="0" borderId="0" xfId="57" applyFont="1"/>
    <xf numFmtId="37" fontId="137" fillId="0" borderId="0" xfId="52847" applyNumberFormat="1" applyFont="1" applyFill="1"/>
    <xf numFmtId="37" fontId="145" fillId="11" borderId="0" xfId="52847" applyNumberFormat="1" applyFont="1" applyFill="1" applyBorder="1" applyAlignment="1">
      <alignment horizontal="center"/>
    </xf>
    <xf numFmtId="37" fontId="152" fillId="0" borderId="0" xfId="52847" applyNumberFormat="1" applyFont="1" applyFill="1"/>
    <xf numFmtId="37" fontId="137" fillId="0" borderId="0" xfId="52847" applyNumberFormat="1" applyFont="1" applyAlignment="1">
      <alignment horizontal="right"/>
    </xf>
    <xf numFmtId="37" fontId="140" fillId="0" borderId="0" xfId="0" applyNumberFormat="1" applyFont="1" applyFill="1" applyAlignment="1"/>
    <xf numFmtId="171" fontId="140" fillId="11" borderId="0" xfId="13" applyNumberFormat="1" applyFont="1" applyFill="1" applyAlignment="1">
      <alignment horizontal="right"/>
    </xf>
    <xf numFmtId="37" fontId="99" fillId="11" borderId="0" xfId="57" applyNumberFormat="1" applyFont="1" applyFill="1" applyAlignment="1"/>
    <xf numFmtId="0" fontId="130" fillId="0" borderId="0" xfId="52844" applyFont="1" applyAlignment="1">
      <alignment vertical="top"/>
    </xf>
    <xf numFmtId="0" fontId="62" fillId="0" borderId="1" xfId="57" applyFont="1" applyFill="1" applyBorder="1" applyAlignment="1">
      <alignment horizontal="center"/>
    </xf>
    <xf numFmtId="0" fontId="32" fillId="0" borderId="1" xfId="57" applyFont="1" applyFill="1" applyBorder="1" applyAlignment="1">
      <alignment horizontal="center"/>
    </xf>
    <xf numFmtId="0" fontId="32" fillId="0" borderId="1" xfId="57" applyFont="1" applyFill="1" applyBorder="1" applyAlignment="1">
      <alignment horizont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4" fillId="0" borderId="0" xfId="52849"/>
    <xf numFmtId="0" fontId="34" fillId="11" borderId="0" xfId="0" applyFont="1" applyFill="1" applyBorder="1"/>
    <xf numFmtId="0" fontId="140" fillId="11" borderId="0" xfId="0" applyFont="1" applyFill="1" applyBorder="1" applyAlignment="1">
      <alignment horizontal="left" indent="1"/>
    </xf>
    <xf numFmtId="0" fontId="140" fillId="11" borderId="0" xfId="0" applyFont="1" applyFill="1" applyBorder="1" applyAlignment="1">
      <alignment horizontal="left"/>
    </xf>
    <xf numFmtId="37" fontId="99" fillId="41" borderId="0" xfId="1" applyNumberFormat="1" applyFont="1" applyFill="1" applyAlignment="1">
      <alignment vertical="center"/>
    </xf>
    <xf numFmtId="0" fontId="31" fillId="11" borderId="157" xfId="11" applyFont="1" applyFill="1" applyBorder="1" applyAlignment="1">
      <alignment horizontal="left"/>
    </xf>
    <xf numFmtId="0" fontId="167" fillId="0" borderId="153" xfId="37" applyFont="1" applyFill="1" applyBorder="1" applyAlignment="1" applyProtection="1">
      <alignment horizontal="right" vertical="center" wrapText="1"/>
    </xf>
    <xf numFmtId="0" fontId="167" fillId="0" borderId="153" xfId="37" applyFont="1" applyFill="1" applyBorder="1" applyAlignment="1" applyProtection="1">
      <alignment vertical="center" wrapText="1"/>
    </xf>
    <xf numFmtId="181" fontId="167" fillId="0" borderId="153" xfId="37" applyNumberFormat="1" applyFont="1" applyFill="1" applyBorder="1" applyAlignment="1" applyProtection="1">
      <alignment horizontal="right" vertical="center" wrapText="1"/>
    </xf>
    <xf numFmtId="0" fontId="228" fillId="0" borderId="0" xfId="0" applyFont="1" applyBorder="1" applyAlignment="1">
      <alignment vertical="center"/>
    </xf>
    <xf numFmtId="0" fontId="229" fillId="0" borderId="8" xfId="0" applyFont="1" applyBorder="1" applyAlignment="1">
      <alignment horizontal="center"/>
    </xf>
    <xf numFmtId="0" fontId="230" fillId="0" borderId="0" xfId="0" applyFont="1" applyBorder="1" applyAlignment="1">
      <alignment horizontal="center"/>
    </xf>
    <xf numFmtId="181" fontId="185" fillId="0" borderId="39" xfId="37" applyNumberFormat="1" applyFont="1" applyFill="1" applyBorder="1" applyAlignment="1" applyProtection="1">
      <alignment vertical="center" wrapText="1"/>
    </xf>
    <xf numFmtId="0" fontId="93" fillId="10" borderId="153" xfId="37" applyFont="1" applyFill="1" applyBorder="1" applyAlignment="1" applyProtection="1">
      <alignment vertical="center"/>
    </xf>
    <xf numFmtId="0" fontId="230" fillId="0" borderId="5" xfId="0" applyFont="1" applyBorder="1" applyAlignment="1">
      <alignment vertical="center"/>
    </xf>
    <xf numFmtId="164" fontId="30" fillId="39" borderId="108" xfId="1" quotePrefix="1" applyNumberFormat="1" applyFont="1" applyFill="1" applyBorder="1" applyAlignment="1">
      <alignment horizontal="left"/>
    </xf>
    <xf numFmtId="0" fontId="0" fillId="0" borderId="158" xfId="0" applyBorder="1" applyAlignment="1">
      <alignment horizontal="center"/>
    </xf>
    <xf numFmtId="0" fontId="0" fillId="0" borderId="153" xfId="0" applyBorder="1"/>
    <xf numFmtId="0" fontId="99" fillId="11" borderId="153" xfId="57" applyFont="1" applyFill="1" applyBorder="1" applyAlignment="1">
      <alignment horizontal="left"/>
    </xf>
    <xf numFmtId="37" fontId="30" fillId="39" borderId="153" xfId="57" quotePrefix="1" applyNumberFormat="1" applyFont="1" applyFill="1" applyBorder="1" applyAlignment="1">
      <alignment horizontal="left"/>
    </xf>
    <xf numFmtId="0" fontId="99" fillId="39" borderId="153" xfId="0" applyFont="1" applyFill="1" applyBorder="1" applyAlignment="1">
      <alignment horizontal="left"/>
    </xf>
    <xf numFmtId="38" fontId="99" fillId="39" borderId="155" xfId="0" applyNumberFormat="1" applyFont="1" applyFill="1" applyBorder="1"/>
    <xf numFmtId="41" fontId="0" fillId="0" borderId="153" xfId="0" applyNumberFormat="1" applyFill="1" applyBorder="1"/>
    <xf numFmtId="37" fontId="99" fillId="11" borderId="37" xfId="0" applyNumberFormat="1" applyFont="1" applyFill="1" applyBorder="1" applyAlignment="1">
      <alignment horizontal="right" vertical="top"/>
    </xf>
    <xf numFmtId="37" fontId="30" fillId="0" borderId="126" xfId="57" quotePrefix="1" applyNumberFormat="1" applyFont="1" applyFill="1" applyBorder="1" applyAlignment="1">
      <alignment horizontal="left"/>
    </xf>
    <xf numFmtId="0" fontId="99" fillId="0" borderId="126" xfId="0" applyFont="1" applyFill="1" applyBorder="1" applyAlignment="1">
      <alignment horizontal="left"/>
    </xf>
    <xf numFmtId="38" fontId="99" fillId="0" borderId="128" xfId="0" applyNumberFormat="1" applyFont="1" applyFill="1" applyBorder="1"/>
    <xf numFmtId="37" fontId="30" fillId="0" borderId="153" xfId="57" quotePrefix="1" applyNumberFormat="1" applyFont="1" applyFill="1" applyBorder="1" applyAlignment="1">
      <alignment horizontal="left"/>
    </xf>
    <xf numFmtId="0" fontId="99" fillId="0" borderId="153" xfId="0" applyFont="1" applyFill="1" applyBorder="1" applyAlignment="1">
      <alignment horizontal="left"/>
    </xf>
    <xf numFmtId="38" fontId="99" fillId="0" borderId="155" xfId="0" applyNumberFormat="1" applyFont="1" applyFill="1" applyBorder="1"/>
    <xf numFmtId="37" fontId="0" fillId="0" borderId="22" xfId="0" applyNumberFormat="1" applyFill="1" applyBorder="1"/>
    <xf numFmtId="37" fontId="0" fillId="0" borderId="126" xfId="0" applyNumberFormat="1" applyFill="1" applyBorder="1"/>
    <xf numFmtId="0" fontId="99" fillId="0" borderId="126" xfId="57" applyFont="1" applyFill="1" applyBorder="1" applyAlignment="1">
      <alignment horizontal="left"/>
    </xf>
    <xf numFmtId="37" fontId="0" fillId="0" borderId="153" xfId="0" applyNumberFormat="1" applyFill="1" applyBorder="1"/>
    <xf numFmtId="0" fontId="99" fillId="0" borderId="153" xfId="57" applyFont="1" applyFill="1" applyBorder="1" applyAlignment="1">
      <alignment horizontal="left"/>
    </xf>
    <xf numFmtId="0" fontId="0" fillId="0" borderId="22" xfId="0" applyFill="1" applyBorder="1"/>
    <xf numFmtId="37" fontId="99" fillId="0" borderId="153" xfId="57" quotePrefix="1" applyNumberFormat="1" applyFont="1" applyFill="1" applyBorder="1" applyAlignment="1">
      <alignment horizontal="left"/>
    </xf>
    <xf numFmtId="0" fontId="99" fillId="11" borderId="153" xfId="0" applyFont="1" applyFill="1" applyBorder="1" applyAlignment="1">
      <alignment horizontal="left"/>
    </xf>
    <xf numFmtId="0" fontId="30" fillId="0" borderId="153" xfId="0" applyFont="1" applyFill="1" applyBorder="1"/>
    <xf numFmtId="164" fontId="30" fillId="0" borderId="153" xfId="1" quotePrefix="1" applyNumberFormat="1" applyFont="1" applyFill="1" applyBorder="1" applyAlignment="1">
      <alignment horizontal="left"/>
    </xf>
    <xf numFmtId="38" fontId="30" fillId="39" borderId="153" xfId="0" quotePrefix="1" applyNumberFormat="1" applyFont="1" applyFill="1" applyBorder="1"/>
    <xf numFmtId="38" fontId="30" fillId="0" borderId="153" xfId="0" quotePrefix="1" applyNumberFormat="1" applyFont="1" applyFill="1" applyBorder="1"/>
    <xf numFmtId="37" fontId="30" fillId="0" borderId="153" xfId="0" applyNumberFormat="1" applyFont="1" applyFill="1" applyBorder="1"/>
    <xf numFmtId="0" fontId="30" fillId="0" borderId="153" xfId="0" applyFont="1" applyBorder="1" applyAlignment="1">
      <alignment horizontal="center"/>
    </xf>
    <xf numFmtId="38" fontId="157" fillId="39" borderId="153" xfId="0" applyNumberFormat="1" applyFont="1" applyFill="1" applyBorder="1"/>
    <xf numFmtId="37" fontId="157" fillId="11" borderId="153" xfId="0" applyNumberFormat="1" applyFont="1" applyFill="1" applyBorder="1"/>
    <xf numFmtId="0" fontId="0" fillId="39" borderId="153" xfId="13" applyNumberFormat="1" applyFont="1" applyFill="1" applyBorder="1" applyAlignment="1">
      <alignment horizontal="center"/>
    </xf>
    <xf numFmtId="0" fontId="99" fillId="39" borderId="153" xfId="0" applyFont="1" applyFill="1" applyBorder="1"/>
    <xf numFmtId="38" fontId="30" fillId="39" borderId="37" xfId="0" quotePrefix="1" applyNumberFormat="1" applyFont="1" applyFill="1" applyBorder="1" applyAlignment="1">
      <alignment horizontal="left"/>
    </xf>
    <xf numFmtId="0" fontId="90" fillId="0" borderId="0" xfId="0" applyFont="1" applyAlignment="1">
      <alignment horizontal="left"/>
    </xf>
    <xf numFmtId="0" fontId="93" fillId="10" borderId="153" xfId="37" applyFont="1" applyFill="1" applyBorder="1" applyAlignment="1" applyProtection="1">
      <alignment horizontal="center" vertical="center"/>
    </xf>
    <xf numFmtId="3" fontId="34" fillId="11" borderId="187" xfId="37" applyNumberFormat="1" applyFont="1" applyFill="1" applyBorder="1" applyAlignment="1">
      <alignment horizontal="center"/>
    </xf>
    <xf numFmtId="4" fontId="34" fillId="0" borderId="0" xfId="37" applyNumberFormat="1" applyFont="1" applyBorder="1" applyAlignment="1"/>
    <xf numFmtId="0" fontId="34" fillId="0" borderId="0" xfId="37" applyFont="1" applyFill="1" applyBorder="1" applyAlignment="1">
      <alignment horizontal="right" wrapText="1"/>
    </xf>
    <xf numFmtId="0" fontId="34" fillId="0" borderId="0" xfId="37" applyFont="1" applyBorder="1" applyAlignment="1">
      <alignment horizontal="right"/>
    </xf>
    <xf numFmtId="4" fontId="34" fillId="0" borderId="0" xfId="37" applyNumberFormat="1" applyFont="1" applyFill="1" applyBorder="1" applyAlignment="1">
      <alignment horizontal="center" wrapText="1"/>
    </xf>
    <xf numFmtId="3" fontId="34" fillId="0" borderId="0" xfId="37" applyNumberFormat="1" applyFont="1" applyFill="1" applyBorder="1" applyAlignment="1">
      <alignment horizontal="right" wrapText="1"/>
    </xf>
    <xf numFmtId="0" fontId="100" fillId="11" borderId="189" xfId="57" applyFont="1" applyFill="1" applyBorder="1"/>
    <xf numFmtId="0" fontId="100" fillId="11" borderId="190" xfId="57" applyFont="1" applyFill="1" applyBorder="1"/>
    <xf numFmtId="42" fontId="99" fillId="11" borderId="190" xfId="57" applyNumberFormat="1" applyFont="1" applyFill="1" applyBorder="1" applyAlignment="1">
      <alignment horizontal="right"/>
    </xf>
    <xf numFmtId="42" fontId="96" fillId="0" borderId="191" xfId="57" applyNumberFormat="1" applyFont="1" applyFill="1" applyBorder="1" applyAlignment="1">
      <alignment horizontal="right"/>
    </xf>
    <xf numFmtId="42" fontId="96" fillId="0" borderId="190" xfId="57" applyNumberFormat="1" applyFont="1" applyFill="1" applyBorder="1" applyAlignment="1">
      <alignment horizontal="right"/>
    </xf>
    <xf numFmtId="0" fontId="99" fillId="11" borderId="192" xfId="57" applyFont="1" applyFill="1" applyBorder="1"/>
    <xf numFmtId="0" fontId="142" fillId="37" borderId="80" xfId="0" applyFont="1" applyFill="1" applyBorder="1" applyAlignment="1"/>
    <xf numFmtId="164" fontId="34" fillId="0" borderId="8" xfId="37" applyNumberFormat="1" applyFont="1" applyFill="1" applyBorder="1"/>
    <xf numFmtId="0" fontId="30" fillId="0" borderId="7" xfId="37" applyFont="1" applyBorder="1"/>
    <xf numFmtId="164" fontId="30" fillId="0" borderId="0" xfId="57" applyNumberFormat="1" applyFont="1" applyFill="1" applyAlignment="1">
      <alignment vertical="top"/>
    </xf>
    <xf numFmtId="0" fontId="130" fillId="0" borderId="0" xfId="52844" applyFont="1" applyFill="1" applyAlignment="1">
      <alignment vertical="top"/>
    </xf>
    <xf numFmtId="0" fontId="130" fillId="0" borderId="8" xfId="52844" applyFont="1" applyBorder="1" applyAlignment="1">
      <alignment vertical="top" wrapText="1"/>
    </xf>
    <xf numFmtId="0" fontId="130" fillId="0" borderId="14" xfId="52844" applyFont="1" applyBorder="1" applyAlignment="1">
      <alignment vertical="top" wrapText="1"/>
    </xf>
    <xf numFmtId="164" fontId="132" fillId="11" borderId="8"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xf>
    <xf numFmtId="164" fontId="130" fillId="0" borderId="14" xfId="52846" applyNumberFormat="1" applyFont="1" applyFill="1" applyBorder="1" applyAlignment="1">
      <alignment horizontal="center" vertical="top" wrapText="1"/>
    </xf>
    <xf numFmtId="0" fontId="47" fillId="0" borderId="13" xfId="52844" applyFont="1" applyFill="1" applyBorder="1" applyAlignment="1">
      <alignment horizontal="center" vertical="top" wrapText="1"/>
    </xf>
    <xf numFmtId="0" fontId="130" fillId="0" borderId="0" xfId="52844" applyFont="1" applyAlignment="1">
      <alignment vertical="center"/>
    </xf>
    <xf numFmtId="0" fontId="130" fillId="0" borderId="10" xfId="52844" applyFont="1" applyBorder="1" applyAlignment="1">
      <alignment vertical="center" wrapText="1"/>
    </xf>
    <xf numFmtId="0" fontId="130" fillId="0" borderId="13" xfId="52844" applyFont="1" applyBorder="1" applyAlignment="1">
      <alignment vertical="center" wrapText="1"/>
    </xf>
    <xf numFmtId="0" fontId="130" fillId="0" borderId="12" xfId="52844" applyFont="1" applyBorder="1" applyAlignment="1">
      <alignment vertical="center" wrapText="1"/>
    </xf>
    <xf numFmtId="164" fontId="132" fillId="11" borderId="10" xfId="52846"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wrapText="1"/>
    </xf>
    <xf numFmtId="43" fontId="130" fillId="0" borderId="13" xfId="52846" applyFont="1" applyFill="1" applyBorder="1" applyAlignment="1">
      <alignment horizontal="center" vertical="center"/>
    </xf>
    <xf numFmtId="0" fontId="130" fillId="0" borderId="0" xfId="52844" applyFont="1" applyFill="1" applyAlignment="1">
      <alignment vertical="center"/>
    </xf>
    <xf numFmtId="164" fontId="131" fillId="0" borderId="13" xfId="52845"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xf>
    <xf numFmtId="164" fontId="132" fillId="11" borderId="24" xfId="52846" applyNumberFormat="1" applyFont="1" applyFill="1" applyBorder="1" applyAlignment="1">
      <alignment horizontal="center" vertical="center"/>
    </xf>
    <xf numFmtId="164" fontId="132" fillId="11" borderId="1" xfId="52846" applyNumberFormat="1" applyFont="1" applyFill="1" applyBorder="1" applyAlignment="1">
      <alignment horizontal="center" vertical="center"/>
    </xf>
    <xf numFmtId="0" fontId="130" fillId="0" borderId="24" xfId="52844" applyFont="1" applyBorder="1" applyAlignment="1">
      <alignment horizontal="center" vertical="center"/>
    </xf>
    <xf numFmtId="0" fontId="130" fillId="0" borderId="15" xfId="52844" applyFont="1" applyBorder="1" applyAlignment="1">
      <alignment horizontal="center" vertical="center"/>
    </xf>
    <xf numFmtId="0" fontId="130" fillId="0" borderId="7" xfId="52844" applyFont="1" applyBorder="1" applyAlignment="1">
      <alignment horizontal="center" vertic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130" fillId="0" borderId="13" xfId="52844" applyFont="1" applyBorder="1"/>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43" fontId="132" fillId="11" borderId="0" xfId="52845" applyNumberFormat="1" applyFont="1" applyFill="1" applyBorder="1"/>
    <xf numFmtId="0" fontId="10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left"/>
      <protection locked="0"/>
    </xf>
    <xf numFmtId="37" fontId="204" fillId="11" borderId="153" xfId="57" applyNumberFormat="1" applyFont="1" applyFill="1" applyBorder="1" applyAlignment="1">
      <alignment vertical="top" wrapText="1"/>
    </xf>
    <xf numFmtId="37" fontId="205" fillId="11" borderId="153" xfId="57" applyNumberFormat="1" applyFont="1" applyFill="1" applyBorder="1" applyAlignment="1">
      <alignment vertical="top" wrapText="1"/>
    </xf>
    <xf numFmtId="37" fontId="205" fillId="11" borderId="0" xfId="57" applyNumberFormat="1" applyFont="1" applyFill="1" applyBorder="1" applyAlignment="1">
      <alignment vertical="top" wrapText="1"/>
    </xf>
    <xf numFmtId="175" fontId="31" fillId="11" borderId="157" xfId="10" applyNumberFormat="1" applyFont="1" applyFill="1" applyBorder="1" applyAlignment="1" applyProtection="1">
      <alignment horizontal="left" vertical="top"/>
      <protection locked="0"/>
    </xf>
    <xf numFmtId="175" fontId="31" fillId="11" borderId="168" xfId="10" applyNumberFormat="1" applyFont="1" applyFill="1" applyBorder="1" applyAlignment="1" applyProtection="1">
      <alignment horizontal="left" vertical="top"/>
      <protection locked="0"/>
    </xf>
    <xf numFmtId="37" fontId="99" fillId="11" borderId="153" xfId="57" applyNumberFormat="1" applyFont="1" applyFill="1" applyBorder="1" applyAlignment="1">
      <alignment vertical="top" wrapText="1"/>
    </xf>
    <xf numFmtId="37" fontId="99" fillId="11" borderId="153" xfId="57" applyNumberFormat="1" applyFont="1" applyFill="1" applyBorder="1" applyAlignment="1">
      <alignment vertical="top"/>
    </xf>
    <xf numFmtId="38" fontId="30" fillId="11" borderId="153" xfId="57" applyNumberFormat="1" applyFont="1" applyFill="1" applyBorder="1" applyAlignment="1">
      <alignment vertical="top"/>
    </xf>
    <xf numFmtId="37" fontId="30" fillId="11" borderId="153" xfId="57" applyNumberFormat="1" applyFont="1" applyFill="1" applyBorder="1" applyAlignment="1">
      <alignment vertical="top" wrapText="1"/>
    </xf>
    <xf numFmtId="0" fontId="30" fillId="11" borderId="153" xfId="57" applyFont="1" applyFill="1" applyBorder="1" applyAlignment="1">
      <alignment horizontal="left" vertical="top"/>
    </xf>
    <xf numFmtId="0" fontId="30" fillId="0" borderId="37" xfId="0" applyFont="1" applyFill="1" applyBorder="1" applyAlignment="1">
      <alignment horizontal="center" vertical="top"/>
    </xf>
    <xf numFmtId="0" fontId="30" fillId="39" borderId="37" xfId="0" applyFont="1" applyFill="1" applyBorder="1" applyAlignment="1">
      <alignment vertical="top"/>
    </xf>
    <xf numFmtId="38" fontId="157" fillId="39" borderId="37" xfId="0" applyNumberFormat="1" applyFont="1" applyFill="1" applyBorder="1" applyAlignment="1">
      <alignment vertical="top"/>
    </xf>
    <xf numFmtId="38" fontId="157" fillId="11" borderId="37" xfId="0" applyNumberFormat="1" applyFont="1" applyFill="1" applyBorder="1" applyAlignment="1">
      <alignment vertical="top"/>
    </xf>
    <xf numFmtId="0" fontId="30" fillId="0" borderId="37" xfId="0" applyFont="1" applyBorder="1" applyAlignment="1">
      <alignment horizontal="center" vertical="top"/>
    </xf>
    <xf numFmtId="37" fontId="30" fillId="39" borderId="37" xfId="0" quotePrefix="1" applyNumberFormat="1" applyFont="1" applyFill="1" applyBorder="1" applyAlignment="1">
      <alignment horizontal="left" vertical="top"/>
    </xf>
    <xf numFmtId="0" fontId="30" fillId="39" borderId="37" xfId="0" applyFont="1" applyFill="1" applyBorder="1" applyAlignment="1">
      <alignment horizontal="center" vertical="top"/>
    </xf>
    <xf numFmtId="0" fontId="99" fillId="39" borderId="37" xfId="0" applyFont="1" applyFill="1" applyBorder="1" applyAlignment="1">
      <alignment horizontal="left" vertical="top"/>
    </xf>
    <xf numFmtId="0" fontId="99" fillId="39" borderId="39" xfId="0" applyFont="1" applyFill="1" applyBorder="1" applyAlignment="1">
      <alignment vertical="top" wrapText="1"/>
    </xf>
    <xf numFmtId="171" fontId="0" fillId="0" borderId="0" xfId="13" applyNumberFormat="1" applyFont="1"/>
    <xf numFmtId="171" fontId="0" fillId="0" borderId="0" xfId="0" applyNumberFormat="1"/>
    <xf numFmtId="0" fontId="30" fillId="0" borderId="37" xfId="0" applyFont="1" applyBorder="1" applyAlignment="1">
      <alignment vertical="top" wrapText="1"/>
    </xf>
    <xf numFmtId="0" fontId="99" fillId="0" borderId="157" xfId="0" applyFont="1" applyFill="1" applyBorder="1" applyAlignment="1">
      <alignment horizontal="left" vertical="top" wrapText="1"/>
    </xf>
    <xf numFmtId="0" fontId="141" fillId="38" borderId="5" xfId="0" applyFont="1" applyFill="1" applyBorder="1" applyAlignment="1"/>
    <xf numFmtId="0" fontId="230" fillId="0" borderId="0" xfId="0" applyFont="1" applyBorder="1" applyAlignment="1">
      <alignment horizontal="right"/>
    </xf>
    <xf numFmtId="37" fontId="30" fillId="39" borderId="28" xfId="57" quotePrefix="1" applyNumberFormat="1" applyFont="1" applyFill="1" applyBorder="1" applyAlignment="1">
      <alignment horizontal="right"/>
    </xf>
    <xf numFmtId="37" fontId="30" fillId="39" borderId="108" xfId="57" quotePrefix="1" applyNumberFormat="1" applyFont="1" applyFill="1" applyBorder="1" applyAlignment="1">
      <alignment horizontal="right"/>
    </xf>
    <xf numFmtId="37" fontId="30" fillId="39" borderId="153" xfId="57" quotePrefix="1" applyNumberFormat="1" applyFont="1" applyFill="1" applyBorder="1" applyAlignment="1">
      <alignment horizontal="right"/>
    </xf>
    <xf numFmtId="37" fontId="30" fillId="0" borderId="126" xfId="57" quotePrefix="1" applyNumberFormat="1" applyFont="1" applyFill="1" applyBorder="1" applyAlignment="1">
      <alignment horizontal="right"/>
    </xf>
    <xf numFmtId="37" fontId="30" fillId="39" borderId="126" xfId="57" quotePrefix="1" applyNumberFormat="1" applyFont="1" applyFill="1" applyBorder="1" applyAlignment="1">
      <alignment horizontal="right"/>
    </xf>
    <xf numFmtId="37" fontId="30" fillId="0" borderId="153" xfId="57" quotePrefix="1" applyNumberFormat="1" applyFont="1" applyFill="1" applyBorder="1" applyAlignment="1">
      <alignment horizontal="right"/>
    </xf>
    <xf numFmtId="0" fontId="137" fillId="0" borderId="190" xfId="5916" applyBorder="1"/>
    <xf numFmtId="0" fontId="137" fillId="0" borderId="190" xfId="5916" applyBorder="1" applyAlignment="1">
      <alignment horizontal="center"/>
    </xf>
    <xf numFmtId="0" fontId="138" fillId="0" borderId="190" xfId="5916" applyFont="1" applyBorder="1" applyAlignment="1">
      <alignment horizontal="center"/>
    </xf>
    <xf numFmtId="0" fontId="138" fillId="0" borderId="190" xfId="5916" applyFont="1" applyFill="1" applyBorder="1" applyAlignment="1">
      <alignment horizontal="center"/>
    </xf>
    <xf numFmtId="43" fontId="62" fillId="0" borderId="190" xfId="5854" applyFont="1" applyBorder="1" applyAlignment="1">
      <alignment horizontal="center" wrapText="1"/>
    </xf>
    <xf numFmtId="0" fontId="138" fillId="0" borderId="190" xfId="5916" applyFont="1" applyBorder="1" applyAlignment="1">
      <alignment horizontal="center" wrapText="1"/>
    </xf>
    <xf numFmtId="0" fontId="138" fillId="0" borderId="190" xfId="5916" applyFont="1" applyFill="1" applyBorder="1" applyAlignment="1">
      <alignment horizontal="center" wrapText="1"/>
    </xf>
    <xf numFmtId="0" fontId="53" fillId="0" borderId="190" xfId="5916" quotePrefix="1" applyFont="1" applyBorder="1"/>
    <xf numFmtId="0" fontId="53" fillId="0" borderId="190" xfId="5916" applyFont="1" applyBorder="1"/>
    <xf numFmtId="0" fontId="137" fillId="0" borderId="190" xfId="5916" applyFill="1" applyBorder="1" applyAlignment="1">
      <alignment horizontal="center"/>
    </xf>
    <xf numFmtId="43" fontId="53" fillId="0" borderId="190" xfId="5854" applyFont="1" applyBorder="1"/>
    <xf numFmtId="0" fontId="137" fillId="0" borderId="190" xfId="5916" applyBorder="1" applyAlignment="1">
      <alignment wrapText="1"/>
    </xf>
    <xf numFmtId="164" fontId="145" fillId="0" borderId="190" xfId="11120" applyNumberFormat="1" applyFont="1" applyBorder="1"/>
    <xf numFmtId="164" fontId="145" fillId="0" borderId="190" xfId="5916" applyNumberFormat="1" applyFont="1" applyBorder="1"/>
    <xf numFmtId="164" fontId="145" fillId="0" borderId="190" xfId="16083" applyNumberFormat="1" applyFont="1" applyBorder="1"/>
    <xf numFmtId="164" fontId="137" fillId="0" borderId="190" xfId="5916" applyNumberFormat="1" applyFont="1" applyFill="1" applyBorder="1"/>
    <xf numFmtId="164" fontId="53" fillId="0" borderId="190" xfId="5854" applyNumberFormat="1" applyFont="1" applyBorder="1"/>
    <xf numFmtId="164" fontId="62" fillId="0" borderId="190" xfId="5854" applyNumberFormat="1" applyFont="1" applyBorder="1"/>
    <xf numFmtId="43" fontId="53" fillId="0" borderId="190" xfId="5854" applyNumberFormat="1" applyFont="1" applyBorder="1"/>
    <xf numFmtId="43" fontId="62" fillId="0" borderId="190" xfId="5854" applyNumberFormat="1" applyFont="1" applyBorder="1"/>
    <xf numFmtId="164" fontId="145" fillId="0" borderId="190" xfId="16083" applyNumberFormat="1" applyFont="1" applyFill="1" applyBorder="1"/>
    <xf numFmtId="0" fontId="187" fillId="0" borderId="190" xfId="16084" applyFont="1" applyBorder="1"/>
    <xf numFmtId="164" fontId="145" fillId="11" borderId="190" xfId="16083" applyNumberFormat="1" applyFont="1" applyFill="1" applyBorder="1"/>
    <xf numFmtId="0" fontId="7" fillId="0" borderId="190" xfId="16084" applyBorder="1"/>
    <xf numFmtId="0" fontId="7" fillId="0" borderId="190" xfId="16084" applyFill="1" applyBorder="1"/>
    <xf numFmtId="164" fontId="145" fillId="0" borderId="190" xfId="5854" applyNumberFormat="1" applyFont="1" applyBorder="1"/>
    <xf numFmtId="0" fontId="137" fillId="0" borderId="190" xfId="5916" applyFill="1" applyBorder="1" applyAlignment="1">
      <alignment horizontal="center" wrapText="1"/>
    </xf>
    <xf numFmtId="0" fontId="57" fillId="0" borderId="190" xfId="11130" applyFont="1" applyBorder="1" applyAlignment="1">
      <alignment horizontal="center"/>
    </xf>
    <xf numFmtId="0" fontId="57" fillId="0" borderId="190" xfId="45" applyFont="1" applyBorder="1" applyAlignment="1">
      <alignment horizontal="center"/>
    </xf>
    <xf numFmtId="0" fontId="168" fillId="0" borderId="190" xfId="45" applyFont="1" applyFill="1" applyBorder="1" applyAlignment="1">
      <alignment horizontal="center"/>
    </xf>
    <xf numFmtId="164" fontId="34" fillId="0" borderId="0" xfId="1" applyNumberFormat="1" applyFont="1" applyFill="1"/>
    <xf numFmtId="164" fontId="231" fillId="0" borderId="8" xfId="0" applyNumberFormat="1" applyFont="1" applyBorder="1"/>
    <xf numFmtId="164" fontId="231" fillId="0" borderId="0" xfId="0" applyNumberFormat="1" applyFont="1" applyBorder="1"/>
    <xf numFmtId="164" fontId="231" fillId="0" borderId="0" xfId="1" applyNumberFormat="1" applyFont="1" applyFill="1" applyBorder="1"/>
    <xf numFmtId="0" fontId="30" fillId="85" borderId="0" xfId="57" applyFont="1" applyFill="1"/>
    <xf numFmtId="0" fontId="30" fillId="85" borderId="0" xfId="57" applyFill="1"/>
    <xf numFmtId="37" fontId="34" fillId="0" borderId="8" xfId="0" applyNumberFormat="1" applyFont="1" applyFill="1" applyBorder="1"/>
    <xf numFmtId="0" fontId="145" fillId="85" borderId="0" xfId="52847" applyFont="1" applyFill="1"/>
    <xf numFmtId="0" fontId="30" fillId="85" borderId="0" xfId="57" applyFont="1" applyFill="1" applyAlignment="1"/>
    <xf numFmtId="0" fontId="40" fillId="0" borderId="0" xfId="0" applyFont="1" applyFill="1" applyAlignment="1">
      <alignment horizontal="centerContinuous"/>
    </xf>
    <xf numFmtId="0" fontId="32" fillId="0" borderId="0" xfId="0" applyFont="1" applyFill="1" applyAlignment="1">
      <alignment horizontal="centerContinuous"/>
    </xf>
    <xf numFmtId="0" fontId="34" fillId="0" borderId="8" xfId="37" applyFont="1" applyFill="1" applyBorder="1"/>
    <xf numFmtId="0" fontId="34" fillId="0" borderId="8" xfId="37" applyFont="1" applyFill="1" applyBorder="1" applyAlignment="1">
      <alignment horizontal="center"/>
    </xf>
    <xf numFmtId="37" fontId="34" fillId="0" borderId="8" xfId="37" applyNumberFormat="1" applyFont="1" applyFill="1" applyBorder="1"/>
    <xf numFmtId="0" fontId="30" fillId="0" borderId="8" xfId="37" applyFont="1" applyFill="1" applyBorder="1"/>
    <xf numFmtId="0" fontId="34" fillId="0" borderId="8" xfId="0" applyFont="1" applyFill="1" applyBorder="1"/>
    <xf numFmtId="0" fontId="142" fillId="0" borderId="79" xfId="0" applyFont="1" applyFill="1" applyBorder="1" applyAlignment="1"/>
    <xf numFmtId="43" fontId="99" fillId="11" borderId="45" xfId="62576" applyFont="1" applyFill="1" applyBorder="1" applyAlignment="1">
      <alignment horizontal="right" vertical="top"/>
    </xf>
    <xf numFmtId="43" fontId="99" fillId="0" borderId="45" xfId="62576" applyFont="1" applyFill="1" applyBorder="1" applyAlignment="1">
      <alignment horizontal="right" vertical="top"/>
    </xf>
    <xf numFmtId="0" fontId="145" fillId="0" borderId="0" xfId="29" applyFont="1"/>
    <xf numFmtId="0" fontId="0" fillId="0" borderId="0" xfId="1" applyNumberFormat="1" applyFont="1" applyFill="1" applyAlignment="1">
      <alignment wrapText="1"/>
    </xf>
    <xf numFmtId="0" fontId="79" fillId="0" borderId="0" xfId="37" quotePrefix="1" applyFont="1" applyFill="1" applyBorder="1" applyAlignment="1">
      <alignment vertical="top" wrapText="1"/>
    </xf>
    <xf numFmtId="171" fontId="79" fillId="0" borderId="0" xfId="13" quotePrefix="1" applyNumberFormat="1" applyFont="1" applyFill="1" applyBorder="1" applyAlignment="1">
      <alignment horizontal="left" vertical="top" wrapText="1"/>
    </xf>
    <xf numFmtId="43" fontId="34" fillId="0" borderId="7" xfId="1" applyFont="1" applyFill="1" applyBorder="1" applyAlignment="1">
      <alignment horizontal="center" wrapText="1"/>
    </xf>
    <xf numFmtId="43" fontId="34" fillId="0" borderId="0" xfId="1" applyFont="1"/>
    <xf numFmtId="43" fontId="30" fillId="0" borderId="0" xfId="1" applyFont="1"/>
    <xf numFmtId="43" fontId="34" fillId="0" borderId="0" xfId="1" applyFont="1" applyFill="1" applyBorder="1" applyAlignment="1">
      <alignment horizontal="right" wrapText="1"/>
    </xf>
    <xf numFmtId="43" fontId="34" fillId="0" borderId="0" xfId="1" applyFont="1" applyFill="1" applyBorder="1" applyAlignment="1">
      <alignment horizontal="center"/>
    </xf>
    <xf numFmtId="0" fontId="187" fillId="0" borderId="190" xfId="16084" applyFont="1" applyFill="1" applyBorder="1"/>
    <xf numFmtId="0" fontId="53" fillId="0" borderId="190" xfId="5916" applyFont="1" applyFill="1" applyBorder="1"/>
    <xf numFmtId="164" fontId="137" fillId="0" borderId="190" xfId="5854" applyNumberFormat="1" applyFont="1" applyFill="1" applyBorder="1"/>
    <xf numFmtId="43" fontId="53" fillId="0" borderId="190" xfId="5854" applyNumberFormat="1" applyFont="1" applyFill="1" applyBorder="1"/>
    <xf numFmtId="164" fontId="53" fillId="0" borderId="190" xfId="5854" applyNumberFormat="1" applyFont="1" applyFill="1" applyBorder="1"/>
    <xf numFmtId="0" fontId="7" fillId="0" borderId="0" xfId="16084" applyFill="1"/>
    <xf numFmtId="164" fontId="138" fillId="0" borderId="190" xfId="5854" applyNumberFormat="1" applyFont="1" applyFill="1" applyBorder="1"/>
    <xf numFmtId="43" fontId="62" fillId="0" borderId="190" xfId="5854" applyNumberFormat="1" applyFont="1" applyFill="1" applyBorder="1"/>
    <xf numFmtId="0" fontId="99" fillId="0" borderId="0" xfId="0" applyFont="1"/>
    <xf numFmtId="3" fontId="99" fillId="11" borderId="194" xfId="57" applyNumberFormat="1" applyFont="1" applyFill="1" applyBorder="1" applyAlignment="1">
      <alignment horizontal="right"/>
    </xf>
    <xf numFmtId="0" fontId="99" fillId="11" borderId="194" xfId="57" applyFont="1" applyFill="1" applyBorder="1"/>
    <xf numFmtId="0" fontId="99" fillId="11" borderId="195" xfId="57" applyFont="1" applyFill="1" applyBorder="1" applyAlignment="1">
      <alignment horizontal="left" vertical="top" wrapText="1"/>
    </xf>
    <xf numFmtId="0" fontId="99" fillId="11" borderId="196" xfId="57" applyFont="1" applyFill="1" applyBorder="1" applyAlignment="1">
      <alignment horizontal="left" vertical="top" indent="2"/>
    </xf>
    <xf numFmtId="0" fontId="99" fillId="11" borderId="197" xfId="57" applyFont="1" applyFill="1" applyBorder="1" applyAlignment="1">
      <alignment horizontal="left" indent="2"/>
    </xf>
    <xf numFmtId="0" fontId="99" fillId="11" borderId="21" xfId="57" applyFont="1" applyFill="1" applyBorder="1" applyAlignment="1">
      <alignment horizontal="left" indent="2"/>
    </xf>
    <xf numFmtId="0" fontId="99" fillId="11" borderId="195" xfId="57" applyFont="1" applyFill="1" applyBorder="1" applyAlignment="1">
      <alignment horizontal="center" vertical="top" wrapText="1"/>
    </xf>
    <xf numFmtId="0" fontId="99" fillId="11" borderId="196" xfId="57" applyFont="1" applyFill="1" applyBorder="1" applyAlignment="1">
      <alignment horizontal="center"/>
    </xf>
    <xf numFmtId="0" fontId="99" fillId="11" borderId="197" xfId="57" applyFont="1" applyFill="1" applyBorder="1" applyAlignment="1">
      <alignment horizontal="center"/>
    </xf>
    <xf numFmtId="0" fontId="99" fillId="11" borderId="21" xfId="57" applyFont="1" applyFill="1" applyBorder="1" applyAlignment="1">
      <alignment horizontal="center"/>
    </xf>
    <xf numFmtId="164" fontId="99" fillId="11" borderId="195" xfId="1" applyNumberFormat="1" applyFont="1" applyFill="1" applyBorder="1" applyAlignment="1">
      <alignment horizontal="center" vertical="top"/>
    </xf>
    <xf numFmtId="0" fontId="99" fillId="11" borderId="196" xfId="57" applyNumberFormat="1" applyFont="1" applyFill="1" applyBorder="1" applyAlignment="1">
      <alignment horizontal="center"/>
    </xf>
    <xf numFmtId="0" fontId="99" fillId="11" borderId="197" xfId="57" applyNumberFormat="1" applyFont="1" applyFill="1" applyBorder="1" applyAlignment="1">
      <alignment horizontal="center"/>
    </xf>
    <xf numFmtId="0" fontId="99" fillId="11" borderId="21" xfId="57" applyNumberFormat="1" applyFont="1" applyFill="1" applyBorder="1" applyAlignment="1">
      <alignment horizontal="center"/>
    </xf>
    <xf numFmtId="0" fontId="99" fillId="11" borderId="195" xfId="57" applyFont="1" applyFill="1" applyBorder="1" applyAlignment="1">
      <alignment horizontal="center" vertical="top"/>
    </xf>
    <xf numFmtId="0" fontId="99" fillId="11" borderId="22" xfId="57" quotePrefix="1" applyFont="1" applyFill="1" applyBorder="1" applyAlignment="1">
      <alignment horizontal="center"/>
    </xf>
    <xf numFmtId="164" fontId="30" fillId="11" borderId="195" xfId="1" applyNumberFormat="1" applyFont="1" applyFill="1" applyBorder="1" applyAlignment="1">
      <alignment vertical="top"/>
    </xf>
    <xf numFmtId="0" fontId="99" fillId="11" borderId="22" xfId="57" applyFont="1" applyFill="1" applyBorder="1" applyAlignment="1">
      <alignment horizontal="right"/>
    </xf>
    <xf numFmtId="3" fontId="99" fillId="11" borderId="195" xfId="57" applyNumberFormat="1" applyFont="1" applyFill="1" applyBorder="1" applyAlignment="1">
      <alignment horizontal="right"/>
    </xf>
    <xf numFmtId="0" fontId="99" fillId="11" borderId="195" xfId="57" applyFont="1" applyFill="1" applyBorder="1" applyAlignment="1">
      <alignment vertical="top" wrapText="1"/>
    </xf>
    <xf numFmtId="0" fontId="99" fillId="11" borderId="195" xfId="57" applyFont="1" applyFill="1" applyBorder="1"/>
    <xf numFmtId="43" fontId="30" fillId="0" borderId="0" xfId="57" applyNumberFormat="1" applyFont="1"/>
    <xf numFmtId="43" fontId="30" fillId="0" borderId="0" xfId="1" applyFont="1" applyBorder="1"/>
    <xf numFmtId="43" fontId="31" fillId="0" borderId="0" xfId="57" applyNumberFormat="1" applyFont="1" applyBorder="1"/>
    <xf numFmtId="43" fontId="94" fillId="0" borderId="0" xfId="57" applyNumberFormat="1" applyFont="1" applyBorder="1"/>
    <xf numFmtId="0" fontId="233" fillId="0" borderId="0" xfId="37" applyFont="1"/>
    <xf numFmtId="0" fontId="140" fillId="0" borderId="0" xfId="57" applyFont="1"/>
    <xf numFmtId="0" fontId="34" fillId="0" borderId="0" xfId="0" quotePrefix="1" applyFont="1" applyBorder="1"/>
    <xf numFmtId="0" fontId="34" fillId="0" borderId="7" xfId="0" quotePrefix="1" applyNumberFormat="1" applyFont="1" applyFill="1" applyBorder="1" applyAlignment="1"/>
    <xf numFmtId="0" fontId="30" fillId="11" borderId="190" xfId="57" applyFont="1" applyFill="1" applyBorder="1" applyAlignment="1">
      <alignment horizontal="left" vertical="top" wrapText="1"/>
    </xf>
    <xf numFmtId="0" fontId="0" fillId="11" borderId="190" xfId="57" applyFont="1" applyFill="1" applyBorder="1" applyAlignment="1">
      <alignment horizontal="left" vertical="top" wrapText="1"/>
    </xf>
    <xf numFmtId="37" fontId="100" fillId="11" borderId="198" xfId="57" applyNumberFormat="1" applyFont="1" applyFill="1" applyBorder="1" applyAlignment="1">
      <alignment vertical="top"/>
    </xf>
    <xf numFmtId="0" fontId="100" fillId="11" borderId="190" xfId="57" applyFont="1" applyFill="1" applyBorder="1" applyAlignment="1">
      <alignment horizontal="left" vertical="top" wrapText="1"/>
    </xf>
    <xf numFmtId="0" fontId="30" fillId="11" borderId="190" xfId="57" applyNumberFormat="1" applyFont="1" applyFill="1" applyBorder="1" applyAlignment="1">
      <alignment horizontal="left" vertical="top" wrapText="1"/>
    </xf>
    <xf numFmtId="175" fontId="30" fillId="11" borderId="198" xfId="10" applyNumberFormat="1" applyFont="1" applyFill="1" applyBorder="1" applyAlignment="1" applyProtection="1">
      <alignment vertical="top"/>
      <protection locked="0"/>
    </xf>
    <xf numFmtId="0" fontId="0" fillId="0" borderId="0" xfId="57" applyFont="1"/>
    <xf numFmtId="175" fontId="30" fillId="11" borderId="192" xfId="10" applyNumberFormat="1" applyFont="1" applyFill="1" applyBorder="1" applyAlignment="1" applyProtection="1">
      <alignment horizontal="center" vertical="top"/>
      <protection locked="0"/>
    </xf>
    <xf numFmtId="183" fontId="30" fillId="11" borderId="193" xfId="10" applyNumberFormat="1" applyFont="1" applyFill="1" applyBorder="1" applyAlignment="1" applyProtection="1">
      <alignment horizontal="center" vertical="top"/>
      <protection locked="0"/>
    </xf>
    <xf numFmtId="37" fontId="100" fillId="11" borderId="193" xfId="57" applyNumberFormat="1" applyFont="1" applyFill="1" applyBorder="1" applyAlignment="1">
      <alignment vertical="top"/>
    </xf>
    <xf numFmtId="37" fontId="99" fillId="11" borderId="190" xfId="57" applyNumberFormat="1" applyFont="1" applyFill="1" applyBorder="1" applyAlignment="1">
      <alignment vertical="top" wrapText="1"/>
    </xf>
    <xf numFmtId="175" fontId="30" fillId="11" borderId="193" xfId="10" quotePrefix="1" applyNumberFormat="1" applyFont="1" applyFill="1" applyBorder="1" applyAlignment="1" applyProtection="1">
      <alignment horizontal="center" vertical="top"/>
      <protection locked="0"/>
    </xf>
    <xf numFmtId="175" fontId="30" fillId="11" borderId="193" xfId="10" applyNumberFormat="1" applyFont="1" applyFill="1" applyBorder="1" applyAlignment="1" applyProtection="1">
      <alignment vertical="top"/>
      <protection locked="0"/>
    </xf>
    <xf numFmtId="37" fontId="99" fillId="11" borderId="190" xfId="57" applyNumberFormat="1" applyFont="1" applyFill="1" applyBorder="1" applyAlignment="1">
      <alignment vertical="top"/>
    </xf>
    <xf numFmtId="0" fontId="30" fillId="0" borderId="157" xfId="57" applyFont="1" applyFill="1" applyBorder="1" applyAlignment="1">
      <alignment horizontal="center" vertical="top"/>
    </xf>
    <xf numFmtId="0" fontId="62" fillId="0" borderId="168" xfId="11" applyFont="1" applyFill="1" applyBorder="1" applyAlignment="1">
      <alignment horizontal="left" vertical="top"/>
    </xf>
    <xf numFmtId="0" fontId="62" fillId="0" borderId="156" xfId="11" applyFont="1" applyFill="1" applyBorder="1" applyAlignment="1">
      <alignment horizontal="left" vertical="top" wrapText="1"/>
    </xf>
    <xf numFmtId="0" fontId="31" fillId="0" borderId="153" xfId="57" applyFont="1" applyFill="1" applyBorder="1" applyAlignment="1">
      <alignment vertical="top"/>
    </xf>
    <xf numFmtId="0" fontId="31" fillId="0" borderId="156" xfId="57" applyFont="1" applyFill="1" applyBorder="1" applyAlignment="1">
      <alignment vertical="top"/>
    </xf>
    <xf numFmtId="0" fontId="30" fillId="0" borderId="168" xfId="57" applyFont="1" applyFill="1" applyBorder="1" applyAlignment="1">
      <alignment vertical="top"/>
    </xf>
    <xf numFmtId="0" fontId="30" fillId="0" borderId="156" xfId="57" applyFont="1" applyFill="1" applyBorder="1" applyAlignment="1">
      <alignment vertical="top"/>
    </xf>
    <xf numFmtId="37" fontId="30" fillId="0" borderId="153" xfId="57" applyNumberFormat="1" applyFont="1" applyFill="1" applyBorder="1" applyAlignment="1">
      <alignment vertical="top"/>
    </xf>
    <xf numFmtId="37" fontId="30" fillId="0" borderId="153" xfId="57" applyNumberFormat="1" applyFont="1" applyFill="1" applyBorder="1" applyAlignment="1">
      <alignment vertical="top" wrapText="1"/>
    </xf>
    <xf numFmtId="37" fontId="30" fillId="11" borderId="153" xfId="57" applyNumberFormat="1" applyFont="1" applyFill="1" applyBorder="1" applyAlignment="1">
      <alignment vertical="top"/>
    </xf>
    <xf numFmtId="0" fontId="30" fillId="0" borderId="153" xfId="57" applyFont="1" applyFill="1" applyBorder="1" applyAlignment="1">
      <alignment vertical="top" wrapText="1"/>
    </xf>
    <xf numFmtId="0" fontId="31" fillId="0" borderId="171" xfId="57" applyFont="1" applyFill="1" applyBorder="1" applyAlignment="1">
      <alignment vertical="top"/>
    </xf>
    <xf numFmtId="0" fontId="31" fillId="0" borderId="170" xfId="57" applyFont="1" applyFill="1" applyBorder="1" applyAlignment="1">
      <alignment vertical="top"/>
    </xf>
    <xf numFmtId="0" fontId="30" fillId="0" borderId="143" xfId="57" applyFont="1" applyFill="1" applyBorder="1" applyAlignment="1">
      <alignment vertical="top"/>
    </xf>
    <xf numFmtId="0" fontId="30" fillId="0" borderId="170" xfId="57" applyFont="1" applyFill="1" applyBorder="1" applyAlignment="1">
      <alignment vertical="top"/>
    </xf>
    <xf numFmtId="0" fontId="31" fillId="0" borderId="157" xfId="57" applyFont="1" applyFill="1" applyBorder="1" applyAlignment="1">
      <alignment vertical="top"/>
    </xf>
    <xf numFmtId="0" fontId="31" fillId="0" borderId="168" xfId="57" applyFont="1" applyFill="1" applyBorder="1" applyAlignment="1">
      <alignment vertical="top"/>
    </xf>
    <xf numFmtId="175" fontId="31" fillId="11" borderId="192" xfId="10" applyNumberFormat="1" applyFont="1" applyFill="1" applyBorder="1" applyAlignment="1" applyProtection="1">
      <alignment horizontal="left" vertical="top"/>
      <protection locked="0"/>
    </xf>
    <xf numFmtId="38" fontId="30" fillId="11" borderId="190" xfId="57" applyNumberFormat="1" applyFont="1" applyFill="1" applyBorder="1" applyAlignment="1">
      <alignment vertical="top"/>
    </xf>
    <xf numFmtId="175" fontId="30" fillId="11" borderId="192" xfId="10" applyNumberFormat="1" applyFont="1" applyFill="1" applyBorder="1" applyAlignment="1" applyProtection="1">
      <alignment horizontal="left" vertical="top"/>
      <protection locked="0"/>
    </xf>
    <xf numFmtId="0" fontId="31" fillId="11" borderId="157" xfId="11" applyFont="1" applyFill="1" applyBorder="1" applyAlignment="1">
      <alignment horizontal="left" vertical="top"/>
    </xf>
    <xf numFmtId="0" fontId="31" fillId="11" borderId="168" xfId="11" applyFont="1" applyFill="1" applyBorder="1" applyAlignment="1">
      <alignment horizontal="left" vertical="top"/>
    </xf>
    <xf numFmtId="0" fontId="30" fillId="11" borderId="157" xfId="11" applyFont="1" applyFill="1" applyBorder="1" applyAlignment="1">
      <alignment horizontal="center" vertical="top"/>
    </xf>
    <xf numFmtId="184" fontId="30" fillId="11" borderId="4" xfId="11" applyNumberFormat="1" applyFont="1" applyFill="1" applyBorder="1" applyAlignment="1">
      <alignment horizontal="center" vertical="top"/>
    </xf>
    <xf numFmtId="0" fontId="30" fillId="11" borderId="4" xfId="11" applyFont="1" applyFill="1" applyBorder="1" applyAlignment="1">
      <alignment horizontal="left" vertical="top"/>
    </xf>
    <xf numFmtId="184" fontId="30" fillId="11" borderId="168" xfId="11" applyNumberFormat="1" applyFont="1" applyFill="1" applyBorder="1" applyAlignment="1">
      <alignment horizontal="center" vertical="top"/>
    </xf>
    <xf numFmtId="0" fontId="30" fillId="11" borderId="168" xfId="11" applyFont="1" applyFill="1" applyBorder="1" applyAlignment="1">
      <alignment horizontal="left" vertical="top"/>
    </xf>
    <xf numFmtId="0" fontId="30" fillId="0" borderId="156" xfId="57" applyFont="1" applyFill="1" applyBorder="1" applyAlignment="1">
      <alignment horizontal="left" vertical="top"/>
    </xf>
    <xf numFmtId="37" fontId="99" fillId="11" borderId="153" xfId="1" applyNumberFormat="1" applyFont="1" applyFill="1" applyBorder="1" applyAlignment="1">
      <alignment horizontal="right" vertical="top"/>
    </xf>
    <xf numFmtId="0" fontId="31" fillId="0" borderId="21" xfId="57" applyFont="1" applyFill="1" applyBorder="1" applyAlignment="1">
      <alignment vertical="top"/>
    </xf>
    <xf numFmtId="0" fontId="31" fillId="0" borderId="4" xfId="57" applyFont="1" applyFill="1" applyBorder="1" applyAlignment="1">
      <alignment vertical="top"/>
    </xf>
    <xf numFmtId="0" fontId="30" fillId="0" borderId="4" xfId="57" applyFont="1" applyFill="1" applyBorder="1" applyAlignment="1">
      <alignment vertical="top"/>
    </xf>
    <xf numFmtId="0" fontId="30" fillId="0" borderId="19" xfId="57" applyFont="1" applyFill="1" applyBorder="1" applyAlignment="1">
      <alignment vertical="top"/>
    </xf>
    <xf numFmtId="37" fontId="30" fillId="0" borderId="153" xfId="1" applyNumberFormat="1" applyFont="1" applyFill="1" applyBorder="1" applyAlignment="1">
      <alignment horizontal="right" vertical="top"/>
    </xf>
    <xf numFmtId="0" fontId="62" fillId="0" borderId="168" xfId="57" applyFont="1" applyFill="1" applyBorder="1" applyAlignment="1">
      <alignment horizontal="left" vertical="top"/>
    </xf>
    <xf numFmtId="0" fontId="62" fillId="0" borderId="156" xfId="57" applyFont="1" applyFill="1" applyBorder="1" applyAlignment="1">
      <alignment horizontal="left" vertical="top"/>
    </xf>
    <xf numFmtId="0" fontId="62" fillId="0" borderId="153" xfId="57" applyFont="1" applyFill="1" applyBorder="1" applyAlignment="1">
      <alignment vertical="top"/>
    </xf>
    <xf numFmtId="37" fontId="30" fillId="11" borderId="190" xfId="57" applyNumberFormat="1" applyFont="1" applyFill="1" applyBorder="1" applyAlignment="1">
      <alignment vertical="top" wrapText="1"/>
    </xf>
    <xf numFmtId="0" fontId="30" fillId="11" borderId="190" xfId="57" applyFont="1" applyFill="1" applyBorder="1" applyAlignment="1">
      <alignment horizontal="left" vertical="top"/>
    </xf>
    <xf numFmtId="175" fontId="0" fillId="11" borderId="193" xfId="10" applyNumberFormat="1" applyFont="1" applyFill="1" applyBorder="1" applyAlignment="1" applyProtection="1">
      <alignment vertical="top"/>
      <protection locked="0"/>
    </xf>
    <xf numFmtId="37" fontId="204" fillId="11" borderId="190" xfId="57" applyNumberFormat="1" applyFont="1" applyFill="1" applyBorder="1" applyAlignment="1">
      <alignment vertical="top" wrapText="1"/>
    </xf>
    <xf numFmtId="37" fontId="205" fillId="11" borderId="190" xfId="57" applyNumberFormat="1" applyFont="1" applyFill="1" applyBorder="1" applyAlignment="1">
      <alignment vertical="top" wrapText="1"/>
    </xf>
    <xf numFmtId="175" fontId="30" fillId="0" borderId="168" xfId="10" applyNumberFormat="1" applyFont="1" applyFill="1" applyBorder="1" applyAlignment="1" applyProtection="1">
      <alignment horizontal="left" vertical="top"/>
      <protection locked="0"/>
    </xf>
    <xf numFmtId="175" fontId="30" fillId="0" borderId="156" xfId="10" applyNumberFormat="1" applyFont="1" applyFill="1" applyBorder="1" applyAlignment="1" applyProtection="1">
      <alignment horizontal="left" vertical="top"/>
      <protection locked="0"/>
    </xf>
    <xf numFmtId="0" fontId="100" fillId="0" borderId="153" xfId="57" applyFont="1" applyFill="1" applyBorder="1" applyAlignment="1">
      <alignment vertical="top" wrapText="1"/>
    </xf>
    <xf numFmtId="0" fontId="30" fillId="0" borderId="0" xfId="57" applyFont="1" applyFill="1" applyBorder="1" applyAlignment="1">
      <alignment vertical="top"/>
    </xf>
    <xf numFmtId="0" fontId="30" fillId="0" borderId="17" xfId="57" applyFont="1" applyFill="1" applyBorder="1" applyAlignment="1">
      <alignment vertical="top"/>
    </xf>
    <xf numFmtId="0" fontId="62" fillId="0" borderId="157" xfId="57" applyFont="1" applyFill="1" applyBorder="1" applyAlignment="1">
      <alignment horizontal="left" vertical="top"/>
    </xf>
    <xf numFmtId="175" fontId="31" fillId="11" borderId="193" xfId="10" applyNumberFormat="1" applyFont="1" applyFill="1" applyBorder="1" applyAlignment="1" applyProtection="1">
      <alignment horizontal="left" vertical="top"/>
      <protection locked="0"/>
    </xf>
    <xf numFmtId="183" fontId="30" fillId="11" borderId="193" xfId="10" applyNumberFormat="1" applyFont="1" applyFill="1" applyBorder="1" applyAlignment="1" applyProtection="1">
      <alignment horizontal="left" vertical="top"/>
      <protection locked="0"/>
    </xf>
    <xf numFmtId="0" fontId="30" fillId="0" borderId="157" xfId="57" applyFont="1" applyFill="1" applyBorder="1" applyAlignment="1">
      <alignment vertical="top"/>
    </xf>
    <xf numFmtId="0" fontId="31" fillId="0" borderId="22" xfId="57" applyFont="1" applyFill="1" applyBorder="1" applyAlignment="1">
      <alignment vertical="top"/>
    </xf>
    <xf numFmtId="0" fontId="31" fillId="0" borderId="19" xfId="57" applyFont="1" applyFill="1" applyBorder="1" applyAlignment="1">
      <alignment vertical="top"/>
    </xf>
    <xf numFmtId="0" fontId="31" fillId="0" borderId="20" xfId="57" applyFont="1" applyFill="1" applyBorder="1" applyAlignment="1">
      <alignment vertical="top"/>
    </xf>
    <xf numFmtId="0" fontId="31" fillId="0" borderId="17" xfId="57" applyFont="1" applyFill="1" applyBorder="1" applyAlignment="1">
      <alignment vertical="top"/>
    </xf>
    <xf numFmtId="37" fontId="30" fillId="0" borderId="0" xfId="57" applyNumberFormat="1"/>
    <xf numFmtId="0" fontId="167" fillId="0" borderId="190" xfId="37" applyFont="1" applyFill="1" applyBorder="1" applyAlignment="1" applyProtection="1">
      <alignment horizontal="right" vertical="center" wrapText="1"/>
    </xf>
    <xf numFmtId="181" fontId="185" fillId="0" borderId="190" xfId="37" applyNumberFormat="1" applyFont="1" applyFill="1" applyBorder="1" applyAlignment="1" applyProtection="1">
      <alignment vertical="center" wrapText="1"/>
    </xf>
    <xf numFmtId="0" fontId="167" fillId="0" borderId="190" xfId="37" applyFont="1" applyFill="1" applyBorder="1" applyAlignment="1" applyProtection="1">
      <alignment vertical="center" wrapText="1"/>
    </xf>
    <xf numFmtId="181" fontId="167" fillId="0" borderId="190" xfId="37" applyNumberFormat="1" applyFont="1" applyFill="1" applyBorder="1" applyAlignment="1" applyProtection="1">
      <alignment horizontal="right" vertical="center" wrapText="1"/>
    </xf>
    <xf numFmtId="164" fontId="130" fillId="0" borderId="6" xfId="52845" applyNumberFormat="1" applyFont="1" applyFill="1" applyBorder="1" applyAlignment="1">
      <alignment horizontal="center"/>
    </xf>
    <xf numFmtId="0" fontId="30" fillId="0" borderId="16" xfId="0" applyFont="1" applyFill="1" applyBorder="1" applyAlignment="1">
      <alignment horizontal="center" vertical="top"/>
    </xf>
    <xf numFmtId="0" fontId="234" fillId="0" borderId="0" xfId="52844" applyFont="1" applyFill="1" applyAlignment="1"/>
    <xf numFmtId="0" fontId="132" fillId="0" borderId="24" xfId="52844" applyFont="1" applyFill="1" applyBorder="1" applyAlignment="1">
      <alignment horizontal="center"/>
    </xf>
    <xf numFmtId="0" fontId="132" fillId="0" borderId="15" xfId="52844" applyFont="1" applyFill="1" applyBorder="1" applyAlignment="1">
      <alignment horizontal="center"/>
    </xf>
    <xf numFmtId="0" fontId="149" fillId="0" borderId="0" xfId="52844" applyFont="1" applyFill="1" applyAlignment="1"/>
    <xf numFmtId="164" fontId="34" fillId="0" borderId="0" xfId="1" applyNumberFormat="1" applyFont="1" applyFill="1" applyBorder="1" applyAlignment="1">
      <alignment horizontal="center" wrapText="1"/>
    </xf>
    <xf numFmtId="164" fontId="34" fillId="0" borderId="0" xfId="1" quotePrefix="1" applyNumberFormat="1" applyFont="1" applyFill="1" applyBorder="1" applyAlignment="1">
      <alignment vertical="top" wrapText="1"/>
    </xf>
    <xf numFmtId="164" fontId="34" fillId="0" borderId="0" xfId="1" applyNumberFormat="1" applyFont="1" applyFill="1" applyBorder="1" applyAlignment="1">
      <alignment wrapText="1"/>
    </xf>
    <xf numFmtId="37" fontId="0" fillId="0" borderId="0" xfId="0" applyNumberFormat="1" applyAlignment="1">
      <alignment vertical="center"/>
    </xf>
    <xf numFmtId="37" fontId="34" fillId="11" borderId="0" xfId="45" applyNumberFormat="1" applyFont="1" applyFill="1"/>
    <xf numFmtId="0" fontId="130" fillId="0" borderId="23" xfId="52844" applyFont="1" applyFill="1" applyBorder="1" applyAlignment="1">
      <alignment horizontal="center"/>
    </xf>
    <xf numFmtId="0" fontId="132" fillId="11" borderId="12" xfId="52844" applyFont="1" applyFill="1" applyBorder="1" applyAlignment="1">
      <alignment horizontal="center" wrapText="1"/>
    </xf>
    <xf numFmtId="0" fontId="132" fillId="11" borderId="7" xfId="52844" applyFont="1" applyFill="1" applyBorder="1" applyAlignment="1">
      <alignment horizontal="center" wrapText="1"/>
    </xf>
    <xf numFmtId="0" fontId="132" fillId="11" borderId="9" xfId="52844" applyFont="1" applyFill="1" applyBorder="1" applyAlignment="1">
      <alignment horizontal="center" wrapText="1"/>
    </xf>
    <xf numFmtId="43" fontId="132" fillId="11" borderId="7" xfId="52845" applyNumberFormat="1" applyFont="1" applyFill="1" applyBorder="1"/>
    <xf numFmtId="43" fontId="132" fillId="11" borderId="1" xfId="52845" applyNumberFormat="1" applyFont="1" applyFill="1" applyBorder="1"/>
    <xf numFmtId="43" fontId="132" fillId="11" borderId="9" xfId="52845" applyNumberFormat="1" applyFont="1" applyFill="1" applyBorder="1"/>
    <xf numFmtId="43" fontId="130" fillId="0" borderId="1" xfId="52845" applyNumberFormat="1" applyFont="1" applyFill="1" applyBorder="1"/>
    <xf numFmtId="43" fontId="132" fillId="11" borderId="11" xfId="52845" applyNumberFormat="1" applyFont="1" applyFill="1" applyBorder="1"/>
    <xf numFmtId="43" fontId="132" fillId="11" borderId="12" xfId="52845" applyNumberFormat="1" applyFont="1" applyFill="1" applyBorder="1"/>
    <xf numFmtId="43" fontId="130" fillId="0" borderId="12" xfId="52845" applyFont="1" applyFill="1" applyBorder="1" applyAlignment="1">
      <alignment horizontal="center"/>
    </xf>
    <xf numFmtId="43" fontId="47" fillId="0" borderId="7" xfId="52845" applyFont="1" applyFill="1" applyBorder="1" applyAlignment="1">
      <alignment horizontal="center" wrapText="1"/>
    </xf>
    <xf numFmtId="43" fontId="47" fillId="0" borderId="9" xfId="52845" applyFont="1" applyFill="1" applyBorder="1" applyAlignment="1">
      <alignment horizontal="center" wrapText="1"/>
    </xf>
    <xf numFmtId="164" fontId="130" fillId="0" borderId="7" xfId="52845" applyNumberFormat="1" applyFont="1" applyFill="1" applyBorder="1"/>
    <xf numFmtId="164" fontId="130" fillId="0" borderId="9" xfId="52845" applyNumberFormat="1" applyFont="1" applyFill="1" applyBorder="1"/>
    <xf numFmtId="164" fontId="132" fillId="11" borderId="13" xfId="52845" applyNumberFormat="1" applyFont="1" applyFill="1" applyBorder="1" applyAlignment="1">
      <alignment horizontal="center" wrapText="1"/>
    </xf>
    <xf numFmtId="164" fontId="132" fillId="11" borderId="14" xfId="52845" applyNumberFormat="1" applyFont="1" applyFill="1" applyBorder="1" applyAlignment="1">
      <alignment horizontal="center" wrapText="1"/>
    </xf>
    <xf numFmtId="164" fontId="132" fillId="11" borderId="15" xfId="52845" applyNumberFormat="1" applyFont="1" applyFill="1" applyBorder="1" applyAlignment="1">
      <alignment horizontal="center"/>
    </xf>
    <xf numFmtId="164" fontId="132" fillId="11" borderId="13" xfId="52845" applyNumberFormat="1" applyFont="1" applyFill="1" applyBorder="1"/>
    <xf numFmtId="164" fontId="132" fillId="11" borderId="15" xfId="52845" applyNumberFormat="1" applyFont="1" applyFill="1" applyBorder="1"/>
    <xf numFmtId="43" fontId="131" fillId="0" borderId="5" xfId="52845" applyNumberFormat="1" applyFont="1" applyFill="1" applyBorder="1"/>
    <xf numFmtId="164" fontId="131" fillId="0" borderId="6" xfId="52845" applyNumberFormat="1" applyFont="1" applyFill="1" applyBorder="1"/>
    <xf numFmtId="164" fontId="131" fillId="0" borderId="5" xfId="52845" applyNumberFormat="1" applyFont="1" applyFill="1" applyBorder="1"/>
    <xf numFmtId="164" fontId="131" fillId="0" borderId="23" xfId="52846" applyNumberFormat="1" applyFont="1" applyFill="1" applyBorder="1"/>
    <xf numFmtId="164" fontId="130" fillId="0" borderId="0" xfId="52844" applyNumberFormat="1" applyFont="1" applyFill="1"/>
    <xf numFmtId="0" fontId="32" fillId="0" borderId="76" xfId="0" applyFont="1" applyFill="1" applyBorder="1" applyAlignment="1">
      <alignment horizontal="center" vertical="center"/>
    </xf>
    <xf numFmtId="0" fontId="30" fillId="0" borderId="0" xfId="37" applyFont="1" applyFill="1"/>
    <xf numFmtId="0" fontId="79" fillId="0" borderId="0" xfId="37" applyFont="1" applyFill="1" applyBorder="1" applyAlignment="1"/>
    <xf numFmtId="3" fontId="34" fillId="0" borderId="0" xfId="37" applyNumberFormat="1" applyFont="1" applyFill="1" applyBorder="1" applyAlignment="1">
      <alignment horizontal="center"/>
    </xf>
    <xf numFmtId="0" fontId="34" fillId="0" borderId="0" xfId="37" applyFont="1" applyFill="1" applyAlignment="1">
      <alignment horizontal="center"/>
    </xf>
    <xf numFmtId="43" fontId="34" fillId="0" borderId="7" xfId="1" applyFont="1" applyFill="1" applyBorder="1" applyAlignment="1"/>
    <xf numFmtId="164" fontId="34" fillId="0" borderId="7" xfId="1" applyNumberFormat="1" applyFont="1" applyFill="1" applyBorder="1" applyAlignment="1"/>
    <xf numFmtId="164" fontId="34" fillId="0" borderId="0" xfId="1" applyNumberFormat="1" applyFont="1" applyFill="1" applyBorder="1" applyAlignment="1"/>
    <xf numFmtId="0" fontId="34" fillId="0" borderId="7" xfId="37" applyFont="1" applyFill="1" applyBorder="1" applyAlignment="1"/>
    <xf numFmtId="43" fontId="34" fillId="0" borderId="7" xfId="37" applyNumberFormat="1" applyFont="1" applyFill="1" applyBorder="1" applyAlignment="1">
      <alignment horizontal="center" wrapText="1"/>
    </xf>
    <xf numFmtId="0" fontId="30" fillId="0" borderId="0" xfId="37" applyFont="1" applyFill="1" applyBorder="1"/>
    <xf numFmtId="43" fontId="30" fillId="0" borderId="0" xfId="1" applyFont="1" applyFill="1" applyBorder="1"/>
    <xf numFmtId="0" fontId="31" fillId="0" borderId="0" xfId="37" applyFont="1" applyFill="1" applyBorder="1"/>
    <xf numFmtId="43" fontId="30" fillId="0" borderId="0" xfId="37" applyNumberFormat="1" applyFont="1" applyFill="1" applyBorder="1"/>
    <xf numFmtId="43" fontId="31" fillId="0" borderId="0" xfId="37" applyNumberFormat="1" applyFont="1" applyFill="1" applyBorder="1"/>
    <xf numFmtId="164" fontId="31" fillId="0" borderId="0" xfId="37" applyNumberFormat="1" applyFont="1" applyFill="1" applyBorder="1"/>
    <xf numFmtId="164" fontId="90" fillId="0" borderId="0" xfId="37" applyNumberFormat="1" applyFont="1" applyFill="1" applyBorder="1"/>
    <xf numFmtId="43" fontId="232" fillId="0" borderId="0" xfId="1" applyFont="1" applyFill="1" applyBorder="1"/>
    <xf numFmtId="0" fontId="9" fillId="0" borderId="0" xfId="5917" applyFill="1" applyBorder="1" applyAlignment="1">
      <alignment horizontal="center" wrapText="1"/>
    </xf>
    <xf numFmtId="164" fontId="30" fillId="0" borderId="0" xfId="1" applyNumberFormat="1" applyFont="1" applyFill="1" applyBorder="1"/>
    <xf numFmtId="43" fontId="90" fillId="0" borderId="0" xfId="37" applyNumberFormat="1" applyFont="1" applyFill="1" applyBorder="1"/>
    <xf numFmtId="37" fontId="99" fillId="11" borderId="4" xfId="57" applyNumberFormat="1" applyFont="1" applyFill="1" applyBorder="1" applyAlignment="1"/>
    <xf numFmtId="0" fontId="140" fillId="0" borderId="0" xfId="57" applyFont="1" applyAlignment="1">
      <alignment horizontal="right"/>
    </xf>
    <xf numFmtId="43" fontId="130" fillId="0" borderId="24" xfId="52845" applyNumberFormat="1" applyFont="1" applyFill="1" applyBorder="1" applyAlignment="1"/>
    <xf numFmtId="43" fontId="130" fillId="0" borderId="1" xfId="52845" applyNumberFormat="1" applyFont="1" applyFill="1" applyBorder="1" applyAlignment="1"/>
    <xf numFmtId="43" fontId="130" fillId="0" borderId="5" xfId="52845" applyNumberFormat="1" applyFont="1" applyFill="1" applyBorder="1" applyAlignment="1"/>
    <xf numFmtId="0" fontId="108" fillId="0" borderId="0" xfId="0" applyFont="1" applyFill="1" applyAlignment="1">
      <alignment horizontal="left" wrapText="1"/>
    </xf>
    <xf numFmtId="0" fontId="32" fillId="40" borderId="13" xfId="0" applyNumberFormat="1" applyFont="1" applyFill="1" applyBorder="1" applyAlignment="1">
      <alignment horizontal="center" vertical="center"/>
    </xf>
    <xf numFmtId="0" fontId="0" fillId="40" borderId="15" xfId="0" applyFill="1" applyBorder="1" applyAlignment="1">
      <alignment horizontal="center"/>
    </xf>
    <xf numFmtId="0" fontId="32"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6" xfId="0" applyFill="1" applyBorder="1" applyAlignment="1"/>
    <xf numFmtId="0" fontId="0" fillId="40" borderId="9" xfId="0" applyFill="1" applyBorder="1" applyAlignment="1"/>
    <xf numFmtId="0" fontId="46" fillId="0" borderId="0" xfId="0" quotePrefix="1" applyFont="1" applyFill="1" applyBorder="1" applyAlignment="1">
      <alignment horizontal="left" vertical="top" wrapText="1"/>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30" fillId="0" borderId="21" xfId="57" applyFont="1" applyFill="1" applyBorder="1" applyAlignment="1">
      <alignment horizontal="left" wrapText="1"/>
    </xf>
    <xf numFmtId="0" fontId="30" fillId="0" borderId="4" xfId="57" applyFont="1" applyFill="1" applyBorder="1" applyAlignment="1">
      <alignment horizontal="left" wrapText="1"/>
    </xf>
    <xf numFmtId="0" fontId="30" fillId="0" borderId="19" xfId="57" applyFont="1" applyFill="1" applyBorder="1" applyAlignment="1">
      <alignment horizontal="left"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30" fillId="0" borderId="157" xfId="57" applyFont="1" applyFill="1" applyBorder="1" applyAlignment="1">
      <alignment horizontal="left" vertical="top" indent="1"/>
    </xf>
    <xf numFmtId="0" fontId="30" fillId="0" borderId="168" xfId="57" applyFont="1" applyFill="1" applyBorder="1" applyAlignment="1">
      <alignment horizontal="left" vertical="top" indent="1"/>
    </xf>
    <xf numFmtId="0" fontId="30" fillId="0" borderId="157" xfId="57" applyFont="1" applyFill="1" applyBorder="1" applyAlignment="1">
      <alignment horizontal="left" vertical="top"/>
    </xf>
    <xf numFmtId="0" fontId="30" fillId="0" borderId="168" xfId="57" applyFont="1" applyFill="1" applyBorder="1" applyAlignment="1">
      <alignment horizontal="left" vertical="top"/>
    </xf>
    <xf numFmtId="0" fontId="30" fillId="0" borderId="0" xfId="57" applyFont="1" applyBorder="1" applyAlignment="1">
      <alignment horizontal="center"/>
    </xf>
    <xf numFmtId="0" fontId="89" fillId="0" borderId="0" xfId="57" applyFont="1" applyFill="1" applyAlignment="1">
      <alignment horizontal="center"/>
    </xf>
    <xf numFmtId="0" fontId="142" fillId="37" borderId="79" xfId="37" applyFont="1" applyFill="1" applyBorder="1" applyAlignment="1"/>
    <xf numFmtId="0" fontId="142" fillId="37" borderId="80" xfId="37" applyFont="1" applyFill="1" applyBorder="1" applyAlignment="1"/>
    <xf numFmtId="0" fontId="142" fillId="37" borderId="81" xfId="37" applyFont="1" applyFill="1" applyBorder="1" applyAlignment="1"/>
    <xf numFmtId="0" fontId="142" fillId="37" borderId="79" xfId="0" applyFont="1" applyFill="1" applyBorder="1" applyAlignment="1">
      <alignment horizontal="left"/>
    </xf>
    <xf numFmtId="0" fontId="142" fillId="37" borderId="80" xfId="0" applyFont="1" applyFill="1" applyBorder="1" applyAlignment="1">
      <alignment horizontal="left"/>
    </xf>
    <xf numFmtId="0" fontId="142" fillId="37" borderId="81" xfId="0" applyFont="1" applyFill="1" applyBorder="1" applyAlignment="1">
      <alignment horizontal="left"/>
    </xf>
    <xf numFmtId="0" fontId="34" fillId="0" borderId="1" xfId="0" applyFont="1" applyFill="1" applyBorder="1" applyAlignment="1">
      <alignment horizontal="left" wrapText="1"/>
    </xf>
    <xf numFmtId="0" fontId="34" fillId="0" borderId="9" xfId="0" applyFont="1" applyFill="1" applyBorder="1" applyAlignment="1">
      <alignment horizontal="left" wrapText="1"/>
    </xf>
    <xf numFmtId="0" fontId="142" fillId="37" borderId="80" xfId="0" applyFont="1" applyFill="1" applyBorder="1" applyAlignment="1">
      <alignment wrapText="1"/>
    </xf>
    <xf numFmtId="0" fontId="142" fillId="37" borderId="81" xfId="0" applyFont="1" applyFill="1" applyBorder="1" applyAlignment="1">
      <alignment wrapText="1"/>
    </xf>
    <xf numFmtId="0" fontId="30" fillId="0" borderId="0" xfId="37" applyFont="1" applyFill="1" applyBorder="1" applyAlignment="1">
      <alignment horizontal="center"/>
    </xf>
    <xf numFmtId="0" fontId="142" fillId="37" borderId="79" xfId="0" applyFont="1" applyFill="1" applyBorder="1" applyAlignment="1"/>
    <xf numFmtId="0" fontId="142" fillId="37" borderId="80" xfId="0" applyFont="1" applyFill="1" applyBorder="1" applyAlignment="1"/>
    <xf numFmtId="0" fontId="142" fillId="37" borderId="81" xfId="0" applyFont="1" applyFill="1" applyBorder="1" applyAlignment="1"/>
    <xf numFmtId="0" fontId="54" fillId="11" borderId="6" xfId="0" applyFont="1" applyFill="1" applyBorder="1" applyAlignment="1">
      <alignment horizontal="center" wrapText="1"/>
    </xf>
    <xf numFmtId="0" fontId="54" fillId="11" borderId="5" xfId="0" applyFont="1" applyFill="1" applyBorder="1" applyAlignment="1">
      <alignment horizontal="center"/>
    </xf>
    <xf numFmtId="0" fontId="54" fillId="11" borderId="5" xfId="0" applyFont="1" applyFill="1" applyBorder="1" applyAlignment="1">
      <alignment horizontal="center" wrapText="1"/>
    </xf>
    <xf numFmtId="0" fontId="54" fillId="11" borderId="33" xfId="0" applyFont="1" applyFill="1" applyBorder="1" applyAlignment="1">
      <alignment horizontal="center" wrapText="1"/>
    </xf>
    <xf numFmtId="0" fontId="54" fillId="11" borderId="6" xfId="0" applyFont="1" applyFill="1" applyBorder="1" applyAlignment="1">
      <alignment horizontal="center"/>
    </xf>
    <xf numFmtId="0" fontId="30" fillId="0" borderId="0" xfId="26" applyFont="1" applyAlignment="1">
      <alignment wrapText="1"/>
    </xf>
    <xf numFmtId="0" fontId="31" fillId="0" borderId="10" xfId="26" applyFont="1" applyBorder="1" applyAlignment="1">
      <alignment horizontal="center"/>
    </xf>
    <xf numFmtId="0" fontId="31" fillId="0" borderId="64" xfId="26" applyFont="1" applyBorder="1" applyAlignment="1">
      <alignment horizontal="center"/>
    </xf>
    <xf numFmtId="0" fontId="31" fillId="0" borderId="0" xfId="26" applyFont="1"/>
    <xf numFmtId="0" fontId="30" fillId="0" borderId="0" xfId="26" applyFont="1" applyAlignment="1"/>
    <xf numFmtId="0" fontId="31" fillId="0" borderId="6" xfId="26" applyFont="1" applyBorder="1" applyAlignment="1">
      <alignment horizontal="center"/>
    </xf>
    <xf numFmtId="0" fontId="31" fillId="0" borderId="33" xfId="26" applyFont="1" applyBorder="1" applyAlignment="1">
      <alignment horizontal="center"/>
    </xf>
    <xf numFmtId="164" fontId="130" fillId="0" borderId="6" xfId="52845" applyNumberFormat="1" applyFont="1" applyFill="1" applyBorder="1" applyAlignment="1">
      <alignment horizontal="center"/>
    </xf>
    <xf numFmtId="164" fontId="130" fillId="0" borderId="5" xfId="52845" applyNumberFormat="1" applyFont="1" applyFill="1" applyBorder="1" applyAlignment="1">
      <alignment horizontal="center"/>
    </xf>
    <xf numFmtId="164" fontId="130" fillId="0" borderId="33" xfId="52845" applyNumberFormat="1" applyFont="1" applyFill="1" applyBorder="1" applyAlignment="1">
      <alignment horizontal="center"/>
    </xf>
    <xf numFmtId="164" fontId="131" fillId="0" borderId="13" xfId="52845" applyNumberFormat="1" applyFont="1" applyFill="1" applyBorder="1" applyAlignment="1">
      <alignment horizontal="center" wrapText="1"/>
    </xf>
    <xf numFmtId="164" fontId="131" fillId="0" borderId="15" xfId="52845" applyNumberFormat="1" applyFont="1" applyFill="1" applyBorder="1" applyAlignment="1">
      <alignment horizontal="center" wrapText="1"/>
    </xf>
    <xf numFmtId="0" fontId="131" fillId="0" borderId="0" xfId="52844" applyFont="1" applyFill="1" applyAlignment="1">
      <alignment horizontal="center"/>
    </xf>
    <xf numFmtId="0" fontId="149" fillId="0" borderId="0" xfId="52844" applyFont="1" applyFill="1" applyAlignment="1">
      <alignment horizontal="center"/>
    </xf>
    <xf numFmtId="164" fontId="130" fillId="0" borderId="6" xfId="52845" applyNumberFormat="1" applyFont="1" applyBorder="1" applyAlignment="1">
      <alignment horizontal="center"/>
    </xf>
    <xf numFmtId="164" fontId="130" fillId="0" borderId="5" xfId="52845" applyNumberFormat="1" applyFont="1" applyBorder="1" applyAlignment="1">
      <alignment horizontal="center"/>
    </xf>
    <xf numFmtId="164" fontId="130" fillId="0" borderId="33" xfId="52845" applyNumberFormat="1" applyFont="1" applyBorder="1" applyAlignment="1">
      <alignment horizontal="center"/>
    </xf>
    <xf numFmtId="0" fontId="32" fillId="0" borderId="0" xfId="57" applyFont="1" applyAlignment="1">
      <alignment horizontal="center"/>
    </xf>
    <xf numFmtId="0" fontId="62" fillId="0" borderId="0" xfId="57" applyFont="1" applyAlignment="1">
      <alignment horizontal="center"/>
    </xf>
    <xf numFmtId="0" fontId="97" fillId="0" borderId="0" xfId="57" applyFont="1" applyAlignment="1">
      <alignment horizontal="center"/>
    </xf>
    <xf numFmtId="0" fontId="30" fillId="0" borderId="0" xfId="57" applyFont="1" applyAlignment="1">
      <alignment wrapText="1"/>
    </xf>
    <xf numFmtId="0" fontId="31" fillId="0" borderId="4" xfId="57" applyFont="1" applyBorder="1" applyAlignment="1">
      <alignment horizontal="center"/>
    </xf>
    <xf numFmtId="0" fontId="71" fillId="39" borderId="6" xfId="0" applyFont="1" applyFill="1" applyBorder="1" applyAlignment="1">
      <alignment horizontal="center" vertical="top" wrapText="1"/>
    </xf>
    <xf numFmtId="0" fontId="71" fillId="39" borderId="5" xfId="0" applyFont="1" applyFill="1" applyBorder="1" applyAlignment="1">
      <alignment horizontal="center" vertical="top" wrapText="1"/>
    </xf>
    <xf numFmtId="0" fontId="71" fillId="39" borderId="33" xfId="0" applyFont="1" applyFill="1" applyBorder="1" applyAlignment="1">
      <alignment horizontal="center" vertical="top" wrapText="1"/>
    </xf>
    <xf numFmtId="0" fontId="99" fillId="39" borderId="190" xfId="0" applyFont="1" applyFill="1" applyBorder="1" applyAlignment="1">
      <alignment horizontal="left" vertical="top" wrapText="1"/>
    </xf>
    <xf numFmtId="0" fontId="99" fillId="39" borderId="192" xfId="0" applyFont="1" applyFill="1" applyBorder="1" applyAlignment="1">
      <alignment horizontal="left" vertical="top" wrapText="1"/>
    </xf>
    <xf numFmtId="0" fontId="99" fillId="39" borderId="193" xfId="0" applyFont="1" applyFill="1" applyBorder="1" applyAlignment="1">
      <alignment horizontal="left" vertical="top" wrapText="1"/>
    </xf>
    <xf numFmtId="0" fontId="99" fillId="39" borderId="198" xfId="0" applyFont="1" applyFill="1" applyBorder="1" applyAlignment="1">
      <alignment horizontal="left" vertical="top" wrapText="1"/>
    </xf>
    <xf numFmtId="37" fontId="30" fillId="39" borderId="195" xfId="57" quotePrefix="1" applyNumberFormat="1" applyFont="1" applyFill="1" applyBorder="1" applyAlignment="1">
      <alignment horizontal="right" vertical="center"/>
    </xf>
    <xf numFmtId="37" fontId="30" fillId="39" borderId="22" xfId="57" quotePrefix="1" applyNumberFormat="1" applyFont="1" applyFill="1" applyBorder="1" applyAlignment="1">
      <alignment horizontal="right" vertical="center"/>
    </xf>
    <xf numFmtId="0" fontId="141" fillId="38" borderId="5" xfId="0" applyFont="1" applyFill="1" applyBorder="1" applyAlignment="1">
      <alignment horizontal="left"/>
    </xf>
    <xf numFmtId="0" fontId="141" fillId="38" borderId="33" xfId="0" applyFont="1" applyFill="1" applyBorder="1" applyAlignment="1">
      <alignment horizontal="left"/>
    </xf>
  </cellXfs>
  <cellStyles count="62577">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99"/>
      <color rgb="FF00FFCC"/>
      <color rgb="FFFF00FF"/>
      <color rgb="FF00FF00"/>
      <color rgb="FFFFFFCC"/>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O2152"/>
  <sheetViews>
    <sheetView tabSelected="1" zoomScale="70" zoomScaleNormal="70" workbookViewId="0">
      <selection activeCell="O10" sqref="O10"/>
    </sheetView>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customWidth="1" collapsed="1"/>
    <col min="15" max="16" width="29.42578125" style="349" customWidth="1"/>
    <col min="17" max="17" width="16.7109375" style="18" bestFit="1" customWidth="1"/>
    <col min="18" max="16384" width="9.140625" style="18"/>
  </cols>
  <sheetData>
    <row r="1" spans="1:17" ht="21" customHeight="1">
      <c r="A1" s="354" t="s">
        <v>523</v>
      </c>
      <c r="B1" s="354"/>
      <c r="C1" s="354"/>
      <c r="D1" s="354"/>
      <c r="E1" s="354"/>
      <c r="F1" s="354"/>
      <c r="G1" s="354"/>
      <c r="H1" s="354"/>
      <c r="I1" s="354"/>
      <c r="J1" s="354" t="s">
        <v>1471</v>
      </c>
      <c r="K1" s="354"/>
      <c r="L1" s="354"/>
      <c r="N1" s="354"/>
      <c r="O1" s="354"/>
      <c r="P1" s="354"/>
    </row>
    <row r="2" spans="1:17" s="349" customFormat="1" ht="21" customHeight="1">
      <c r="A2" s="354" t="s">
        <v>365</v>
      </c>
      <c r="B2" s="354"/>
      <c r="C2" s="354"/>
      <c r="D2" s="354"/>
      <c r="E2" s="354"/>
      <c r="F2" s="354"/>
      <c r="G2" s="354"/>
      <c r="H2" s="354"/>
      <c r="I2" s="354"/>
      <c r="J2" s="354" t="s">
        <v>1471</v>
      </c>
      <c r="K2" s="354"/>
      <c r="L2" s="354"/>
      <c r="N2" s="354"/>
      <c r="O2" s="354"/>
      <c r="P2" s="354"/>
    </row>
    <row r="3" spans="1:17" s="349" customFormat="1" ht="21.75" customHeight="1">
      <c r="A3" s="354" t="s">
        <v>1128</v>
      </c>
      <c r="B3" s="354"/>
      <c r="C3" s="354"/>
      <c r="D3" s="354"/>
      <c r="E3" s="354"/>
      <c r="F3" s="354"/>
      <c r="G3" s="354"/>
      <c r="H3" s="354"/>
      <c r="I3" s="354"/>
      <c r="J3" s="354" t="s">
        <v>1471</v>
      </c>
      <c r="K3" s="354"/>
      <c r="L3" s="354"/>
      <c r="N3" s="354"/>
      <c r="O3" s="354"/>
      <c r="P3" s="354"/>
    </row>
    <row r="4" spans="1:17" s="349" customFormat="1" ht="16.5" customHeight="1">
      <c r="A4" s="354"/>
      <c r="B4" s="354"/>
      <c r="C4" s="354"/>
      <c r="D4" s="354"/>
      <c r="E4" s="354"/>
      <c r="F4" s="354"/>
      <c r="G4" s="354"/>
      <c r="H4" s="354"/>
      <c r="I4" s="354"/>
      <c r="J4" s="354"/>
      <c r="K4" s="354"/>
      <c r="L4" s="354"/>
      <c r="N4" s="354"/>
      <c r="O4" s="354"/>
      <c r="P4" s="354"/>
    </row>
    <row r="5" spans="1:17" ht="21" customHeight="1" thickBot="1">
      <c r="A5" s="2227"/>
      <c r="B5" s="1074"/>
      <c r="C5" s="1074"/>
      <c r="D5" s="1074"/>
      <c r="E5" s="1074"/>
      <c r="F5" s="1074"/>
      <c r="G5" s="1074"/>
      <c r="H5" s="2514" t="str">
        <f>IF(Toggle=Projection,data_year+1&amp;" "&amp;Toggle,IF(Toggle=True_up,data_year&amp;" "&amp;Toggle,"Set toggle!"))</f>
        <v>2016 Projection</v>
      </c>
      <c r="I5" s="1263"/>
      <c r="J5" s="1671" t="s">
        <v>1958</v>
      </c>
      <c r="K5" s="1263"/>
      <c r="L5" s="1263"/>
      <c r="M5" s="1263"/>
      <c r="N5" s="1671" t="s">
        <v>1965</v>
      </c>
      <c r="O5" s="1263"/>
      <c r="P5" s="1263"/>
    </row>
    <row r="6" spans="1:17" s="31" customFormat="1" ht="15.75">
      <c r="A6" s="2543" t="s">
        <v>974</v>
      </c>
      <c r="B6" s="2544"/>
      <c r="C6" s="2544"/>
      <c r="D6" s="2545"/>
      <c r="E6" s="2541" t="s">
        <v>304</v>
      </c>
      <c r="F6" s="2543" t="s">
        <v>943</v>
      </c>
      <c r="G6" s="2545"/>
      <c r="H6" s="1679">
        <v>2015</v>
      </c>
      <c r="I6" s="1673"/>
      <c r="J6" s="1680">
        <v>2013</v>
      </c>
      <c r="K6" s="1674" t="s">
        <v>1369</v>
      </c>
      <c r="L6" s="1675" t="s">
        <v>1207</v>
      </c>
      <c r="N6" s="1680">
        <v>2014</v>
      </c>
      <c r="O6" s="1674" t="s">
        <v>1369</v>
      </c>
      <c r="P6" s="1675" t="s">
        <v>1207</v>
      </c>
      <c r="Q6" s="1673"/>
    </row>
    <row r="7" spans="1:17" s="121" customFormat="1" ht="16.5" thickBot="1">
      <c r="A7" s="2546"/>
      <c r="B7" s="2547"/>
      <c r="C7" s="2547"/>
      <c r="D7" s="2548"/>
      <c r="E7" s="2542"/>
      <c r="F7" s="2546"/>
      <c r="G7" s="2548"/>
      <c r="H7" s="1676" t="s">
        <v>1070</v>
      </c>
      <c r="I7" s="2"/>
      <c r="J7" s="1677" t="s">
        <v>1807</v>
      </c>
      <c r="K7" s="1672" t="str">
        <f>$H$5&amp;" value minus "&amp;$J$5&amp;" value"</f>
        <v>2016 Projection value minus 2014 Projection (as-filed) value</v>
      </c>
      <c r="L7" s="1678" t="str">
        <f>"Change over "&amp;$J$5</f>
        <v>Change over 2014 Projection (as-filed)</v>
      </c>
      <c r="N7" s="1677" t="s">
        <v>1966</v>
      </c>
      <c r="O7" s="1672" t="str">
        <f>$H$5&amp;" value minus "&amp;$N$5&amp;" value"</f>
        <v>2016 Projection value minus 2015 Projection (as-filed) value</v>
      </c>
      <c r="P7" s="1678" t="str">
        <f>"Change over "&amp;$N$5</f>
        <v>Change over 2015 Projection (as-filed)</v>
      </c>
    </row>
    <row r="8" spans="1:17" customFormat="1" ht="8.25" customHeight="1">
      <c r="I8" s="462"/>
      <c r="J8" s="462"/>
      <c r="K8" s="462"/>
      <c r="L8" s="462"/>
      <c r="N8" s="462"/>
      <c r="O8" s="462"/>
      <c r="P8" s="462"/>
    </row>
    <row r="9" spans="1:17" s="23" customFormat="1" ht="15.75">
      <c r="A9" s="625" t="s">
        <v>246</v>
      </c>
      <c r="B9" s="43"/>
      <c r="C9" s="56"/>
      <c r="D9" s="56"/>
      <c r="E9" s="503"/>
      <c r="F9" s="500"/>
      <c r="G9" s="57"/>
      <c r="H9" s="501"/>
      <c r="I9"/>
      <c r="J9" s="501"/>
      <c r="K9" s="501"/>
      <c r="L9" s="501"/>
      <c r="N9" s="501"/>
      <c r="O9" s="501"/>
      <c r="P9" s="501"/>
    </row>
    <row r="10" spans="1:17" s="23" customFormat="1" ht="15.75">
      <c r="A10" s="47"/>
      <c r="B10" s="37"/>
      <c r="C10" s="37"/>
      <c r="D10" s="37"/>
      <c r="E10" s="502"/>
      <c r="F10" s="51"/>
      <c r="G10" s="51"/>
      <c r="H10" s="463"/>
      <c r="I10"/>
      <c r="J10" s="497"/>
      <c r="K10" s="497"/>
      <c r="L10" s="497"/>
      <c r="N10" s="497"/>
      <c r="O10" s="497"/>
      <c r="P10" s="497"/>
    </row>
    <row r="11" spans="1:17" ht="15.75">
      <c r="A11" s="16"/>
      <c r="B11" s="7" t="s">
        <v>250</v>
      </c>
      <c r="E11" s="157"/>
      <c r="F11" s="254"/>
      <c r="G11" s="476"/>
      <c r="H11" s="254"/>
      <c r="I11"/>
      <c r="J11" s="254"/>
      <c r="K11" s="254"/>
      <c r="L11" s="254"/>
      <c r="M11" s="23"/>
      <c r="N11" s="254"/>
      <c r="O11" s="254"/>
      <c r="P11" s="254"/>
      <c r="Q11" s="23"/>
    </row>
    <row r="12" spans="1:17">
      <c r="A12" s="8">
        <v>1</v>
      </c>
      <c r="B12" s="8"/>
      <c r="C12" s="51" t="s">
        <v>223</v>
      </c>
      <c r="D12" s="104"/>
      <c r="E12" s="45"/>
      <c r="F12" s="254" t="s">
        <v>44</v>
      </c>
      <c r="G12" s="9"/>
      <c r="H12" s="1096">
        <f>INDEX(Inputs_EndYrBal,MATCH(F12,Inputs_FF1_Map,0))</f>
        <v>25137301</v>
      </c>
      <c r="I12" s="2296"/>
      <c r="J12" s="1267">
        <v>22899260</v>
      </c>
      <c r="K12" s="1096">
        <f>$H12-J12</f>
        <v>2238041</v>
      </c>
      <c r="L12" s="1599">
        <f>IF(J12=0,"n/m",K12/ABS(J12))</f>
        <v>9.7734206258193498E-2</v>
      </c>
      <c r="M12" s="23"/>
      <c r="N12" s="1267">
        <v>24934991</v>
      </c>
      <c r="O12" s="1096">
        <f>$H12-N12</f>
        <v>202310</v>
      </c>
      <c r="P12" s="1599">
        <f>IF(N12=0,"n/m",O12/ABS(N12))</f>
        <v>8.1134980157001064E-3</v>
      </c>
      <c r="Q12" s="23"/>
    </row>
    <row r="13" spans="1:17">
      <c r="A13" s="44"/>
      <c r="F13" s="23"/>
      <c r="G13" s="349"/>
      <c r="H13" s="623"/>
      <c r="I13" s="2297"/>
      <c r="J13" s="623"/>
      <c r="K13" s="623"/>
      <c r="L13" s="623"/>
      <c r="M13" s="23"/>
      <c r="N13" s="623">
        <v>0</v>
      </c>
      <c r="O13" s="623"/>
      <c r="P13" s="623"/>
      <c r="Q13" s="23"/>
    </row>
    <row r="14" spans="1:17">
      <c r="A14" s="8">
        <f>+A12+1</f>
        <v>2</v>
      </c>
      <c r="B14" s="8"/>
      <c r="C14" s="51" t="s">
        <v>224</v>
      </c>
      <c r="D14" s="51"/>
      <c r="E14" s="426"/>
      <c r="F14" s="51" t="s">
        <v>46</v>
      </c>
      <c r="G14" s="9"/>
      <c r="H14" s="1096">
        <f>INDEX(Inputs_EndYrBal,MATCH(F14,Inputs_FF1_Map,0))</f>
        <v>356682932</v>
      </c>
      <c r="I14" s="2296"/>
      <c r="J14" s="1267">
        <v>361444457</v>
      </c>
      <c r="K14" s="1096">
        <f>$H14-J14</f>
        <v>-4761525</v>
      </c>
      <c r="L14" s="1599">
        <f>IF(J14=0,"n/m",K14/ABS(J14))</f>
        <v>-1.3173600833502339E-2</v>
      </c>
      <c r="M14" s="23"/>
      <c r="N14" s="1267">
        <v>362793740</v>
      </c>
      <c r="O14" s="1096">
        <f>$H14-N14</f>
        <v>-6110808</v>
      </c>
      <c r="P14" s="1599">
        <f>IF(N14=0,"n/m",O14/ABS(N14))</f>
        <v>-1.6843752596172139E-2</v>
      </c>
      <c r="Q14" s="23"/>
    </row>
    <row r="15" spans="1:17">
      <c r="A15" s="8">
        <f>+A14+1</f>
        <v>3</v>
      </c>
      <c r="B15" s="8"/>
      <c r="C15" s="51" t="s">
        <v>248</v>
      </c>
      <c r="D15" s="51"/>
      <c r="F15" s="51" t="s">
        <v>45</v>
      </c>
      <c r="G15" s="9"/>
      <c r="H15" s="1096">
        <f>INDEX(Inputs_EndYrBal,MATCH(F15,Inputs_FF1_Map,0))</f>
        <v>37744556</v>
      </c>
      <c r="I15" s="2296"/>
      <c r="J15" s="1267">
        <v>42818000</v>
      </c>
      <c r="K15" s="1096">
        <f>$H15-J15</f>
        <v>-5073444</v>
      </c>
      <c r="L15" s="1599">
        <f>IF(J15=0,"n/m",K15/ABS(J15))</f>
        <v>-0.11848857956934</v>
      </c>
      <c r="M15" s="23"/>
      <c r="N15" s="1267">
        <v>41620401</v>
      </c>
      <c r="O15" s="1096">
        <f>$H15-N15</f>
        <v>-3875845</v>
      </c>
      <c r="P15" s="1599">
        <f>IF(N15=0,"n/m",O15/ABS(N15))</f>
        <v>-9.3123682301859606E-2</v>
      </c>
      <c r="Q15" s="23"/>
    </row>
    <row r="16" spans="1:17">
      <c r="A16" s="8">
        <f>+A15+1</f>
        <v>4</v>
      </c>
      <c r="B16" s="8"/>
      <c r="C16" s="313" t="s">
        <v>11</v>
      </c>
      <c r="D16" s="504"/>
      <c r="E16" s="505"/>
      <c r="F16" s="372" t="str">
        <f>"(Line "&amp;A14&amp;" - Line "&amp;A15&amp;")"</f>
        <v>(Line 2 - Line 3)</v>
      </c>
      <c r="G16" s="27"/>
      <c r="H16" s="624">
        <f>H14-H15</f>
        <v>318938376</v>
      </c>
      <c r="I16" s="2296"/>
      <c r="J16" s="624">
        <f>J14-J15</f>
        <v>318626457</v>
      </c>
      <c r="K16" s="1634">
        <f>$H16-J16</f>
        <v>311919</v>
      </c>
      <c r="L16" s="1626">
        <f>IF(J16=0,"n/m",K16/ABS(J16))</f>
        <v>9.7894883851405972E-4</v>
      </c>
      <c r="M16" s="23"/>
      <c r="N16" s="624">
        <v>321173339</v>
      </c>
      <c r="O16" s="1634">
        <f>$H16-N16</f>
        <v>-2234963</v>
      </c>
      <c r="P16" s="1626">
        <f>IF(N16=0,"n/m",O16/ABS(N16))</f>
        <v>-6.9587438576276094E-3</v>
      </c>
      <c r="Q16" s="23"/>
    </row>
    <row r="17" spans="1:17">
      <c r="A17" s="8"/>
      <c r="B17" s="8"/>
      <c r="C17" s="506"/>
      <c r="E17" s="157"/>
      <c r="F17" s="22"/>
      <c r="G17" s="9"/>
      <c r="H17" s="254"/>
      <c r="I17"/>
      <c r="J17" s="254"/>
      <c r="K17" s="254"/>
      <c r="L17" s="254"/>
      <c r="M17" s="23"/>
      <c r="N17" s="254"/>
      <c r="O17" s="254"/>
      <c r="P17" s="254"/>
      <c r="Q17" s="23"/>
    </row>
    <row r="18" spans="1:17" ht="16.5" thickBot="1">
      <c r="A18" s="34">
        <f>A16+1</f>
        <v>5</v>
      </c>
      <c r="B18" s="13" t="s">
        <v>271</v>
      </c>
      <c r="C18" s="13"/>
      <c r="D18" s="58"/>
      <c r="E18" s="507"/>
      <c r="F18" s="508" t="str">
        <f>"(Line "&amp;A12&amp;" / Line "&amp;A16&amp;")"</f>
        <v>(Line 1 / Line 4)</v>
      </c>
      <c r="G18" s="59"/>
      <c r="H18" s="371">
        <f>H12/H16</f>
        <v>7.8815542097072699E-2</v>
      </c>
      <c r="I18" s="2296"/>
      <c r="J18" s="371">
        <f>J12/J16</f>
        <v>7.1868670968525381E-2</v>
      </c>
      <c r="K18" s="1681">
        <f>$H18-J18</f>
        <v>6.9468711285473189E-3</v>
      </c>
      <c r="L18" s="1665">
        <f>IF(J18=0,"n/m",K18/ABS(J18))</f>
        <v>9.6660631606638112E-2</v>
      </c>
      <c r="M18" s="23"/>
      <c r="N18" s="371">
        <v>7.7637175855371984E-2</v>
      </c>
      <c r="O18" s="1681">
        <f>$H18-N18</f>
        <v>1.1783662417007151E-3</v>
      </c>
      <c r="P18" s="1665">
        <f>IF(N18=0,"n/m",O18/ABS(N18))</f>
        <v>1.5177860718373617E-2</v>
      </c>
      <c r="Q18" s="23"/>
    </row>
    <row r="19" spans="1:17" ht="16.5" thickTop="1">
      <c r="A19" s="8"/>
      <c r="B19" s="8"/>
      <c r="C19" s="7"/>
      <c r="D19" s="22"/>
      <c r="E19" s="373"/>
      <c r="F19" s="22"/>
      <c r="G19" s="9"/>
      <c r="H19" s="318"/>
      <c r="I19"/>
      <c r="J19" s="318"/>
      <c r="K19" s="318"/>
      <c r="L19" s="318"/>
      <c r="M19" s="23"/>
      <c r="N19" s="318"/>
      <c r="O19" s="1643"/>
      <c r="P19" s="1643"/>
      <c r="Q19" s="23"/>
    </row>
    <row r="20" spans="1:17" ht="15.75">
      <c r="A20" s="44"/>
      <c r="B20" s="7" t="s">
        <v>280</v>
      </c>
      <c r="D20" s="349"/>
      <c r="F20" s="23"/>
      <c r="G20" s="349"/>
      <c r="H20" s="23"/>
      <c r="I20"/>
      <c r="J20" s="23"/>
      <c r="K20" s="23"/>
      <c r="L20" s="23"/>
      <c r="M20" s="23"/>
      <c r="N20" s="23"/>
      <c r="O20" s="23"/>
      <c r="P20" s="23"/>
      <c r="Q20" s="23"/>
    </row>
    <row r="21" spans="1:17">
      <c r="A21" s="34">
        <f>+A18+1</f>
        <v>6</v>
      </c>
      <c r="B21" s="349"/>
      <c r="C21" s="51" t="s">
        <v>288</v>
      </c>
      <c r="E21" s="99" t="str">
        <f>"(Note "&amp;B$319&amp;")"</f>
        <v>(Note M)</v>
      </c>
      <c r="F21" s="51" t="s">
        <v>177</v>
      </c>
      <c r="G21" s="349"/>
      <c r="H21" s="626">
        <f>'Att 5 - Cost Support'!G68</f>
        <v>26518616700.57</v>
      </c>
      <c r="I21"/>
      <c r="J21" s="1267">
        <v>24578892585.100002</v>
      </c>
      <c r="K21" s="1096">
        <f>$H21-J21</f>
        <v>1939724115.4699974</v>
      </c>
      <c r="L21" s="1599">
        <f>IF(J21=0,"n/m",K21/ABS(J21))</f>
        <v>7.8918287663044664E-2</v>
      </c>
      <c r="M21" s="23"/>
      <c r="N21" s="1267">
        <v>25826088115.559998</v>
      </c>
      <c r="O21" s="1096">
        <f>$H21-N21</f>
        <v>692528585.01000214</v>
      </c>
      <c r="P21" s="1599">
        <f>IF(N21=0,"n/m",O21/ABS(N21))</f>
        <v>2.681507868753687E-2</v>
      </c>
      <c r="Q21" s="23"/>
    </row>
    <row r="22" spans="1:17">
      <c r="A22" s="45"/>
      <c r="B22" s="349"/>
      <c r="C22" s="51"/>
      <c r="F22" s="51"/>
      <c r="G22" s="349"/>
      <c r="H22" s="626"/>
      <c r="I22"/>
      <c r="J22" s="626"/>
      <c r="K22" s="626"/>
      <c r="L22" s="626"/>
      <c r="M22" s="23"/>
      <c r="N22" s="2168">
        <v>0</v>
      </c>
      <c r="O22" s="626"/>
      <c r="P22" s="626"/>
      <c r="Q22" s="23"/>
    </row>
    <row r="23" spans="1:17" ht="15" customHeight="1">
      <c r="A23" s="34">
        <f>A21+1</f>
        <v>7</v>
      </c>
      <c r="B23" s="349"/>
      <c r="C23" s="51" t="s">
        <v>221</v>
      </c>
      <c r="E23" s="99" t="str">
        <f>"(Note "&amp;B$319&amp;")"</f>
        <v>(Note M)</v>
      </c>
      <c r="F23" s="51" t="s">
        <v>177</v>
      </c>
      <c r="G23" s="349"/>
      <c r="H23" s="626">
        <f>'Att 5 - Cost Support'!$G$132</f>
        <v>8565801806</v>
      </c>
      <c r="I23"/>
      <c r="J23" s="1267">
        <v>7863751463.4200001</v>
      </c>
      <c r="K23" s="1096">
        <f>$H23-J23</f>
        <v>702050342.57999992</v>
      </c>
      <c r="L23" s="1599">
        <f>IF(J23=0,"n/m",K23/ABS(J23))</f>
        <v>8.9276771506035538E-2</v>
      </c>
      <c r="M23" s="23"/>
      <c r="N23" s="1267">
        <v>8395189232.0100002</v>
      </c>
      <c r="O23" s="1096">
        <f>$H23-N23</f>
        <v>170612573.98999977</v>
      </c>
      <c r="P23" s="1599">
        <f>IF(N23=0,"n/m",O23/ABS(N23))</f>
        <v>2.0322659713192817E-2</v>
      </c>
      <c r="Q23" s="23"/>
    </row>
    <row r="24" spans="1:17" ht="15" customHeight="1">
      <c r="A24" s="34">
        <f>+A23+1</f>
        <v>8</v>
      </c>
      <c r="B24" s="349"/>
      <c r="C24" s="51" t="s">
        <v>193</v>
      </c>
      <c r="E24" s="99" t="str">
        <f>"(Note "&amp;B$320&amp;")"</f>
        <v>(Note N)</v>
      </c>
      <c r="F24" s="254" t="s">
        <v>177</v>
      </c>
      <c r="G24" s="349"/>
      <c r="H24" s="626">
        <f>'Att 5 - Cost Support'!G109</f>
        <v>559800279.63999999</v>
      </c>
      <c r="I24"/>
      <c r="J24" s="1267">
        <v>529162302.75000006</v>
      </c>
      <c r="K24" s="1096">
        <f>$H24-J24</f>
        <v>30637976.889999926</v>
      </c>
      <c r="L24" s="1599">
        <f>IF(J24=0,"n/m",K24/ABS(J24))</f>
        <v>5.789901648469218E-2</v>
      </c>
      <c r="M24"/>
      <c r="N24" s="1267">
        <v>555584757.8499999</v>
      </c>
      <c r="O24" s="1096">
        <f>$H24-N24</f>
        <v>4215521.7900000811</v>
      </c>
      <c r="P24" s="1599">
        <f>IF(N24=0,"n/m",O24/ABS(N24))</f>
        <v>7.5875403895407315E-3</v>
      </c>
      <c r="Q24" s="23"/>
    </row>
    <row r="25" spans="1:17" ht="15" customHeight="1">
      <c r="A25" s="34">
        <f>A24+1</f>
        <v>9</v>
      </c>
      <c r="C25" s="26" t="s">
        <v>249</v>
      </c>
      <c r="D25" s="27"/>
      <c r="E25" s="86"/>
      <c r="F25" s="372" t="str">
        <f>"(Line "&amp;A23&amp;" + "&amp;A24&amp;")"</f>
        <v>(Line 7 + 8)</v>
      </c>
      <c r="G25" s="25"/>
      <c r="H25" s="624">
        <f>SUM(H23:H24)</f>
        <v>9125602085.6399994</v>
      </c>
      <c r="I25"/>
      <c r="J25" s="624">
        <f>SUM(J23:J24)</f>
        <v>8392913766.1700001</v>
      </c>
      <c r="K25" s="1634">
        <f>$H25-J25</f>
        <v>732688319.46999931</v>
      </c>
      <c r="L25" s="1626">
        <f>IF(J25=0,"n/m",K25/ABS(J25))</f>
        <v>8.7298444840849629E-2</v>
      </c>
      <c r="M25" s="23"/>
      <c r="N25" s="624">
        <v>8950773989.8600006</v>
      </c>
      <c r="O25" s="1634">
        <f>$H25-N25</f>
        <v>174828095.77999878</v>
      </c>
      <c r="P25" s="1626">
        <f>IF(N25=0,"n/m",O25/ABS(N25))</f>
        <v>1.9532176321070672E-2</v>
      </c>
      <c r="Q25" s="23"/>
    </row>
    <row r="26" spans="1:17" ht="15" customHeight="1">
      <c r="A26" s="44"/>
      <c r="C26" s="37"/>
      <c r="F26" s="254"/>
      <c r="G26" s="349"/>
      <c r="H26" s="623"/>
      <c r="I26"/>
      <c r="J26" s="623"/>
      <c r="K26" s="623"/>
      <c r="L26" s="623"/>
      <c r="M26" s="23"/>
      <c r="N26" s="623"/>
      <c r="O26" s="623"/>
      <c r="P26" s="623"/>
      <c r="Q26" s="23"/>
    </row>
    <row r="27" spans="1:17" ht="15" customHeight="1">
      <c r="A27" s="8">
        <f>+A25+1</f>
        <v>10</v>
      </c>
      <c r="B27" s="349"/>
      <c r="C27" s="25" t="s">
        <v>276</v>
      </c>
      <c r="D27" s="25"/>
      <c r="E27" s="86"/>
      <c r="F27" s="372" t="str">
        <f>"(Line "&amp;A21&amp;" - Line "&amp;A25&amp;")"</f>
        <v>(Line 6 - Line 9)</v>
      </c>
      <c r="G27" s="25"/>
      <c r="H27" s="624">
        <f>H21-H25</f>
        <v>17393014614.93</v>
      </c>
      <c r="I27"/>
      <c r="J27" s="624">
        <f>J21-J25</f>
        <v>16185978818.930002</v>
      </c>
      <c r="K27" s="1634">
        <f>$H27-J27</f>
        <v>1207035795.9999981</v>
      </c>
      <c r="L27" s="1626">
        <f>IF(J27=0,"n/m",K27/ABS(J27))</f>
        <v>7.4572925709524118E-2</v>
      </c>
      <c r="M27" s="23"/>
      <c r="N27" s="624">
        <v>16875314125.699997</v>
      </c>
      <c r="O27" s="1634">
        <f>$H27-N27</f>
        <v>517700489.23000336</v>
      </c>
      <c r="P27" s="1626">
        <f>IF(N27=0,"n/m",O27/ABS(N27))</f>
        <v>3.0677976443803167E-2</v>
      </c>
      <c r="Q27" s="23"/>
    </row>
    <row r="28" spans="1:17" ht="15" customHeight="1">
      <c r="A28" s="44"/>
      <c r="B28" s="349"/>
      <c r="C28" s="349"/>
      <c r="D28" s="349"/>
      <c r="F28" s="23"/>
      <c r="G28" s="349"/>
      <c r="H28" s="623"/>
      <c r="I28"/>
      <c r="J28" s="623"/>
      <c r="K28" s="623"/>
      <c r="L28" s="623"/>
      <c r="M28" s="23"/>
      <c r="N28" s="623">
        <v>0</v>
      </c>
      <c r="O28" s="623"/>
      <c r="P28" s="623"/>
      <c r="Q28" s="23"/>
    </row>
    <row r="29" spans="1:17" ht="15" customHeight="1">
      <c r="A29" s="34">
        <f>+A27+1</f>
        <v>11</v>
      </c>
      <c r="B29" s="349"/>
      <c r="C29" s="349" t="s">
        <v>127</v>
      </c>
      <c r="D29" s="349"/>
      <c r="F29" s="478" t="str">
        <f>"(Line "&amp;A50&amp;" - Line "&amp;A48&amp;")"</f>
        <v>(Line 24 - Line 23)</v>
      </c>
      <c r="G29" s="349"/>
      <c r="H29" s="623">
        <f>H50-H48</f>
        <v>6150705544.5418415</v>
      </c>
      <c r="I29"/>
      <c r="J29" s="623">
        <f>J50-J48</f>
        <v>5463790989.3930483</v>
      </c>
      <c r="K29" s="1662">
        <f>$H29-J29</f>
        <v>686914555.14879322</v>
      </c>
      <c r="L29" s="1663">
        <f>IF(J29=0,"n/m",K29/ABS(J29))</f>
        <v>0.12572123576511479</v>
      </c>
      <c r="M29" s="23"/>
      <c r="N29" s="623">
        <v>5880019112.0832796</v>
      </c>
      <c r="O29" s="1662">
        <f>$H29-N29</f>
        <v>270686432.4585619</v>
      </c>
      <c r="P29" s="1663">
        <f>IF(N29=0,"n/m",O29/ABS(N29))</f>
        <v>4.603495793105649E-2</v>
      </c>
      <c r="Q29" s="23"/>
    </row>
    <row r="30" spans="1:17" ht="15" customHeight="1" thickBot="1">
      <c r="A30" s="8">
        <f>+A29+1</f>
        <v>12</v>
      </c>
      <c r="B30" s="15" t="s">
        <v>216</v>
      </c>
      <c r="C30" s="15"/>
      <c r="D30" s="53"/>
      <c r="E30" s="87"/>
      <c r="F30" s="508" t="str">
        <f>"(Line "&amp;A29&amp;" / Line "&amp;A21&amp;")"</f>
        <v>(Line 11 / Line 6)</v>
      </c>
      <c r="G30" s="53"/>
      <c r="H30" s="371">
        <f>H29/H21</f>
        <v>0.23193915482060706</v>
      </c>
      <c r="I30"/>
      <c r="J30" s="371">
        <f>J29/J21</f>
        <v>0.22229606034835186</v>
      </c>
      <c r="K30" s="1681">
        <f>$H30-J30</f>
        <v>9.6430944722551981E-3</v>
      </c>
      <c r="L30" s="1665">
        <f>IF(J30=0,"n/m",K30/ABS(J30))</f>
        <v>4.3379511346912154E-2</v>
      </c>
      <c r="M30" s="23"/>
      <c r="N30" s="371">
        <v>0.22767749748908422</v>
      </c>
      <c r="O30" s="1681">
        <f>$H30-N30</f>
        <v>4.261657331522839E-3</v>
      </c>
      <c r="P30" s="1665">
        <f>IF(N30=0,"n/m",O30/ABS(N30))</f>
        <v>1.8717955786241722E-2</v>
      </c>
      <c r="Q30" s="23"/>
    </row>
    <row r="31" spans="1:17" ht="15" customHeight="1" thickTop="1">
      <c r="A31" s="44"/>
      <c r="F31" s="23"/>
      <c r="G31" s="349"/>
      <c r="H31" s="23"/>
      <c r="I31"/>
      <c r="J31" s="23"/>
      <c r="K31" s="23"/>
      <c r="L31" s="23"/>
      <c r="M31" s="23"/>
      <c r="N31" s="23"/>
      <c r="O31" s="23"/>
      <c r="P31" s="23"/>
      <c r="Q31" s="23"/>
    </row>
    <row r="32" spans="1:17" s="10" customFormat="1" ht="15" customHeight="1">
      <c r="A32" s="34">
        <f>+A30+1</f>
        <v>13</v>
      </c>
      <c r="B32" s="8"/>
      <c r="C32" s="309" t="s">
        <v>128</v>
      </c>
      <c r="D32" s="22"/>
      <c r="E32" s="373"/>
      <c r="F32" s="478" t="str">
        <f>"(Line "&amp;A64&amp;" - Line "&amp;A48&amp;")"</f>
        <v>(Line 32 - Line 23)</v>
      </c>
      <c r="G32" s="9"/>
      <c r="H32" s="623">
        <f>H64-H48</f>
        <v>4569827764.1202307</v>
      </c>
      <c r="I32"/>
      <c r="J32" s="623">
        <f>J64-J48</f>
        <v>4025337296.027329</v>
      </c>
      <c r="K32" s="1662">
        <f>$H32-J32</f>
        <v>544490468.09290171</v>
      </c>
      <c r="L32" s="1663">
        <f>IF(J32=0,"n/m",K32/ABS(J32))</f>
        <v>0.13526579962138036</v>
      </c>
      <c r="M32" s="23"/>
      <c r="N32" s="623">
        <v>4359821833.5086298</v>
      </c>
      <c r="O32" s="1662">
        <f>$H32-N32</f>
        <v>210005930.61160088</v>
      </c>
      <c r="P32" s="1663">
        <f>IF(N32=0,"n/m",O32/ABS(N32))</f>
        <v>4.8168466196838955E-2</v>
      </c>
      <c r="Q32" s="23"/>
    </row>
    <row r="33" spans="1:17" ht="15" customHeight="1" thickBot="1">
      <c r="A33" s="8">
        <f>+A32+1</f>
        <v>14</v>
      </c>
      <c r="B33" s="15" t="s">
        <v>277</v>
      </c>
      <c r="C33" s="15"/>
      <c r="D33" s="53"/>
      <c r="E33" s="87"/>
      <c r="F33" s="508" t="str">
        <f>"(Line "&amp;A32&amp;" / Line "&amp;A27&amp;")"</f>
        <v>(Line 13 / Line 10)</v>
      </c>
      <c r="G33" s="53"/>
      <c r="H33" s="371">
        <f>H32/H27</f>
        <v>0.26273925856404062</v>
      </c>
      <c r="I33"/>
      <c r="J33" s="371">
        <f>J32/J27</f>
        <v>0.24869285577709843</v>
      </c>
      <c r="K33" s="1681">
        <f>$H33-J33</f>
        <v>1.4046402786942191E-2</v>
      </c>
      <c r="L33" s="1665">
        <f>IF(J33=0,"n/m",K33/ABS(J33))</f>
        <v>5.6480926012333378E-2</v>
      </c>
      <c r="M33" s="23"/>
      <c r="N33" s="371">
        <v>0.25835500311481058</v>
      </c>
      <c r="O33" s="1681">
        <f>$H33-N33</f>
        <v>4.3842554492300456E-3</v>
      </c>
      <c r="P33" s="1665">
        <f>IF(N33=0,"n/m",O33/ABS(N33))</f>
        <v>1.6969887930839578E-2</v>
      </c>
      <c r="Q33" s="23"/>
    </row>
    <row r="34" spans="1:17" ht="15" customHeight="1" thickTop="1">
      <c r="A34" s="19"/>
      <c r="B34" s="8"/>
      <c r="C34" s="7"/>
      <c r="D34" s="22"/>
      <c r="E34" s="373"/>
      <c r="F34" s="9"/>
      <c r="G34" s="9"/>
      <c r="H34" s="318"/>
      <c r="I34"/>
      <c r="J34" s="318"/>
      <c r="K34" s="318"/>
      <c r="L34" s="318"/>
      <c r="M34" s="23"/>
      <c r="N34" s="318"/>
      <c r="O34" s="1643"/>
      <c r="P34" s="1643"/>
      <c r="Q34" s="23"/>
    </row>
    <row r="35" spans="1:17" s="23" customFormat="1" ht="15" customHeight="1">
      <c r="A35" s="625" t="s">
        <v>275</v>
      </c>
      <c r="B35" s="43"/>
      <c r="C35" s="56"/>
      <c r="D35" s="56"/>
      <c r="E35" s="509"/>
      <c r="F35" s="57"/>
      <c r="G35" s="57"/>
      <c r="H35" s="64"/>
      <c r="I35"/>
      <c r="J35" s="64"/>
      <c r="K35" s="64"/>
      <c r="L35" s="64"/>
      <c r="N35" s="64">
        <v>0</v>
      </c>
      <c r="O35" s="64"/>
      <c r="P35" s="64"/>
    </row>
    <row r="36" spans="1:17" s="23" customFormat="1" ht="15" customHeight="1">
      <c r="A36" s="60"/>
      <c r="B36" s="61"/>
      <c r="C36" s="37"/>
      <c r="D36" s="37"/>
      <c r="E36" s="502"/>
      <c r="F36" s="51"/>
      <c r="G36" s="51"/>
      <c r="H36" s="463"/>
      <c r="I36"/>
      <c r="J36" s="497"/>
      <c r="K36" s="497"/>
      <c r="L36" s="497"/>
      <c r="N36" s="497"/>
      <c r="O36" s="497"/>
      <c r="P36" s="497"/>
    </row>
    <row r="37" spans="1:17" ht="15" customHeight="1">
      <c r="A37" s="44"/>
      <c r="B37" s="7" t="s">
        <v>251</v>
      </c>
      <c r="E37" s="373"/>
      <c r="F37" s="254"/>
      <c r="G37" s="16"/>
      <c r="H37" s="254"/>
      <c r="I37"/>
      <c r="J37" s="254"/>
      <c r="K37" s="254"/>
      <c r="L37" s="254"/>
      <c r="M37" s="23"/>
      <c r="N37" s="254"/>
      <c r="O37" s="254"/>
      <c r="P37" s="254"/>
      <c r="Q37" s="23"/>
    </row>
    <row r="38" spans="1:17" ht="15" customHeight="1">
      <c r="A38" s="34">
        <f>+A33+1</f>
        <v>15</v>
      </c>
      <c r="B38" s="34"/>
      <c r="C38" s="309" t="s">
        <v>274</v>
      </c>
      <c r="D38" s="22"/>
      <c r="E38" s="99" t="str">
        <f>"(Note "&amp;B$319&amp;")"</f>
        <v>(Note M)</v>
      </c>
      <c r="F38" s="254" t="s">
        <v>177</v>
      </c>
      <c r="G38" s="9"/>
      <c r="H38" s="626">
        <f>'Att 5 - Cost Support'!G20</f>
        <v>5910756444.3699999</v>
      </c>
      <c r="I38"/>
      <c r="J38" s="1267">
        <v>5231106253.9299994</v>
      </c>
      <c r="K38" s="1096">
        <f>$H38-J38</f>
        <v>679650190.44000053</v>
      </c>
      <c r="L38" s="1599">
        <f>IF(J38=0,"n/m",K38/ABS(J38))</f>
        <v>0.12992475347435284</v>
      </c>
      <c r="M38" s="23"/>
      <c r="N38" s="1267">
        <v>5387870876.6499996</v>
      </c>
      <c r="O38" s="1096">
        <f>$H38-N38</f>
        <v>522885567.72000027</v>
      </c>
      <c r="P38" s="1599">
        <f>IF(N38=0,"n/m",O38/ABS(N38))</f>
        <v>9.7048644945461879E-2</v>
      </c>
      <c r="Q38" s="23"/>
    </row>
    <row r="39" spans="1:17"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78371399.303223729</v>
      </c>
      <c r="I39"/>
      <c r="J39" s="1268">
        <v>69180704.129224867</v>
      </c>
      <c r="K39" s="1096">
        <f>$H39-J39</f>
        <v>9190695.1739988625</v>
      </c>
      <c r="L39" s="1599">
        <f>IF(J39=0,"n/m",K39/ABS(J39))</f>
        <v>0.13285055839893256</v>
      </c>
      <c r="M39" s="23"/>
      <c r="N39" s="1268">
        <v>311624183.28836286</v>
      </c>
      <c r="O39" s="1096">
        <f>$H39-N39</f>
        <v>-233252783.98513913</v>
      </c>
      <c r="P39" s="1599">
        <f>IF(N39=0,"n/m",O39/ABS(N39))</f>
        <v>-0.74850668367190742</v>
      </c>
      <c r="Q39" s="23"/>
    </row>
    <row r="40" spans="1:17" ht="15" customHeight="1">
      <c r="A40" s="34">
        <f>+A39+1</f>
        <v>17</v>
      </c>
      <c r="B40" s="34"/>
      <c r="C40" s="7" t="s">
        <v>13</v>
      </c>
      <c r="D40" s="22"/>
      <c r="E40" s="99"/>
      <c r="F40" s="242" t="str">
        <f>"(Line "&amp;A38&amp;" + Line "&amp;A39&amp;")"</f>
        <v>(Line 15 + Line 16)</v>
      </c>
      <c r="G40" s="9"/>
      <c r="H40" s="627">
        <f>H38+H39</f>
        <v>5989127843.6732235</v>
      </c>
      <c r="I40"/>
      <c r="J40" s="627">
        <f>J38+J39</f>
        <v>5300286958.0592241</v>
      </c>
      <c r="K40" s="1634">
        <f>$H40-J40</f>
        <v>688840885.61399937</v>
      </c>
      <c r="L40" s="1626">
        <f>IF(J40=0,"n/m",K40/ABS(J40))</f>
        <v>0.12996294183027182</v>
      </c>
      <c r="N40" s="627">
        <v>5699495059.9383621</v>
      </c>
      <c r="O40" s="1634">
        <f>$H40-N40</f>
        <v>289632783.73486137</v>
      </c>
      <c r="P40" s="1626">
        <f>IF(N40=0,"n/m",O40/ABS(N40))</f>
        <v>5.0817270773806697E-2</v>
      </c>
      <c r="Q40" s="38"/>
    </row>
    <row r="41" spans="1:17" s="23" customFormat="1" ht="15" customHeight="1">
      <c r="A41" s="34"/>
      <c r="B41" s="34"/>
      <c r="C41" s="309"/>
      <c r="D41" s="22"/>
      <c r="E41" s="45"/>
      <c r="F41" s="254"/>
      <c r="G41" s="22"/>
      <c r="H41" s="626"/>
      <c r="I41"/>
      <c r="J41" s="626"/>
      <c r="K41" s="626"/>
      <c r="L41" s="626"/>
      <c r="N41" s="626"/>
      <c r="O41" s="626"/>
      <c r="P41" s="626"/>
      <c r="Q41" s="51"/>
    </row>
    <row r="42" spans="1:17" ht="15" customHeight="1">
      <c r="A42" s="34">
        <f>+A40+1</f>
        <v>18</v>
      </c>
      <c r="B42" s="34"/>
      <c r="C42" s="309" t="s">
        <v>469</v>
      </c>
      <c r="D42" s="22"/>
      <c r="E42" s="99" t="str">
        <f>"(Note "&amp;B$320&amp;")"</f>
        <v>(Note N)</v>
      </c>
      <c r="F42" s="254" t="s">
        <v>177</v>
      </c>
      <c r="G42" s="22"/>
      <c r="H42" s="626">
        <f>+'Att 5 - Cost Support'!G46</f>
        <v>1173341617.1799996</v>
      </c>
      <c r="I42"/>
      <c r="J42" s="1267">
        <v>1417753200</v>
      </c>
      <c r="K42" s="1096">
        <f>$H42-J42</f>
        <v>-244411582.82000041</v>
      </c>
      <c r="L42" s="1599">
        <f>IF(J42=0,"n/m",K42/ABS(J42))</f>
        <v>-0.17239360335776382</v>
      </c>
      <c r="N42" s="1267">
        <v>1445031806.9200001</v>
      </c>
      <c r="O42" s="1096">
        <f>$H42-N42</f>
        <v>-271690189.74000049</v>
      </c>
      <c r="P42" s="1599">
        <f>IF(N42=0,"n/m",O42/ABS(N42))</f>
        <v>-0.18801675398349332</v>
      </c>
      <c r="Q42" s="51"/>
    </row>
    <row r="43" spans="1:17" ht="15" customHeight="1">
      <c r="A43" s="34">
        <f>A42+1</f>
        <v>19</v>
      </c>
      <c r="B43" s="34"/>
      <c r="C43" s="309" t="s">
        <v>887</v>
      </c>
      <c r="D43" s="22"/>
      <c r="E43" s="99" t="str">
        <f>"(Note "&amp;B$320&amp;")"</f>
        <v>(Note N)</v>
      </c>
      <c r="F43" s="478" t="s">
        <v>177</v>
      </c>
      <c r="G43" s="22"/>
      <c r="H43" s="626">
        <f>+'Att 5 - Cost Support'!G41</f>
        <v>876732474.41999996</v>
      </c>
      <c r="I43"/>
      <c r="J43" s="1267">
        <v>857285827.8599999</v>
      </c>
      <c r="K43" s="1096">
        <f>$H43-J43</f>
        <v>19446646.560000062</v>
      </c>
      <c r="L43" s="1599">
        <f>IF(J43=0,"n/m",K43/ABS(J43))</f>
        <v>2.2683970652522929E-2</v>
      </c>
      <c r="N43" s="1267">
        <v>880195124.06999993</v>
      </c>
      <c r="O43" s="1096">
        <f>$H43-N43</f>
        <v>-3462649.6499999762</v>
      </c>
      <c r="P43" s="1599">
        <f>IF(N43=0,"n/m",O43/ABS(N43))</f>
        <v>-3.9339568640062127E-3</v>
      </c>
      <c r="Q43" s="51"/>
    </row>
    <row r="44" spans="1:17" ht="15" customHeight="1">
      <c r="A44" s="34">
        <f>A43+1</f>
        <v>20</v>
      </c>
      <c r="B44" s="34"/>
      <c r="C44" s="313" t="s">
        <v>88</v>
      </c>
      <c r="D44" s="24"/>
      <c r="E44" s="90"/>
      <c r="F44" s="242" t="str">
        <f>"(Line "&amp;A42&amp;" + Line "&amp;A43&amp;")"</f>
        <v>(Line 18 + Line 19)</v>
      </c>
      <c r="G44" s="24"/>
      <c r="H44" s="624">
        <f>SUM(H42:H43)</f>
        <v>2050074091.5999994</v>
      </c>
      <c r="I44"/>
      <c r="J44" s="624">
        <f>SUM(J42:J43)</f>
        <v>2275039027.8599997</v>
      </c>
      <c r="K44" s="1634">
        <f>$H44-J44</f>
        <v>-224964936.26000023</v>
      </c>
      <c r="L44" s="1626">
        <f>IF(J44=0,"n/m",K44/ABS(J44))</f>
        <v>-9.8883989903070804E-2</v>
      </c>
      <c r="N44" s="624">
        <v>2325226930.9899998</v>
      </c>
      <c r="O44" s="1634">
        <f>$H44-N44</f>
        <v>-275152839.39000034</v>
      </c>
      <c r="P44" s="1626">
        <f>IF(N44=0,"n/m",O44/ABS(N44))</f>
        <v>-0.11833375733045116</v>
      </c>
      <c r="Q44" s="51"/>
    </row>
    <row r="45" spans="1:17" ht="15" customHeight="1">
      <c r="A45" s="34">
        <f>+A44+1</f>
        <v>21</v>
      </c>
      <c r="B45" s="34"/>
      <c r="C45" s="78" t="s">
        <v>12</v>
      </c>
      <c r="D45" s="309"/>
      <c r="E45" s="373"/>
      <c r="F45" s="478" t="str">
        <f>"(Line "&amp;A$18&amp;")"</f>
        <v>(Line 5)</v>
      </c>
      <c r="G45" s="185"/>
      <c r="H45" s="511">
        <f>Allocator.wages.salary</f>
        <v>7.8815542097072699E-2</v>
      </c>
      <c r="I45"/>
      <c r="J45" s="511">
        <f>J18</f>
        <v>7.1868670968525381E-2</v>
      </c>
      <c r="K45" s="511"/>
      <c r="L45" s="511"/>
      <c r="N45" s="511">
        <v>7.7637175855371984E-2</v>
      </c>
      <c r="O45" s="1639"/>
      <c r="P45" s="1639"/>
      <c r="Q45" s="51"/>
    </row>
    <row r="46" spans="1:17" ht="15" customHeight="1">
      <c r="A46" s="34">
        <f>A45+1</f>
        <v>22</v>
      </c>
      <c r="B46" s="23"/>
      <c r="C46" s="249" t="s">
        <v>466</v>
      </c>
      <c r="D46" s="26"/>
      <c r="E46" s="512"/>
      <c r="F46" s="242" t="str">
        <f>"(Line "&amp;A44&amp;" * Line "&amp;A45&amp;")"</f>
        <v>(Line 20 * Line 21)</v>
      </c>
      <c r="G46" s="26"/>
      <c r="H46" s="624">
        <f>+H44*H45</f>
        <v>161577700.86861783</v>
      </c>
      <c r="I46"/>
      <c r="J46" s="624">
        <f>+J44*J45</f>
        <v>163504031.33382416</v>
      </c>
      <c r="K46" s="1634">
        <f>$H46-J46</f>
        <v>-1926330.4652063251</v>
      </c>
      <c r="L46" s="1626">
        <f>IF(J46=0,"n/m",K46/ABS(J46))</f>
        <v>-1.1781547216247898E-2</v>
      </c>
      <c r="M46" s="343"/>
      <c r="N46" s="624">
        <v>180524052.14491752</v>
      </c>
      <c r="O46" s="1634">
        <f>$H46-N46</f>
        <v>-18946351.276299685</v>
      </c>
      <c r="P46" s="1626">
        <f>IF(N46=0,"n/m",O46/ABS(N46))</f>
        <v>-0.10495194989912097</v>
      </c>
      <c r="Q46" s="51"/>
    </row>
    <row r="47" spans="1:17" ht="15" customHeight="1">
      <c r="A47" s="45"/>
      <c r="B47" s="23"/>
      <c r="C47" s="7"/>
      <c r="D47" s="23"/>
      <c r="E47" s="125"/>
      <c r="F47" s="23"/>
      <c r="G47" s="23"/>
      <c r="H47" s="628"/>
      <c r="I47"/>
      <c r="J47" s="628"/>
      <c r="K47" s="628"/>
      <c r="L47" s="628"/>
      <c r="N47" s="628"/>
      <c r="O47" s="628"/>
      <c r="P47" s="628"/>
    </row>
    <row r="48" spans="1:17" ht="15" customHeight="1">
      <c r="A48" s="34">
        <f>+A46+1</f>
        <v>23</v>
      </c>
      <c r="B48" s="34"/>
      <c r="C48" s="12" t="s">
        <v>112</v>
      </c>
      <c r="D48" s="100"/>
      <c r="E48" s="99" t="str">
        <f>"(Notes "&amp;B$300&amp;" &amp; "&amp;B$317&amp;")"</f>
        <v>(Notes B &amp; L)</v>
      </c>
      <c r="F48" s="372" t="s">
        <v>177</v>
      </c>
      <c r="G48" s="24"/>
      <c r="H48" s="642">
        <f>'Att 5 - Cost Support'!I174</f>
        <v>3657534.48</v>
      </c>
      <c r="I48"/>
      <c r="J48" s="1269">
        <v>3707728.6899999995</v>
      </c>
      <c r="K48" s="1634">
        <f>$H48-J48</f>
        <v>-50194.209999999497</v>
      </c>
      <c r="L48" s="1626">
        <f>IF(J48=0,"n/m",K48/ABS(J48))</f>
        <v>-1.3537724627850131E-2</v>
      </c>
      <c r="N48" s="1269">
        <v>3657534.48</v>
      </c>
      <c r="O48" s="1634">
        <f>$H48-N48</f>
        <v>0</v>
      </c>
      <c r="P48" s="1626">
        <f>IF(N48=0,"n/m",O48/ABS(N48))</f>
        <v>0</v>
      </c>
    </row>
    <row r="49" spans="1:16369" ht="15" customHeight="1">
      <c r="A49" s="45"/>
      <c r="B49" s="23"/>
      <c r="C49" s="7"/>
      <c r="D49" s="23"/>
      <c r="E49" s="45"/>
      <c r="F49" s="23"/>
      <c r="G49" s="349"/>
      <c r="H49" s="628"/>
      <c r="I49"/>
      <c r="J49" s="628"/>
      <c r="K49" s="628"/>
      <c r="L49" s="628"/>
      <c r="N49" s="628"/>
      <c r="O49" s="628"/>
      <c r="P49" s="628"/>
    </row>
    <row r="50" spans="1:16369" s="1" customFormat="1" ht="15" customHeight="1" thickBot="1">
      <c r="A50" s="34">
        <f>+A48+1</f>
        <v>24</v>
      </c>
      <c r="B50" s="15" t="s">
        <v>195</v>
      </c>
      <c r="C50" s="171"/>
      <c r="D50" s="171"/>
      <c r="E50" s="194"/>
      <c r="F50" s="508" t="str">
        <f>"(Line "&amp;A40&amp;" + Line "&amp;A46&amp;" + Line "&amp;A48&amp;")"</f>
        <v>(Line 17 + Line 22 + Line 23)</v>
      </c>
      <c r="G50" s="15"/>
      <c r="H50" s="629">
        <f>H40+H46+H48</f>
        <v>6154363079.021841</v>
      </c>
      <c r="I50"/>
      <c r="J50" s="629">
        <f>J40+J46+J48</f>
        <v>5467498718.0830479</v>
      </c>
      <c r="K50" s="1664">
        <f>$H50-J50</f>
        <v>686864360.93879318</v>
      </c>
      <c r="L50" s="1665">
        <f>IF(J50=0,"n/m",K50/ABS(J50))</f>
        <v>0.12562679871639984</v>
      </c>
      <c r="N50" s="629">
        <v>5883676646.5632792</v>
      </c>
      <c r="O50" s="1664">
        <f>$H50-N50</f>
        <v>270686432.4585619</v>
      </c>
      <c r="P50" s="1665">
        <f>IF(N50=0,"n/m",O50/ABS(N50))</f>
        <v>4.6006340714980123E-2</v>
      </c>
    </row>
    <row r="51" spans="1:16369" ht="15" customHeight="1" thickTop="1">
      <c r="A51" s="45"/>
      <c r="B51" s="349"/>
      <c r="C51" s="23"/>
      <c r="D51" s="23"/>
      <c r="E51" s="45"/>
      <c r="F51" s="349"/>
      <c r="G51" s="349"/>
      <c r="H51" s="623"/>
      <c r="I51"/>
      <c r="J51" s="623"/>
      <c r="K51" s="623"/>
      <c r="L51" s="623"/>
      <c r="N51" s="623"/>
      <c r="O51" s="623"/>
      <c r="P51" s="623"/>
    </row>
    <row r="52" spans="1:16369" ht="15" customHeight="1">
      <c r="A52" s="34"/>
      <c r="B52" s="7" t="s">
        <v>709</v>
      </c>
      <c r="C52" s="7"/>
      <c r="D52" s="254"/>
      <c r="E52" s="373"/>
      <c r="F52" s="476"/>
      <c r="G52" s="513"/>
      <c r="H52" s="626"/>
      <c r="I52"/>
      <c r="J52" s="626"/>
      <c r="K52" s="626"/>
      <c r="L52" s="626"/>
      <c r="N52" s="626"/>
      <c r="O52" s="626"/>
      <c r="P52" s="626"/>
    </row>
    <row r="53" spans="1:16369" ht="15" customHeight="1">
      <c r="A53" s="45"/>
      <c r="B53" s="22"/>
      <c r="C53" s="22"/>
      <c r="D53" s="22"/>
      <c r="E53" s="373"/>
      <c r="F53" s="254"/>
      <c r="G53" s="476"/>
      <c r="H53" s="626"/>
      <c r="I53"/>
      <c r="J53" s="626"/>
      <c r="K53" s="626"/>
      <c r="L53" s="626"/>
      <c r="N53" s="626"/>
      <c r="O53" s="626"/>
      <c r="P53" s="626"/>
    </row>
    <row r="54" spans="1:16369" ht="15" customHeight="1">
      <c r="A54" s="34">
        <f>+A50+1</f>
        <v>25</v>
      </c>
      <c r="B54" s="34"/>
      <c r="C54" s="309" t="s">
        <v>287</v>
      </c>
      <c r="D54" s="22"/>
      <c r="E54" s="99" t="str">
        <f>"(Note "&amp;B$319&amp;")"</f>
        <v>(Note M)</v>
      </c>
      <c r="F54" s="254" t="s">
        <v>177</v>
      </c>
      <c r="G54" s="22"/>
      <c r="H54" s="627">
        <f>+'Att 5 - Cost Support'!G88</f>
        <v>1503737224.9200001</v>
      </c>
      <c r="I54"/>
      <c r="J54" s="1270">
        <v>1361684760.1700001</v>
      </c>
      <c r="K54" s="1096">
        <f>$H54-J54</f>
        <v>142052464.75</v>
      </c>
      <c r="L54" s="1599">
        <f>IF(J54=0,"n/m",K54/ABS(J54))</f>
        <v>0.10432110933830632</v>
      </c>
      <c r="N54" s="1270">
        <v>1432003537.01</v>
      </c>
      <c r="O54" s="1096">
        <f>$H54-N54</f>
        <v>71733687.910000086</v>
      </c>
      <c r="P54" s="1599">
        <f>IF(N54=0,"n/m",O54/ABS(N54))</f>
        <v>5.0093233749812414E-2</v>
      </c>
      <c r="Q54" s="2358"/>
      <c r="R54" s="2358"/>
      <c r="S54" s="2358"/>
      <c r="T54" s="2358"/>
      <c r="U54" s="2358"/>
      <c r="V54" s="2358"/>
      <c r="W54" s="2358"/>
      <c r="X54" s="2358"/>
      <c r="Y54" s="2358"/>
    </row>
    <row r="55" spans="1:16369" ht="15" customHeight="1">
      <c r="A55" s="34"/>
      <c r="B55" s="34"/>
      <c r="C55" s="249"/>
      <c r="D55" s="37"/>
      <c r="E55" s="99"/>
      <c r="F55" s="242"/>
      <c r="G55" s="37"/>
      <c r="H55" s="628"/>
      <c r="I55"/>
      <c r="J55" s="628"/>
      <c r="K55" s="628"/>
      <c r="L55" s="628"/>
      <c r="N55" s="628">
        <v>0</v>
      </c>
      <c r="O55" s="628"/>
      <c r="P55" s="628"/>
    </row>
    <row r="56" spans="1:16369" ht="15" customHeight="1">
      <c r="A56" s="34">
        <f>A54+1</f>
        <v>26</v>
      </c>
      <c r="B56" s="34"/>
      <c r="C56" s="249" t="s">
        <v>318</v>
      </c>
      <c r="D56" s="37"/>
      <c r="E56" s="99" t="str">
        <f>"(Note "&amp;B320&amp;")"</f>
        <v>(Note N)</v>
      </c>
      <c r="F56" s="254" t="s">
        <v>177</v>
      </c>
      <c r="G56" s="37"/>
      <c r="H56" s="628">
        <f>+'Att 5 - Cost Support'!G114</f>
        <v>418947736.92000002</v>
      </c>
      <c r="I56"/>
      <c r="J56" s="1128">
        <v>539021262.6500001</v>
      </c>
      <c r="K56" s="1096">
        <f>$H56-J56</f>
        <v>-120073525.73000008</v>
      </c>
      <c r="L56" s="1599">
        <f>IF(J56=0,"n/m",K56/ABS(J56))</f>
        <v>-0.22276213212755358</v>
      </c>
      <c r="N56" s="1128">
        <v>580388319.38999999</v>
      </c>
      <c r="O56" s="1096">
        <f>$H56-N56</f>
        <v>-161440582.46999997</v>
      </c>
      <c r="P56" s="1599">
        <f>IF(N56=0,"n/m",O56/ABS(N56))</f>
        <v>-0.27815959948966124</v>
      </c>
    </row>
    <row r="57" spans="1:16369" ht="15" customHeight="1">
      <c r="A57" s="344">
        <f>+A56+1</f>
        <v>27</v>
      </c>
      <c r="B57" s="34"/>
      <c r="C57" s="510" t="str">
        <f>+C24</f>
        <v>Accumulated Amortization</v>
      </c>
      <c r="D57" s="98"/>
      <c r="E57" s="102" t="str">
        <f>"(Note "&amp;B$320&amp;")"</f>
        <v>(Note N)</v>
      </c>
      <c r="F57" s="478" t="str">
        <f>"(Line "&amp;A$24&amp;")"</f>
        <v>(Line 8)</v>
      </c>
      <c r="G57" s="98"/>
      <c r="H57" s="630">
        <f>H24</f>
        <v>559800279.63999999</v>
      </c>
      <c r="I57"/>
      <c r="J57" s="630">
        <f>J24</f>
        <v>529162302.75000006</v>
      </c>
      <c r="K57" s="1096">
        <f>$H57-J57</f>
        <v>30637976.889999926</v>
      </c>
      <c r="L57" s="1599">
        <f>IF(J57=0,"n/m",K57/ABS(J57))</f>
        <v>5.789901648469218E-2</v>
      </c>
      <c r="N57" s="630">
        <v>555584757.8499999</v>
      </c>
      <c r="O57" s="1096">
        <f>$H57-N57</f>
        <v>4215521.7900000811</v>
      </c>
      <c r="P57" s="1599">
        <f>IF(N57=0,"n/m",O57/ABS(N57))</f>
        <v>7.5875403895407315E-3</v>
      </c>
    </row>
    <row r="58" spans="1:16369" ht="15" customHeight="1">
      <c r="A58" s="34">
        <f>A57+1</f>
        <v>28</v>
      </c>
      <c r="B58" s="34"/>
      <c r="C58" s="26" t="s">
        <v>739</v>
      </c>
      <c r="D58" s="37"/>
      <c r="E58" s="245"/>
      <c r="F58" s="242" t="str">
        <f>"(Line "&amp;A56&amp;" + "&amp;A57&amp;")"</f>
        <v>(Line 26 + 27)</v>
      </c>
      <c r="G58" s="242"/>
      <c r="H58" s="628">
        <f>+H56+H57</f>
        <v>978748016.55999994</v>
      </c>
      <c r="I58"/>
      <c r="J58" s="628">
        <f>+J56+J57</f>
        <v>1068183565.4000001</v>
      </c>
      <c r="K58" s="1634">
        <f>$H58-J58</f>
        <v>-89435548.840000153</v>
      </c>
      <c r="L58" s="1626">
        <f>IF(J58=0,"n/m",K58/ABS(J58))</f>
        <v>-8.372675983505648E-2</v>
      </c>
      <c r="N58" s="628">
        <v>1135973077.2399998</v>
      </c>
      <c r="O58" s="1634">
        <f>$H58-N58</f>
        <v>-157225060.67999983</v>
      </c>
      <c r="P58" s="1626">
        <f>IF(N58=0,"n/m",O58/ABS(N58))</f>
        <v>-0.13840562230752806</v>
      </c>
    </row>
    <row r="59" spans="1:16369" ht="15" customHeight="1">
      <c r="A59" s="34">
        <f>+A58+1</f>
        <v>29</v>
      </c>
      <c r="B59" s="34"/>
      <c r="C59" s="249" t="str">
        <f>+C45</f>
        <v>Wage &amp; Salary Allocator</v>
      </c>
      <c r="D59" s="37"/>
      <c r="E59" s="245"/>
      <c r="F59" s="478" t="str">
        <f>"(Line "&amp;A$18&amp;")"</f>
        <v>(Line 5)</v>
      </c>
      <c r="G59" s="242"/>
      <c r="H59" s="514">
        <f>Allocator.wages.salary</f>
        <v>7.8815542097072699E-2</v>
      </c>
      <c r="I59"/>
      <c r="J59" s="1628">
        <f>J18</f>
        <v>7.1868670968525381E-2</v>
      </c>
      <c r="K59" s="514"/>
      <c r="L59" s="514"/>
      <c r="N59" s="1628">
        <v>7.7637175855371984E-2</v>
      </c>
      <c r="O59" s="1628"/>
      <c r="P59" s="1628"/>
    </row>
    <row r="60" spans="1:16369" ht="15" customHeight="1">
      <c r="A60" s="34">
        <f>+A59+1</f>
        <v>30</v>
      </c>
      <c r="B60" s="23"/>
      <c r="C60" s="313" t="s">
        <v>87</v>
      </c>
      <c r="D60" s="26"/>
      <c r="E60" s="90"/>
      <c r="F60" s="242" t="str">
        <f>"(Line "&amp;A58&amp;" * Line "&amp;A59&amp;")"</f>
        <v>(Line 28 * Line 29)</v>
      </c>
      <c r="G60" s="26"/>
      <c r="H60" s="624">
        <f>H58*H59</f>
        <v>77140555.501611084</v>
      </c>
      <c r="I60"/>
      <c r="J60" s="624">
        <f>J58*J59</f>
        <v>76768933.195718914</v>
      </c>
      <c r="K60" s="1634">
        <f>$H60-J60</f>
        <v>371622.30589216948</v>
      </c>
      <c r="L60" s="1626">
        <f>IF(J60=0,"n/m",K60/ABS(J60))</f>
        <v>4.8407902835478417E-3</v>
      </c>
      <c r="N60" s="624">
        <v>88193741.564649925</v>
      </c>
      <c r="O60" s="1634">
        <f>$H60-N60</f>
        <v>-11053186.063038841</v>
      </c>
      <c r="P60" s="1626">
        <f>IF(N60=0,"n/m",O60/ABS(N60))</f>
        <v>-0.12532846284717794</v>
      </c>
    </row>
    <row r="61" spans="1:16369" ht="15" customHeight="1">
      <c r="A61" s="45"/>
      <c r="B61" s="23"/>
      <c r="C61" s="23"/>
      <c r="D61" s="23"/>
      <c r="E61" s="45"/>
      <c r="F61" s="45"/>
      <c r="G61" s="44"/>
      <c r="H61" s="438"/>
      <c r="I61"/>
      <c r="J61" s="438"/>
      <c r="K61" s="438"/>
      <c r="L61" s="438"/>
      <c r="N61" s="438">
        <v>0</v>
      </c>
      <c r="O61" s="438"/>
      <c r="P61" s="438"/>
    </row>
    <row r="62" spans="1:16369" ht="15" customHeight="1" thickBot="1">
      <c r="A62" s="34">
        <f>+A60+1</f>
        <v>31</v>
      </c>
      <c r="B62" s="171" t="s">
        <v>708</v>
      </c>
      <c r="C62" s="171"/>
      <c r="D62" s="171"/>
      <c r="E62" s="194"/>
      <c r="F62" s="976" t="str">
        <f>"(Line "&amp;A54&amp;" + Line "&amp;A60&amp;" )"</f>
        <v>(Line 25 + Line 30 )</v>
      </c>
      <c r="G62" s="199"/>
      <c r="H62" s="629">
        <f>H54+H60</f>
        <v>1580877780.4216111</v>
      </c>
      <c r="I62"/>
      <c r="J62" s="629">
        <f>J54+J60</f>
        <v>1438453693.3657191</v>
      </c>
      <c r="K62" s="1664">
        <f>$H62-J62</f>
        <v>142424087.05589199</v>
      </c>
      <c r="L62" s="1665">
        <f>IF(J62=0,"n/m",K62/ABS(J62))</f>
        <v>9.9011937410821774E-2</v>
      </c>
      <c r="N62" s="629">
        <v>1520197278.5746498</v>
      </c>
      <c r="O62" s="1664">
        <f>$H62-N62</f>
        <v>60680501.84696126</v>
      </c>
      <c r="P62" s="1665">
        <f>IF(N62=0,"n/m",O62/ABS(N62))</f>
        <v>3.991620212861835E-2</v>
      </c>
    </row>
    <row r="63" spans="1:16369" ht="15" customHeight="1" thickTop="1">
      <c r="A63" s="45"/>
      <c r="B63" s="349"/>
      <c r="C63" s="349"/>
      <c r="D63" s="349"/>
      <c r="F63" s="23"/>
      <c r="G63" s="9"/>
      <c r="H63" s="623"/>
      <c r="I63"/>
      <c r="J63" s="623"/>
      <c r="K63" s="623"/>
      <c r="L63" s="623"/>
      <c r="M63" s="349"/>
      <c r="N63" s="623">
        <v>0</v>
      </c>
      <c r="O63" s="623"/>
      <c r="P63" s="623"/>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row>
    <row r="64" spans="1:16369" ht="15" customHeight="1" thickBot="1">
      <c r="A64" s="34">
        <f>+A62+1</f>
        <v>32</v>
      </c>
      <c r="B64" s="15" t="s">
        <v>4</v>
      </c>
      <c r="C64" s="15"/>
      <c r="D64" s="15"/>
      <c r="E64" s="88"/>
      <c r="F64" s="508" t="str">
        <f>"(Line "&amp;A50&amp;" - Line "&amp;A62&amp;")"</f>
        <v>(Line 24 - Line 31)</v>
      </c>
      <c r="G64" s="15"/>
      <c r="H64" s="629">
        <f>H50-H62</f>
        <v>4573485298.6002302</v>
      </c>
      <c r="I64"/>
      <c r="J64" s="629">
        <f>J50-J62</f>
        <v>4029045024.717329</v>
      </c>
      <c r="K64" s="1664">
        <f>$H64-J64</f>
        <v>544440273.88290119</v>
      </c>
      <c r="L64" s="1665">
        <f>IF(J64=0,"n/m",K64/ABS(J64))</f>
        <v>0.13512886317796813</v>
      </c>
      <c r="M64" s="349"/>
      <c r="N64" s="629">
        <v>4363479367.9886293</v>
      </c>
      <c r="O64" s="1664">
        <f>$H64-N64</f>
        <v>210005930.61160088</v>
      </c>
      <c r="P64" s="1665">
        <f>IF(N64=0,"n/m",O64/ABS(N64))</f>
        <v>4.8128090659084362E-2</v>
      </c>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row>
    <row r="65" spans="1:16369" ht="15" customHeight="1" thickTop="1">
      <c r="A65" s="44"/>
      <c r="B65" s="349"/>
      <c r="C65" s="349"/>
      <c r="D65" s="349"/>
      <c r="F65" s="23"/>
      <c r="G65" s="349"/>
      <c r="H65" s="349"/>
      <c r="I65"/>
      <c r="M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row>
    <row r="66" spans="1:16369" ht="15" customHeight="1">
      <c r="A66" s="625" t="s">
        <v>973</v>
      </c>
      <c r="B66" s="56"/>
      <c r="C66" s="56"/>
      <c r="D66" s="56"/>
      <c r="E66" s="509"/>
      <c r="F66" s="57"/>
      <c r="G66" s="57"/>
      <c r="H66" s="63"/>
      <c r="I66"/>
      <c r="J66" s="63"/>
      <c r="K66" s="63"/>
      <c r="L66" s="63"/>
      <c r="M66" s="349"/>
      <c r="N66" s="63">
        <v>0</v>
      </c>
      <c r="O66" s="63"/>
      <c r="P66" s="63"/>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row>
    <row r="67" spans="1:16369" ht="15" customHeight="1">
      <c r="A67" s="113"/>
      <c r="B67" s="114"/>
      <c r="C67" s="114"/>
      <c r="D67" s="114"/>
      <c r="F67" s="349"/>
      <c r="G67" s="349"/>
      <c r="H67" s="349"/>
      <c r="I67"/>
      <c r="M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row>
    <row r="68" spans="1:16369" ht="15" customHeight="1">
      <c r="A68" s="45"/>
      <c r="B68" s="154" t="s">
        <v>60</v>
      </c>
      <c r="D68" s="23"/>
      <c r="E68" s="50"/>
      <c r="F68" s="349"/>
      <c r="G68" s="349"/>
      <c r="H68" s="476"/>
      <c r="I68"/>
      <c r="J68" s="476"/>
      <c r="K68" s="476"/>
      <c r="L68" s="476"/>
      <c r="M68" s="349"/>
      <c r="N68" s="476"/>
      <c r="O68" s="476"/>
      <c r="P68" s="476"/>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row>
    <row r="69" spans="1:16369" ht="15" customHeight="1">
      <c r="A69" s="45">
        <f>+A64+1</f>
        <v>33</v>
      </c>
      <c r="B69" s="154"/>
      <c r="C69" s="22" t="s">
        <v>80</v>
      </c>
      <c r="D69" s="269"/>
      <c r="F69" s="29" t="s">
        <v>992</v>
      </c>
      <c r="G69" s="349"/>
      <c r="H69" s="627">
        <f>'Att 1a - ADIT'!J19</f>
        <v>-1039502015.9837404</v>
      </c>
      <c r="I69"/>
      <c r="J69" s="1270">
        <v>-888013375.08049166</v>
      </c>
      <c r="K69" s="1096">
        <f>$H69-J69</f>
        <v>-151488640.90324879</v>
      </c>
      <c r="L69" s="1599">
        <f>IF(J69=0,"n/m",K69/ABS(J69))</f>
        <v>-0.17059274685982911</v>
      </c>
      <c r="M69" s="349"/>
      <c r="N69" s="1270">
        <v>-941980576.38080645</v>
      </c>
      <c r="O69" s="1096">
        <f>$H69-N69</f>
        <v>-97521439.602934003</v>
      </c>
      <c r="P69" s="1599">
        <f>IF(N69=0,"n/m",O69/ABS(N69))</f>
        <v>-0.10352807907953067</v>
      </c>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row>
    <row r="70" spans="1:16369" ht="15" customHeight="1">
      <c r="A70" s="45"/>
      <c r="B70" s="23"/>
      <c r="C70" s="154"/>
      <c r="D70" s="51"/>
      <c r="E70" s="103"/>
      <c r="F70" s="51"/>
      <c r="G70" s="38"/>
      <c r="H70" s="631"/>
      <c r="I70"/>
      <c r="J70" s="631"/>
      <c r="K70" s="631"/>
      <c r="L70" s="631"/>
      <c r="N70" s="631"/>
      <c r="O70" s="631"/>
      <c r="P70" s="631"/>
    </row>
    <row r="71" spans="1:16369" ht="15" customHeight="1">
      <c r="A71" s="34"/>
      <c r="B71" s="107" t="s">
        <v>191</v>
      </c>
      <c r="C71" s="23"/>
      <c r="D71" s="23"/>
      <c r="E71" s="23"/>
      <c r="F71" s="22"/>
      <c r="G71" s="23"/>
      <c r="H71" s="623"/>
      <c r="I71"/>
      <c r="J71" s="623"/>
      <c r="K71" s="623"/>
      <c r="L71" s="623"/>
      <c r="N71" s="623"/>
      <c r="O71" s="623"/>
      <c r="P71" s="623"/>
    </row>
    <row r="72" spans="1:16369"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6">
        <f>$H72-J72</f>
        <v>0</v>
      </c>
      <c r="L72" s="1599" t="str">
        <f>IF(J72=0,"n/m",K72/ABS(J72))</f>
        <v>n/m</v>
      </c>
      <c r="N72" s="1271">
        <v>0</v>
      </c>
      <c r="O72" s="1096">
        <f>$H72-N72</f>
        <v>0</v>
      </c>
      <c r="P72" s="1599" t="str">
        <f>IF(N72=0,"n/m",O72/ABS(N72))</f>
        <v>n/m</v>
      </c>
    </row>
    <row r="73" spans="1:16369" ht="15" customHeight="1">
      <c r="A73" s="34"/>
      <c r="B73" s="34"/>
      <c r="C73" s="424"/>
      <c r="D73" s="99"/>
      <c r="E73" s="47"/>
      <c r="F73" s="28"/>
      <c r="G73" s="242"/>
      <c r="H73" s="623"/>
      <c r="I73"/>
      <c r="J73" s="623"/>
      <c r="K73" s="623"/>
      <c r="L73" s="623"/>
      <c r="N73" s="623"/>
      <c r="O73" s="623"/>
      <c r="P73" s="623"/>
    </row>
    <row r="74" spans="1:16369" s="349" customFormat="1" ht="15" customHeight="1">
      <c r="A74" s="34"/>
      <c r="B74" s="7" t="s">
        <v>253</v>
      </c>
      <c r="C74" s="424"/>
      <c r="D74" s="99"/>
      <c r="E74" s="47"/>
      <c r="F74" s="28"/>
      <c r="G74" s="242"/>
      <c r="H74" s="623"/>
      <c r="I74"/>
      <c r="J74" s="623"/>
      <c r="K74" s="623"/>
      <c r="L74" s="623"/>
      <c r="M74" s="23"/>
      <c r="N74" s="623"/>
      <c r="O74" s="623"/>
      <c r="P74" s="623"/>
    </row>
    <row r="75" spans="1:16369" s="349" customFormat="1" ht="15" customHeight="1">
      <c r="A75" s="34">
        <f>A72+1</f>
        <v>35</v>
      </c>
      <c r="B75" s="34"/>
      <c r="C75" s="249" t="s">
        <v>1133</v>
      </c>
      <c r="D75" s="99"/>
      <c r="E75" s="47"/>
      <c r="F75" s="37" t="s">
        <v>177</v>
      </c>
      <c r="G75" s="242"/>
      <c r="H75" s="1083">
        <f>-'Att 5 - Cost Support'!$J$165</f>
        <v>-147745.9045290584</v>
      </c>
      <c r="I75"/>
      <c r="J75" s="1271">
        <v>-480758.10721694009</v>
      </c>
      <c r="K75" s="1096">
        <f>$H75-J75</f>
        <v>333012.20268788165</v>
      </c>
      <c r="L75" s="1599">
        <f>IF(J75=0,"n/m",K75/ABS(J75))</f>
        <v>0.6926814081527517</v>
      </c>
      <c r="M75" s="23"/>
      <c r="N75" s="1272">
        <v>-283452.12482738949</v>
      </c>
      <c r="O75" s="1096">
        <f>$H75-N75</f>
        <v>135706.22029833109</v>
      </c>
      <c r="P75" s="1599">
        <f>IF(N75=0,"n/m",O75/ABS(N75))</f>
        <v>0.47876240257846192</v>
      </c>
    </row>
    <row r="76" spans="1:16369" s="349" customFormat="1" ht="15" customHeight="1">
      <c r="A76" s="34"/>
      <c r="B76" s="34"/>
      <c r="C76" s="424"/>
      <c r="D76" s="99"/>
      <c r="E76" s="47"/>
      <c r="F76" s="28"/>
      <c r="G76" s="242"/>
      <c r="H76" s="623"/>
      <c r="I76"/>
      <c r="J76" s="623"/>
      <c r="K76" s="623"/>
      <c r="L76" s="623"/>
      <c r="M76" s="23"/>
      <c r="N76" s="623"/>
      <c r="O76" s="623"/>
      <c r="P76" s="623"/>
    </row>
    <row r="77" spans="1:16369" s="349" customFormat="1" ht="15" customHeight="1">
      <c r="A77" s="34"/>
      <c r="B77" s="182" t="s">
        <v>673</v>
      </c>
      <c r="C77" s="21"/>
      <c r="D77" s="22"/>
      <c r="E77" s="45"/>
      <c r="F77" s="192"/>
      <c r="G77" s="515"/>
      <c r="H77" s="623"/>
      <c r="I77"/>
      <c r="J77" s="623"/>
      <c r="K77" s="623"/>
      <c r="L77" s="623"/>
      <c r="N77" s="623"/>
      <c r="O77" s="623"/>
      <c r="P77" s="623"/>
    </row>
    <row r="78" spans="1:16369" s="349" customFormat="1" ht="15" customHeight="1">
      <c r="A78" s="34">
        <f>A75+1</f>
        <v>36</v>
      </c>
      <c r="B78" s="183"/>
      <c r="C78" s="332" t="s">
        <v>673</v>
      </c>
      <c r="D78" s="99"/>
      <c r="E78" s="99"/>
      <c r="F78" s="332" t="s">
        <v>1126</v>
      </c>
      <c r="G78" s="193"/>
      <c r="H78" s="633">
        <f>'Att 16 - Unfunded Reserves'!$AG$81</f>
        <v>-10698010.230083596</v>
      </c>
      <c r="I78"/>
      <c r="J78" s="1271">
        <v>-12393942.524052344</v>
      </c>
      <c r="K78" s="1096">
        <f>$H78-J78</f>
        <v>1695932.2939687483</v>
      </c>
      <c r="L78" s="1599">
        <f>IF(J78=0,"n/m",K78/ABS(J78))</f>
        <v>0.13683557840271826</v>
      </c>
      <c r="N78" s="1273">
        <v>-11983949.616304541</v>
      </c>
      <c r="O78" s="1096">
        <f>$H78-N78</f>
        <v>1285939.386220945</v>
      </c>
      <c r="P78" s="1599">
        <f>IF(N78=0,"n/m",O78/ABS(N78))</f>
        <v>0.10730513957363305</v>
      </c>
    </row>
    <row r="79" spans="1:16369" s="349" customFormat="1" ht="15" customHeight="1">
      <c r="A79" s="34"/>
      <c r="B79" s="34"/>
      <c r="C79" s="424"/>
      <c r="D79" s="99"/>
      <c r="E79" s="47"/>
      <c r="F79" s="28"/>
      <c r="G79" s="242"/>
      <c r="H79" s="632"/>
      <c r="I79"/>
      <c r="J79" s="632"/>
      <c r="K79" s="632"/>
      <c r="L79" s="632"/>
      <c r="N79" s="632"/>
      <c r="O79" s="632"/>
      <c r="P79" s="632"/>
    </row>
    <row r="80" spans="1:16369" ht="15" customHeight="1">
      <c r="A80" s="34"/>
      <c r="B80" s="182" t="s">
        <v>244</v>
      </c>
      <c r="C80" s="21"/>
      <c r="D80" s="22"/>
      <c r="E80" s="45"/>
      <c r="F80" s="192"/>
      <c r="G80" s="515"/>
      <c r="H80" s="632"/>
      <c r="I80"/>
      <c r="J80" s="632"/>
      <c r="K80" s="632"/>
      <c r="L80" s="632"/>
      <c r="N80" s="632"/>
      <c r="O80" s="632"/>
      <c r="P80" s="632"/>
    </row>
    <row r="81" spans="1:16" ht="15" customHeight="1">
      <c r="A81" s="34">
        <f>A78+1</f>
        <v>37</v>
      </c>
      <c r="B81" s="183"/>
      <c r="C81" s="332" t="s">
        <v>244</v>
      </c>
      <c r="D81" s="99"/>
      <c r="E81" s="99" t="str">
        <f>"(Note "&amp;B$316&amp;" &amp; "&amp;B320&amp;")"</f>
        <v>(Note K &amp; N)</v>
      </c>
      <c r="F81" s="332" t="s">
        <v>689</v>
      </c>
      <c r="G81" s="193"/>
      <c r="H81" s="633">
        <f>'Att 11 - Prepayments'!H59</f>
        <v>5657766.8130643042</v>
      </c>
      <c r="I81"/>
      <c r="J81" s="1273">
        <v>5228471.5256504668</v>
      </c>
      <c r="K81" s="1096">
        <f>$H81-J81</f>
        <v>429295.28741383739</v>
      </c>
      <c r="L81" s="1599">
        <f>IF(J81=0,"n/m",K81/ABS(J81))</f>
        <v>8.2107224895028835E-2</v>
      </c>
      <c r="N81" s="1273">
        <v>5557013.5368139045</v>
      </c>
      <c r="O81" s="1096">
        <f>$H81-N81</f>
        <v>100753.27625039965</v>
      </c>
      <c r="P81" s="1599">
        <f>IF(N81=0,"n/m",O81/ABS(N81))</f>
        <v>1.8130831530809299E-2</v>
      </c>
    </row>
    <row r="82" spans="1:16" s="349" customFormat="1" ht="15" customHeight="1">
      <c r="A82" s="34"/>
      <c r="B82" s="183"/>
      <c r="C82" s="332"/>
      <c r="D82" s="99"/>
      <c r="E82" s="99"/>
      <c r="F82" s="332"/>
      <c r="G82" s="193"/>
      <c r="H82" s="633"/>
      <c r="I82"/>
      <c r="J82" s="633"/>
      <c r="K82" s="633"/>
      <c r="L82" s="633"/>
      <c r="N82" s="633"/>
      <c r="O82" s="633"/>
      <c r="P82" s="633"/>
    </row>
    <row r="83" spans="1:16" s="349" customFormat="1" ht="15" customHeight="1">
      <c r="A83" s="23"/>
      <c r="B83" s="182" t="s">
        <v>651</v>
      </c>
      <c r="C83" s="249"/>
      <c r="D83" s="99"/>
      <c r="E83" s="99"/>
      <c r="F83" s="47"/>
      <c r="G83" s="51"/>
      <c r="H83" s="634"/>
      <c r="I83"/>
      <c r="J83" s="634"/>
      <c r="K83" s="634"/>
      <c r="L83" s="634"/>
      <c r="N83" s="634"/>
      <c r="O83" s="634"/>
      <c r="P83" s="634"/>
    </row>
    <row r="84" spans="1:16" s="349" customFormat="1" ht="15" customHeight="1">
      <c r="A84" s="34">
        <f>+A81+1</f>
        <v>38</v>
      </c>
      <c r="B84" s="16"/>
      <c r="C84" s="249" t="s">
        <v>652</v>
      </c>
      <c r="D84" s="99"/>
      <c r="E84" s="99" t="str">
        <f>"(Note "&amp;B321&amp;")"</f>
        <v>(Note O)</v>
      </c>
      <c r="F84" s="47"/>
      <c r="G84" s="51"/>
      <c r="H84" s="971">
        <v>0</v>
      </c>
      <c r="I84"/>
      <c r="J84" s="971">
        <v>0</v>
      </c>
      <c r="K84" s="1096">
        <f>$H84-J84</f>
        <v>0</v>
      </c>
      <c r="L84" s="1599" t="str">
        <f>IF(J84=0,"n/m",K84/ABS(J84))</f>
        <v>n/m</v>
      </c>
      <c r="N84" s="971">
        <v>0</v>
      </c>
      <c r="O84" s="1096">
        <f>$H84-N84</f>
        <v>0</v>
      </c>
      <c r="P84" s="1599" t="str">
        <f>IF(N84=0,"n/m",O84/ABS(N84))</f>
        <v>n/m</v>
      </c>
    </row>
    <row r="85" spans="1:16" ht="15" customHeight="1">
      <c r="A85" s="34"/>
      <c r="B85" s="20"/>
      <c r="C85" s="21"/>
      <c r="E85" s="8"/>
      <c r="F85" s="193"/>
      <c r="G85" s="515"/>
      <c r="H85" s="635"/>
      <c r="I85"/>
      <c r="J85" s="635"/>
      <c r="K85" s="635"/>
      <c r="L85" s="635"/>
      <c r="N85" s="635"/>
      <c r="O85" s="635"/>
      <c r="P85" s="635"/>
    </row>
    <row r="86" spans="1:16" ht="15" customHeight="1">
      <c r="A86" s="34"/>
      <c r="B86" s="182" t="s">
        <v>243</v>
      </c>
      <c r="C86" s="23"/>
      <c r="D86" s="23"/>
      <c r="E86" s="84"/>
      <c r="F86" s="193"/>
      <c r="G86" s="515"/>
      <c r="H86" s="635"/>
      <c r="I86"/>
      <c r="J86" s="635"/>
      <c r="K86" s="635"/>
      <c r="L86" s="635"/>
      <c r="N86" s="635"/>
      <c r="O86" s="635"/>
      <c r="P86" s="635"/>
    </row>
    <row r="87" spans="1:16" ht="15" customHeight="1">
      <c r="A87" s="45">
        <f>+A84+1</f>
        <v>39</v>
      </c>
      <c r="B87" s="23"/>
      <c r="C87" s="23" t="s">
        <v>321</v>
      </c>
      <c r="D87" s="22"/>
      <c r="E87" s="99" t="str">
        <f>"(Note "&amp;B$320&amp;")"</f>
        <v>(Note N)</v>
      </c>
      <c r="F87" s="21" t="s">
        <v>177</v>
      </c>
      <c r="G87" s="349"/>
      <c r="H87" s="626">
        <f>'Att 5 - Cost Support'!$H$143</f>
        <v>0</v>
      </c>
      <c r="I87"/>
      <c r="J87" s="971">
        <v>0</v>
      </c>
      <c r="K87" s="1096">
        <f>$H87-J87</f>
        <v>0</v>
      </c>
      <c r="L87" s="1599" t="str">
        <f>IF(J87=0,"n/m",K87/ABS(J87))</f>
        <v>n/m</v>
      </c>
      <c r="N87" s="971">
        <v>0</v>
      </c>
      <c r="O87" s="1096">
        <f>$H87-N87</f>
        <v>0</v>
      </c>
      <c r="P87" s="1599" t="str">
        <f>IF(N87=0,"n/m",O87/ABS(N87))</f>
        <v>n/m</v>
      </c>
    </row>
    <row r="88" spans="1:16" s="23" customFormat="1" ht="15" customHeight="1">
      <c r="A88" s="34">
        <f t="shared" ref="A88:A94" si="0">+A87+1</f>
        <v>40</v>
      </c>
      <c r="B88" s="20"/>
      <c r="C88" s="78" t="s">
        <v>12</v>
      </c>
      <c r="D88" s="46"/>
      <c r="E88" s="89"/>
      <c r="F88" s="478" t="str">
        <f>"(Line "&amp;A$18&amp;")"</f>
        <v>(Line 5)</v>
      </c>
      <c r="G88" s="516"/>
      <c r="H88" s="374">
        <f>H18</f>
        <v>7.8815542097072699E-2</v>
      </c>
      <c r="I88"/>
      <c r="J88" s="374">
        <f>J18</f>
        <v>7.1868670968525381E-2</v>
      </c>
      <c r="K88" s="1096">
        <f>$H88-J88</f>
        <v>6.9468711285473189E-3</v>
      </c>
      <c r="L88" s="1599">
        <f>IF(J88=0,"n/m",K88/ABS(J88))</f>
        <v>9.6660631606638112E-2</v>
      </c>
      <c r="N88" s="374">
        <v>7.7637175855371984E-2</v>
      </c>
      <c r="O88" s="1096">
        <f>$H88-N88</f>
        <v>1.1783662417007151E-3</v>
      </c>
      <c r="P88" s="1599">
        <f>IF(N88=0,"n/m",O88/ABS(N88))</f>
        <v>1.5177860718373617E-2</v>
      </c>
    </row>
    <row r="89" spans="1:16" ht="15" customHeight="1">
      <c r="A89" s="34">
        <f t="shared" si="0"/>
        <v>41</v>
      </c>
      <c r="B89" s="20"/>
      <c r="C89" s="21" t="s">
        <v>16</v>
      </c>
      <c r="D89" s="22"/>
      <c r="E89" s="45"/>
      <c r="F89" s="242" t="str">
        <f>"(Line "&amp;A87&amp;" * Line "&amp;A88&amp;")"</f>
        <v>(Line 39 * Line 40)</v>
      </c>
      <c r="G89" s="515"/>
      <c r="H89" s="636">
        <f>H87*H88</f>
        <v>0</v>
      </c>
      <c r="I89"/>
      <c r="J89" s="636">
        <f>J87*J88</f>
        <v>0</v>
      </c>
      <c r="K89" s="1634">
        <f>$H89-J89</f>
        <v>0</v>
      </c>
      <c r="L89" s="1626" t="str">
        <f>IF(J89=0,"n/m",K89/ABS(J89))</f>
        <v>n/m</v>
      </c>
      <c r="N89" s="636">
        <v>0</v>
      </c>
      <c r="O89" s="1634">
        <f>$H89-N89</f>
        <v>0</v>
      </c>
      <c r="P89" s="1626" t="str">
        <f>IF(N89=0,"n/m",O89/ABS(N89))</f>
        <v>n/m</v>
      </c>
    </row>
    <row r="90" spans="1:16" ht="15" customHeight="1">
      <c r="A90" s="34">
        <f t="shared" si="0"/>
        <v>42</v>
      </c>
      <c r="B90" s="20"/>
      <c r="C90" s="21" t="s">
        <v>363</v>
      </c>
      <c r="D90" s="22"/>
      <c r="E90" s="99" t="str">
        <f>"(Note "&amp;B$320&amp;")"</f>
        <v>(Note N)</v>
      </c>
      <c r="F90" s="21" t="s">
        <v>177</v>
      </c>
      <c r="G90" s="515"/>
      <c r="H90" s="631">
        <f>'Att 5 - Cost Support'!$H$147</f>
        <v>134703542</v>
      </c>
      <c r="I90"/>
      <c r="J90" s="1139">
        <v>91333148</v>
      </c>
      <c r="K90" s="1096">
        <f>$H90-J90</f>
        <v>43370394</v>
      </c>
      <c r="L90" s="1599">
        <f>IF(J90=0,"n/m",K90/ABS(J90))</f>
        <v>0.47485929205024224</v>
      </c>
      <c r="N90" s="1139">
        <v>111221100</v>
      </c>
      <c r="O90" s="1096">
        <f>$H90-N90</f>
        <v>23482442</v>
      </c>
      <c r="P90" s="1599">
        <f>IF(N90=0,"n/m",O90/ABS(N90))</f>
        <v>0.2111329774656068</v>
      </c>
    </row>
    <row r="91" spans="1:16" ht="15" customHeight="1">
      <c r="A91" s="34">
        <f t="shared" si="0"/>
        <v>43</v>
      </c>
      <c r="B91" s="20"/>
      <c r="C91" s="21" t="s">
        <v>12</v>
      </c>
      <c r="D91" s="22"/>
      <c r="E91" s="45"/>
      <c r="F91" s="242" t="str">
        <f>"(Line "&amp;A$18&amp;")"</f>
        <v>(Line 5)</v>
      </c>
      <c r="G91" s="516"/>
      <c r="H91" s="374">
        <f>H18</f>
        <v>7.8815542097072699E-2</v>
      </c>
      <c r="I91"/>
      <c r="J91" s="374">
        <f>J18</f>
        <v>7.1868670968525381E-2</v>
      </c>
      <c r="K91" s="374"/>
      <c r="L91" s="374"/>
      <c r="N91" s="374">
        <v>7.7637175855371984E-2</v>
      </c>
      <c r="O91" s="374"/>
      <c r="P91" s="374"/>
    </row>
    <row r="92" spans="1:16" ht="15" customHeight="1">
      <c r="A92" s="34">
        <f t="shared" si="0"/>
        <v>44</v>
      </c>
      <c r="B92" s="20"/>
      <c r="C92" s="590" t="s">
        <v>364</v>
      </c>
      <c r="D92" s="591"/>
      <c r="E92" s="592"/>
      <c r="F92" s="593" t="str">
        <f>"(Line "&amp;A90&amp;" * Line "&amp;A91&amp;")"</f>
        <v>(Line 42 * Line 43)</v>
      </c>
      <c r="G92" s="515"/>
      <c r="H92" s="636">
        <f>H90*H91</f>
        <v>10616732.6851258</v>
      </c>
      <c r="I92"/>
      <c r="J92" s="636">
        <f>J90*J91</f>
        <v>6563991.9621316316</v>
      </c>
      <c r="K92" s="1634">
        <f>$H92-J92</f>
        <v>4052740.7229941683</v>
      </c>
      <c r="L92" s="1626">
        <f>IF(J92=0,"n/m",K92/ABS(J92))</f>
        <v>0.61742012275073777</v>
      </c>
      <c r="N92" s="636">
        <v>8634892.0995279122</v>
      </c>
      <c r="O92" s="1634">
        <f>$H92-N92</f>
        <v>1981840.5855978876</v>
      </c>
      <c r="P92" s="1626">
        <f>IF(N92=0,"n/m",O92/ABS(N92))</f>
        <v>0.22951538510900896</v>
      </c>
    </row>
    <row r="93" spans="1:16" ht="15" customHeight="1">
      <c r="A93" s="34">
        <f t="shared" si="0"/>
        <v>45</v>
      </c>
      <c r="B93" s="20"/>
      <c r="C93" s="21" t="s">
        <v>234</v>
      </c>
      <c r="D93" s="22"/>
      <c r="E93" s="99" t="str">
        <f>"(Note "&amp;B$320&amp;")"</f>
        <v>(Note N)</v>
      </c>
      <c r="F93" s="78" t="s">
        <v>177</v>
      </c>
      <c r="G93" s="515"/>
      <c r="H93" s="635">
        <f>'Att 5 - Cost Support'!$H$151</f>
        <v>653625</v>
      </c>
      <c r="I93"/>
      <c r="J93" s="805">
        <v>678432</v>
      </c>
      <c r="K93" s="1096">
        <f>$H93-J93</f>
        <v>-24807</v>
      </c>
      <c r="L93" s="1599">
        <f>IF(J93=0,"n/m",K93/ABS(J93))</f>
        <v>-3.6565197396349232E-2</v>
      </c>
      <c r="N93" s="805">
        <v>490752</v>
      </c>
      <c r="O93" s="1096">
        <f>$H93-N93</f>
        <v>162873</v>
      </c>
      <c r="P93" s="1599">
        <f>IF(N93=0,"n/m",O93/ABS(N93))</f>
        <v>0.3318845363849765</v>
      </c>
    </row>
    <row r="94" spans="1:16" ht="15" customHeight="1">
      <c r="A94" s="34">
        <f t="shared" si="0"/>
        <v>46</v>
      </c>
      <c r="B94" s="20"/>
      <c r="C94" s="184" t="s">
        <v>242</v>
      </c>
      <c r="D94" s="70"/>
      <c r="E94" s="517"/>
      <c r="F94" s="242" t="str">
        <f>"(Line "&amp;A89&amp;" + Line "&amp;A92&amp;" + Line "&amp;A93&amp;")"</f>
        <v>(Line 41 + Line 44 + Line 45)</v>
      </c>
      <c r="G94" s="518"/>
      <c r="H94" s="637">
        <f>H89+H92+H93</f>
        <v>11270357.6851258</v>
      </c>
      <c r="I94"/>
      <c r="J94" s="637">
        <f>J89+J92+J93</f>
        <v>7242423.9621316316</v>
      </c>
      <c r="K94" s="1634">
        <f>$H94-J94</f>
        <v>4027933.7229941683</v>
      </c>
      <c r="L94" s="1626">
        <f>IF(J94=0,"n/m",K94/ABS(J94))</f>
        <v>0.55615823432251044</v>
      </c>
      <c r="N94" s="637">
        <v>9125644.0995279122</v>
      </c>
      <c r="O94" s="1634">
        <f>$H94-N94</f>
        <v>2144713.5855978876</v>
      </c>
      <c r="P94" s="1626">
        <f>IF(N94=0,"n/m",O94/ABS(N94))</f>
        <v>0.23502051605418603</v>
      </c>
    </row>
    <row r="95" spans="1:16" ht="15" customHeight="1">
      <c r="A95" s="34"/>
      <c r="B95" s="20"/>
      <c r="C95" s="21"/>
      <c r="D95" s="22"/>
      <c r="E95" s="8"/>
      <c r="F95" s="193"/>
      <c r="G95" s="515"/>
      <c r="H95" s="623"/>
      <c r="I95"/>
      <c r="J95" s="623"/>
      <c r="K95" s="623"/>
      <c r="L95" s="623"/>
      <c r="N95" s="623"/>
      <c r="O95" s="623"/>
      <c r="P95" s="623"/>
    </row>
    <row r="96" spans="1:16" ht="15" customHeight="1">
      <c r="A96" s="34"/>
      <c r="B96" s="182" t="s">
        <v>245</v>
      </c>
      <c r="C96" s="23"/>
      <c r="D96" s="22"/>
      <c r="F96" s="193"/>
      <c r="G96" s="515"/>
      <c r="H96" s="623"/>
      <c r="I96"/>
      <c r="J96" s="623"/>
      <c r="K96" s="623"/>
      <c r="L96" s="623"/>
      <c r="N96" s="623"/>
      <c r="O96" s="623"/>
      <c r="P96" s="623"/>
    </row>
    <row r="97" spans="1:17" ht="15" customHeight="1">
      <c r="A97" s="34">
        <f>+A94+1</f>
        <v>47</v>
      </c>
      <c r="B97" s="20"/>
      <c r="C97" s="21" t="s">
        <v>108</v>
      </c>
      <c r="D97" s="29"/>
      <c r="E97" s="45"/>
      <c r="F97" s="242" t="str">
        <f>"(Line "&amp;A$139&amp;")"</f>
        <v>(Line 75)</v>
      </c>
      <c r="G97" s="515"/>
      <c r="H97" s="635">
        <f>H139</f>
        <v>69887252.685854971</v>
      </c>
      <c r="I97"/>
      <c r="J97" s="635">
        <f>J139</f>
        <v>67575087.323311478</v>
      </c>
      <c r="K97" s="1096">
        <f>$H97-J97</f>
        <v>2312165.3625434935</v>
      </c>
      <c r="L97" s="1599">
        <f>IF(J97=0,"n/m",K97/ABS(J97))</f>
        <v>3.42162393587594E-2</v>
      </c>
      <c r="N97" s="635">
        <v>60959586.422687441</v>
      </c>
      <c r="O97" s="1096">
        <f>$H97-N97</f>
        <v>8927666.2631675303</v>
      </c>
      <c r="P97" s="1599">
        <f>IF(N97=0,"n/m",O97/ABS(N97))</f>
        <v>0.14645221181889292</v>
      </c>
    </row>
    <row r="98" spans="1:17" ht="15" customHeight="1">
      <c r="A98" s="34">
        <f>+A97+1</f>
        <v>48</v>
      </c>
      <c r="B98" s="20"/>
      <c r="C98" s="29" t="s">
        <v>281</v>
      </c>
      <c r="D98" s="29"/>
      <c r="E98" s="99" t="str">
        <f>"(Note "&amp;B327&amp;")"</f>
        <v>(Note S)</v>
      </c>
      <c r="F98" s="906" t="s">
        <v>1731</v>
      </c>
      <c r="G98" s="349"/>
      <c r="H98" s="704">
        <v>0</v>
      </c>
      <c r="I98"/>
      <c r="J98" s="2169">
        <v>0</v>
      </c>
      <c r="K98" s="1600"/>
      <c r="L98" s="1600"/>
      <c r="N98" s="2169">
        <v>0</v>
      </c>
      <c r="O98" s="1619"/>
      <c r="P98" s="1619"/>
    </row>
    <row r="99" spans="1:17" s="31" customFormat="1" ht="15" customHeight="1">
      <c r="A99" s="34">
        <f>+A98+1</f>
        <v>49</v>
      </c>
      <c r="B99" s="185"/>
      <c r="C99" s="181" t="s">
        <v>233</v>
      </c>
      <c r="D99" s="520"/>
      <c r="E99" s="521"/>
      <c r="F99" s="242" t="str">
        <f>"(Line "&amp;A97&amp;" * Line "&amp;A98&amp;")"</f>
        <v>(Line 47 * Line 48)</v>
      </c>
      <c r="G99" s="522"/>
      <c r="H99" s="638">
        <f>H97*H98</f>
        <v>0</v>
      </c>
      <c r="I99"/>
      <c r="J99" s="638">
        <f>J97*J98</f>
        <v>0</v>
      </c>
      <c r="K99" s="1634">
        <f>$H99-J99</f>
        <v>0</v>
      </c>
      <c r="L99" s="1626" t="str">
        <f>IF(J99=0,"n/m",K99/ABS(J99))</f>
        <v>n/m</v>
      </c>
      <c r="N99" s="638">
        <v>0</v>
      </c>
      <c r="O99" s="1634">
        <f>$H99-N99</f>
        <v>0</v>
      </c>
      <c r="P99" s="1626" t="str">
        <f>IF(N99=0,"n/m",O99/ABS(N99))</f>
        <v>n/m</v>
      </c>
    </row>
    <row r="100" spans="1:17" s="31" customFormat="1" ht="15" customHeight="1">
      <c r="A100" s="34"/>
      <c r="B100" s="185"/>
      <c r="C100" s="154"/>
      <c r="D100" s="523"/>
      <c r="E100" s="93"/>
      <c r="F100" s="242"/>
      <c r="G100" s="524"/>
      <c r="H100" s="639"/>
      <c r="I100"/>
      <c r="J100" s="639"/>
      <c r="K100" s="639"/>
      <c r="L100" s="639"/>
      <c r="N100" s="639"/>
      <c r="O100" s="639"/>
      <c r="P100" s="639"/>
    </row>
    <row r="101" spans="1:17" ht="15" customHeight="1">
      <c r="A101" s="34"/>
      <c r="B101" s="525" t="s">
        <v>426</v>
      </c>
      <c r="C101" s="21"/>
      <c r="D101" s="22"/>
      <c r="E101" s="45"/>
      <c r="F101" s="192"/>
      <c r="G101" s="515"/>
      <c r="H101" s="632"/>
      <c r="I101"/>
      <c r="J101" s="632"/>
      <c r="K101" s="632"/>
      <c r="L101" s="632"/>
      <c r="N101" s="632"/>
      <c r="O101" s="632"/>
      <c r="P101" s="632"/>
    </row>
    <row r="102" spans="1:17" ht="15" customHeight="1">
      <c r="A102" s="34">
        <f>A99+1</f>
        <v>50</v>
      </c>
      <c r="B102" s="183"/>
      <c r="C102" s="332" t="s">
        <v>426</v>
      </c>
      <c r="D102" s="99"/>
      <c r="E102" s="99" t="str">
        <f>"(Note "&amp;B$320&amp;")"</f>
        <v>(Note N)</v>
      </c>
      <c r="F102" s="332" t="s">
        <v>177</v>
      </c>
      <c r="G102" s="193"/>
      <c r="H102" s="633">
        <f>'Att 5 - Cost Support'!H270</f>
        <v>-35613529.590000004</v>
      </c>
      <c r="I102"/>
      <c r="J102" s="1273">
        <v>-58242600.740000002</v>
      </c>
      <c r="K102" s="1096">
        <f>$H102-J102</f>
        <v>22629071.149999999</v>
      </c>
      <c r="L102" s="1599">
        <f>IF(J102=0,"n/m",K102/ABS(J102))</f>
        <v>0.3885312616965394</v>
      </c>
      <c r="N102" s="1273">
        <v>-52282847.609999999</v>
      </c>
      <c r="O102" s="1096">
        <f>$H102-N102</f>
        <v>16669318.019999996</v>
      </c>
      <c r="P102" s="1599">
        <f>IF(N102=0,"n/m",O102/ABS(N102))</f>
        <v>0.3188295737895443</v>
      </c>
      <c r="Q102" s="31"/>
    </row>
    <row r="103" spans="1:17" ht="15" customHeight="1">
      <c r="A103" s="8"/>
      <c r="B103" s="20"/>
      <c r="C103" s="21"/>
      <c r="E103" s="8"/>
      <c r="F103" s="193"/>
      <c r="G103" s="515"/>
      <c r="H103" s="640"/>
      <c r="I103"/>
      <c r="J103" s="640"/>
      <c r="K103" s="640"/>
      <c r="L103" s="640"/>
      <c r="N103" s="640"/>
      <c r="O103" s="640"/>
      <c r="P103" s="640"/>
      <c r="Q103" s="349"/>
    </row>
    <row r="104" spans="1:17"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-1069033177.210163</v>
      </c>
      <c r="I104"/>
      <c r="J104" s="629">
        <f>J69+J72+J75+J78+J81+J84+J94+J99+J102</f>
        <v>-946659780.96397889</v>
      </c>
      <c r="K104" s="1664">
        <f>$H104-J104</f>
        <v>-122373396.24618411</v>
      </c>
      <c r="L104" s="1665">
        <f>IF(J104=0,"n/m",K104/ABS(J104))</f>
        <v>-0.12926861234304463</v>
      </c>
      <c r="M104" s="23"/>
      <c r="N104" s="629">
        <v>-991848168.09559655</v>
      </c>
      <c r="O104" s="1664">
        <f>$H104-N104</f>
        <v>-77185009.114566445</v>
      </c>
      <c r="P104" s="1665">
        <f>IF(N104=0,"n/m",O104/ABS(N104))</f>
        <v>-7.7819379616101872E-2</v>
      </c>
      <c r="Q104" s="31"/>
    </row>
    <row r="105" spans="1:17" ht="15" customHeight="1" thickTop="1">
      <c r="A105" s="44"/>
      <c r="B105" s="349"/>
      <c r="C105" s="349"/>
      <c r="D105" s="349"/>
      <c r="F105" s="23"/>
      <c r="G105" s="349"/>
      <c r="H105" s="632"/>
      <c r="I105"/>
      <c r="J105" s="632"/>
      <c r="K105" s="632"/>
      <c r="L105" s="632"/>
      <c r="N105" s="632"/>
      <c r="O105" s="632"/>
      <c r="P105" s="632"/>
      <c r="Q105" s="349"/>
    </row>
    <row r="106" spans="1:17" s="10" customFormat="1" ht="15" customHeight="1" thickBot="1">
      <c r="A106" s="8">
        <f>+A104+1</f>
        <v>52</v>
      </c>
      <c r="B106" s="15" t="s">
        <v>278</v>
      </c>
      <c r="C106" s="15"/>
      <c r="D106" s="15"/>
      <c r="E106" s="88"/>
      <c r="F106" s="508" t="str">
        <f>"(Line "&amp;A64&amp;" + Line "&amp;A104&amp;")"</f>
        <v>(Line 32 + Line 51)</v>
      </c>
      <c r="G106" s="15"/>
      <c r="H106" s="641">
        <f>H64+H104</f>
        <v>3504452121.3900671</v>
      </c>
      <c r="I106"/>
      <c r="J106" s="641">
        <f>J64+J104</f>
        <v>3082385243.7533503</v>
      </c>
      <c r="K106" s="1664">
        <f>$H106-J106</f>
        <v>422066877.63671684</v>
      </c>
      <c r="L106" s="1665">
        <f>IF(J106=0,"n/m",K106/ABS(J106))</f>
        <v>0.13692865889883887</v>
      </c>
      <c r="N106" s="641">
        <v>3371631199.893033</v>
      </c>
      <c r="O106" s="1664">
        <f>$H106-N106</f>
        <v>132820921.49703407</v>
      </c>
      <c r="P106" s="1665">
        <f>IF(N106=0,"n/m",O106/ABS(N106))</f>
        <v>3.9393668412265222E-2</v>
      </c>
      <c r="Q106" s="31"/>
    </row>
    <row r="107" spans="1:17" ht="15" customHeight="1" thickTop="1">
      <c r="B107" s="349"/>
      <c r="C107" s="349"/>
      <c r="D107" s="349"/>
      <c r="F107" s="349"/>
      <c r="G107" s="349"/>
      <c r="H107" s="349"/>
      <c r="I107"/>
      <c r="Q107" s="349"/>
    </row>
    <row r="108" spans="1:17" s="23" customFormat="1" ht="15" customHeight="1">
      <c r="A108" s="693" t="s">
        <v>19</v>
      </c>
      <c r="B108" s="187"/>
      <c r="C108" s="188"/>
      <c r="D108" s="62"/>
      <c r="E108" s="526"/>
      <c r="F108" s="63"/>
      <c r="G108" s="63"/>
      <c r="H108" s="64"/>
      <c r="I108"/>
      <c r="J108" s="64"/>
      <c r="K108" s="64"/>
      <c r="L108" s="64"/>
      <c r="N108" s="64">
        <v>0</v>
      </c>
      <c r="O108" s="64"/>
      <c r="P108" s="64"/>
      <c r="Q108" s="31"/>
    </row>
    <row r="109" spans="1:17" s="23" customFormat="1" ht="15" customHeight="1">
      <c r="A109" s="22"/>
      <c r="B109" s="22"/>
      <c r="C109" s="22"/>
      <c r="D109" s="22"/>
      <c r="E109" s="16"/>
      <c r="H109" s="463"/>
      <c r="I109"/>
      <c r="J109" s="497"/>
      <c r="K109" s="497"/>
      <c r="L109" s="497"/>
      <c r="N109" s="497"/>
      <c r="O109" s="497"/>
      <c r="P109" s="497"/>
      <c r="Q109" s="349"/>
    </row>
    <row r="110" spans="1:17" ht="15" customHeight="1">
      <c r="A110" s="8"/>
      <c r="B110" s="7" t="s">
        <v>270</v>
      </c>
      <c r="D110" s="476"/>
      <c r="E110" s="157"/>
      <c r="F110" s="349"/>
      <c r="G110" s="476"/>
      <c r="H110" s="476"/>
      <c r="I110"/>
      <c r="J110" s="476"/>
      <c r="K110" s="476"/>
      <c r="L110" s="476"/>
      <c r="N110" s="476"/>
      <c r="O110" s="476"/>
      <c r="P110" s="476"/>
      <c r="Q110" s="31"/>
    </row>
    <row r="111" spans="1:17" ht="15" customHeight="1">
      <c r="A111" s="34">
        <f>+A106+1</f>
        <v>53</v>
      </c>
      <c r="B111" s="34"/>
      <c r="C111" s="309" t="s">
        <v>270</v>
      </c>
      <c r="D111" s="22"/>
      <c r="E111" s="45"/>
      <c r="F111" s="254" t="s">
        <v>177</v>
      </c>
      <c r="G111" s="16"/>
      <c r="H111" s="626">
        <f>'Att 5 - Cost Support'!J242</f>
        <v>215095477.46000001</v>
      </c>
      <c r="I111"/>
      <c r="J111" s="1267">
        <v>196780268.21000001</v>
      </c>
      <c r="K111" s="1096">
        <f>$H111-J111</f>
        <v>18315209.25</v>
      </c>
      <c r="L111" s="1599">
        <f>IF(J111=0,"n/m",K111/ABS(J111))</f>
        <v>9.3074419587915042E-2</v>
      </c>
      <c r="N111" s="1267">
        <v>210726234.88000003</v>
      </c>
      <c r="O111" s="1096">
        <f>$H111-N111</f>
        <v>4369242.5799999833</v>
      </c>
      <c r="P111" s="1599">
        <f>IF(N111=0,"n/m",O111/ABS(N111))</f>
        <v>2.0734212721487139E-2</v>
      </c>
      <c r="Q111" s="349"/>
    </row>
    <row r="112" spans="1:17" ht="15" customHeight="1">
      <c r="A112" s="34">
        <f>A111+1</f>
        <v>54</v>
      </c>
      <c r="B112" s="34"/>
      <c r="C112" s="309" t="s">
        <v>644</v>
      </c>
      <c r="D112" s="22"/>
      <c r="E112" s="45"/>
      <c r="F112" s="254" t="s">
        <v>177</v>
      </c>
      <c r="G112" s="16"/>
      <c r="H112" s="626">
        <f>'Att 5 - Cost Support'!J251</f>
        <v>10252059</v>
      </c>
      <c r="I112"/>
      <c r="J112" s="1267">
        <v>8626105</v>
      </c>
      <c r="K112" s="1096">
        <f>$H112-J112</f>
        <v>1625954</v>
      </c>
      <c r="L112" s="1599">
        <f>IF(J112=0,"n/m",K112/ABS(J112))</f>
        <v>0.18849225693403918</v>
      </c>
      <c r="N112" s="1267">
        <v>9499436.5199999958</v>
      </c>
      <c r="O112" s="1096">
        <f>$H112-N112</f>
        <v>752622.48000000417</v>
      </c>
      <c r="P112" s="1599">
        <f>IF(N112=0,"n/m",O112/ABS(N112))</f>
        <v>7.9228118258955899E-2</v>
      </c>
      <c r="Q112" s="31"/>
    </row>
    <row r="113" spans="1:17" ht="15" customHeight="1">
      <c r="A113" s="34">
        <f>A112+1</f>
        <v>55</v>
      </c>
      <c r="B113" s="34"/>
      <c r="C113" s="309" t="s">
        <v>422</v>
      </c>
      <c r="D113" s="22"/>
      <c r="E113" s="45"/>
      <c r="F113" s="254" t="s">
        <v>177</v>
      </c>
      <c r="G113" s="22"/>
      <c r="H113" s="626">
        <f>'Att 5 - Cost Support'!J253</f>
        <v>148425345</v>
      </c>
      <c r="I113"/>
      <c r="J113" s="1267">
        <v>137182304</v>
      </c>
      <c r="K113" s="1096">
        <f>$H113-J113</f>
        <v>11243041</v>
      </c>
      <c r="L113" s="1599">
        <f>IF(J113=0,"n/m",K113/ABS(J113))</f>
        <v>8.1956933745623628E-2</v>
      </c>
      <c r="N113" s="1267">
        <v>151335724</v>
      </c>
      <c r="O113" s="1096">
        <f>$H113-N113</f>
        <v>-2910379</v>
      </c>
      <c r="P113" s="1599">
        <f>IF(N113=0,"n/m",O113/ABS(N113))</f>
        <v>-1.923127549183298E-2</v>
      </c>
      <c r="Q113" s="349"/>
    </row>
    <row r="114" spans="1:17" ht="15" customHeight="1">
      <c r="A114" s="34">
        <f>A113+1</f>
        <v>56</v>
      </c>
      <c r="B114" s="22"/>
      <c r="C114" s="12" t="s">
        <v>270</v>
      </c>
      <c r="D114" s="24"/>
      <c r="E114" s="90"/>
      <c r="F114" s="372" t="str">
        <f>"(Lines "&amp;A111&amp;"  - "&amp;A113&amp;")"</f>
        <v>(Lines 53  - 55)</v>
      </c>
      <c r="G114" s="26"/>
      <c r="H114" s="642">
        <f>H111-H112-H113</f>
        <v>56418073.460000008</v>
      </c>
      <c r="I114"/>
      <c r="J114" s="642">
        <f>J111-J112-J113</f>
        <v>50971859.210000008</v>
      </c>
      <c r="K114" s="1634">
        <f>$H114-J114</f>
        <v>5446214.25</v>
      </c>
      <c r="L114" s="1626">
        <f>IF(J114=0,"n/m",K114/ABS(J114))</f>
        <v>0.10684747102439467</v>
      </c>
      <c r="N114" s="642">
        <v>49891074.360000014</v>
      </c>
      <c r="O114" s="1634">
        <f>$H114-N114</f>
        <v>6526999.099999994</v>
      </c>
      <c r="P114" s="1626">
        <f>IF(N114=0,"n/m",O114/ABS(N114))</f>
        <v>0.13082498590635666</v>
      </c>
      <c r="Q114" s="31"/>
    </row>
    <row r="115" spans="1:17" ht="15" customHeight="1">
      <c r="A115" s="34"/>
      <c r="B115" s="34"/>
      <c r="C115" s="7"/>
      <c r="D115" s="22"/>
      <c r="E115" s="373"/>
      <c r="F115" s="22"/>
      <c r="G115" s="22"/>
      <c r="H115" s="643"/>
      <c r="I115"/>
      <c r="J115" s="643"/>
      <c r="K115" s="643"/>
      <c r="L115" s="643"/>
      <c r="N115" s="643"/>
      <c r="O115" s="643"/>
      <c r="P115" s="643"/>
      <c r="Q115" s="349"/>
    </row>
    <row r="116" spans="1:17" ht="15" customHeight="1">
      <c r="A116" s="34"/>
      <c r="B116" s="7" t="s">
        <v>89</v>
      </c>
      <c r="C116" s="22"/>
      <c r="D116" s="22"/>
      <c r="E116" s="373"/>
      <c r="F116" s="22"/>
      <c r="G116" s="22"/>
      <c r="H116" s="643"/>
      <c r="I116"/>
      <c r="J116" s="643"/>
      <c r="K116" s="643"/>
      <c r="L116" s="643"/>
      <c r="N116" s="643"/>
      <c r="O116" s="643"/>
      <c r="P116" s="643"/>
      <c r="Q116" s="31"/>
    </row>
    <row r="117" spans="1:17" ht="15" customHeight="1">
      <c r="A117" s="34">
        <f>A114+1</f>
        <v>57</v>
      </c>
      <c r="B117" s="34"/>
      <c r="C117" s="309" t="s">
        <v>273</v>
      </c>
      <c r="D117" s="22"/>
      <c r="E117" s="45"/>
      <c r="F117" s="254" t="s">
        <v>111</v>
      </c>
      <c r="G117" s="626"/>
      <c r="H117" s="1096">
        <f>INDEX(Inputs_EndYrBal,MATCH(F117,Inputs_FF1_Map,0))</f>
        <v>134217341</v>
      </c>
      <c r="I117"/>
      <c r="J117" s="1267">
        <v>175800080</v>
      </c>
      <c r="K117" s="1096">
        <f t="shared" ref="K117:K124" si="1">$H117-J117</f>
        <v>-41582739</v>
      </c>
      <c r="L117" s="1599">
        <f t="shared" ref="L117:L124" si="2">IF(J117=0,"n/m",K117/ABS(J117))</f>
        <v>-0.23653424389795499</v>
      </c>
      <c r="N117" s="1267">
        <v>103886947</v>
      </c>
      <c r="O117" s="1096">
        <f t="shared" ref="O117:O124" si="3">$H117-N117</f>
        <v>30330394</v>
      </c>
      <c r="P117" s="1599">
        <f t="shared" ref="P117:P124" si="4">IF(N117=0,"n/m",O117/ABS(N117))</f>
        <v>0.29195577380861909</v>
      </c>
      <c r="Q117" s="349"/>
    </row>
    <row r="118" spans="1:17" ht="15" customHeight="1">
      <c r="A118" s="34">
        <f>A117+1</f>
        <v>58</v>
      </c>
      <c r="B118" s="34"/>
      <c r="C118" s="309" t="s">
        <v>1016</v>
      </c>
      <c r="D118" s="22"/>
      <c r="E118" s="99" t="str">
        <f>IF(Toggle=True_up,"",IF(Toggle=Projection,"(Note H)"))</f>
        <v>(Note H)</v>
      </c>
      <c r="F118" s="254" t="s">
        <v>177</v>
      </c>
      <c r="G118" s="22"/>
      <c r="H118" s="626">
        <f>-'Att 5 - Cost Support'!I195</f>
        <v>0</v>
      </c>
      <c r="I118"/>
      <c r="J118" s="1267">
        <v>-14170366.069999998</v>
      </c>
      <c r="K118" s="1096">
        <f t="shared" si="1"/>
        <v>14170366.069999998</v>
      </c>
      <c r="L118" s="1599">
        <f t="shared" si="2"/>
        <v>1</v>
      </c>
      <c r="N118" s="1267">
        <v>0</v>
      </c>
      <c r="O118" s="1096">
        <f t="shared" si="3"/>
        <v>0</v>
      </c>
      <c r="P118" s="1599" t="str">
        <f t="shared" si="4"/>
        <v>n/m</v>
      </c>
    </row>
    <row r="119" spans="1:17" s="23" customFormat="1" ht="15" customHeight="1">
      <c r="A119" s="34">
        <f t="shared" ref="A119:A126" si="5">A118+1</f>
        <v>59</v>
      </c>
      <c r="B119" s="34"/>
      <c r="C119" s="309" t="s">
        <v>309</v>
      </c>
      <c r="D119" s="254"/>
      <c r="E119" s="45"/>
      <c r="F119" s="309" t="s">
        <v>34</v>
      </c>
      <c r="G119" s="626"/>
      <c r="H119" s="1096">
        <f>INDEX(Inputs_EndYrBal,MATCH(F119,Inputs_FF1_Map,0))</f>
        <v>15938310</v>
      </c>
      <c r="I119"/>
      <c r="J119" s="1267">
        <v>13818764</v>
      </c>
      <c r="K119" s="1096">
        <f t="shared" si="1"/>
        <v>2119546</v>
      </c>
      <c r="L119" s="1599">
        <f t="shared" si="2"/>
        <v>0.15338173515373735</v>
      </c>
      <c r="N119" s="1267">
        <v>15633179</v>
      </c>
      <c r="O119" s="1096">
        <f t="shared" si="3"/>
        <v>305131</v>
      </c>
      <c r="P119" s="1599">
        <f t="shared" si="4"/>
        <v>1.951816709832338E-2</v>
      </c>
    </row>
    <row r="120" spans="1:17" s="23" customFormat="1" ht="15" customHeight="1">
      <c r="A120" s="34">
        <f t="shared" si="5"/>
        <v>60</v>
      </c>
      <c r="B120" s="34"/>
      <c r="C120" s="309" t="s">
        <v>678</v>
      </c>
      <c r="D120" s="254"/>
      <c r="E120" s="45"/>
      <c r="F120" s="309" t="s">
        <v>177</v>
      </c>
      <c r="G120" s="22"/>
      <c r="H120" s="626">
        <f>'Att 5 - Cost Support'!H303</f>
        <v>89288.44</v>
      </c>
      <c r="I120"/>
      <c r="J120" s="1267">
        <v>48580.84</v>
      </c>
      <c r="K120" s="1096">
        <f t="shared" si="1"/>
        <v>40707.600000000006</v>
      </c>
      <c r="L120" s="1599">
        <f t="shared" si="2"/>
        <v>0.83793528477482082</v>
      </c>
      <c r="N120" s="1267">
        <v>89288.44</v>
      </c>
      <c r="O120" s="1096">
        <f t="shared" si="3"/>
        <v>0</v>
      </c>
      <c r="P120" s="1599">
        <f t="shared" si="4"/>
        <v>0</v>
      </c>
    </row>
    <row r="121" spans="1:17" ht="15" customHeight="1">
      <c r="A121" s="34">
        <f>A120+1</f>
        <v>61</v>
      </c>
      <c r="B121" s="34"/>
      <c r="C121" s="309" t="s">
        <v>310</v>
      </c>
      <c r="D121" s="254"/>
      <c r="E121" s="99" t="str">
        <f>"(Note "&amp;B$303&amp;")"</f>
        <v>(Note D)</v>
      </c>
      <c r="F121" s="309" t="s">
        <v>35</v>
      </c>
      <c r="G121" s="22"/>
      <c r="H121" s="1096">
        <f>INDEX(Inputs_EndYrBal,MATCH(F121,Inputs_FF1_Map,0))</f>
        <v>22275686</v>
      </c>
      <c r="I121"/>
      <c r="J121" s="1267">
        <v>22768237</v>
      </c>
      <c r="K121" s="1096">
        <f t="shared" si="1"/>
        <v>-492551</v>
      </c>
      <c r="L121" s="1599">
        <f t="shared" si="2"/>
        <v>-2.1633251621546279E-2</v>
      </c>
      <c r="N121" s="1267">
        <v>24280590</v>
      </c>
      <c r="O121" s="1096">
        <f t="shared" si="3"/>
        <v>-2004904</v>
      </c>
      <c r="P121" s="1599">
        <f t="shared" si="4"/>
        <v>-8.2572293342130482E-2</v>
      </c>
    </row>
    <row r="122" spans="1:17" ht="15" customHeight="1">
      <c r="A122" s="34">
        <f t="shared" si="5"/>
        <v>62</v>
      </c>
      <c r="B122" s="34"/>
      <c r="C122" s="309" t="s">
        <v>311</v>
      </c>
      <c r="D122" s="254"/>
      <c r="E122" s="45"/>
      <c r="F122" s="309" t="s">
        <v>38</v>
      </c>
      <c r="G122" s="22"/>
      <c r="H122" s="1096">
        <f>INDEX(Inputs_EndYrBal,MATCH(F122,Inputs_FF1_Map,0))</f>
        <v>319</v>
      </c>
      <c r="I122"/>
      <c r="J122" s="1267">
        <v>1546</v>
      </c>
      <c r="K122" s="1096">
        <f t="shared" si="1"/>
        <v>-1227</v>
      </c>
      <c r="L122" s="1599">
        <f t="shared" si="2"/>
        <v>-0.79366106080206988</v>
      </c>
      <c r="N122" s="1267">
        <v>6832</v>
      </c>
      <c r="O122" s="1096">
        <f t="shared" si="3"/>
        <v>-6513</v>
      </c>
      <c r="P122" s="1599">
        <f t="shared" si="4"/>
        <v>-0.95330796252927397</v>
      </c>
    </row>
    <row r="123" spans="1:17" ht="15" customHeight="1">
      <c r="A123" s="34">
        <f t="shared" si="5"/>
        <v>63</v>
      </c>
      <c r="B123" s="34"/>
      <c r="C123" s="309" t="s">
        <v>410</v>
      </c>
      <c r="D123" s="23"/>
      <c r="E123" s="99" t="str">
        <f>"(Note "&amp;B$301&amp;")"</f>
        <v>(Note C)</v>
      </c>
      <c r="F123" s="478" t="s">
        <v>177</v>
      </c>
      <c r="G123" s="22"/>
      <c r="H123" s="626">
        <f>'Att 5 - Cost Support'!I190</f>
        <v>154650.02000000002</v>
      </c>
      <c r="I123"/>
      <c r="J123" s="1267">
        <v>129300</v>
      </c>
      <c r="K123" s="1096">
        <f t="shared" si="1"/>
        <v>25350.020000000019</v>
      </c>
      <c r="L123" s="1599">
        <f t="shared" si="2"/>
        <v>0.19605583913379751</v>
      </c>
      <c r="N123" s="1267">
        <v>233720</v>
      </c>
      <c r="O123" s="1096">
        <f t="shared" si="3"/>
        <v>-79069.979999999981</v>
      </c>
      <c r="P123" s="1599">
        <f t="shared" si="4"/>
        <v>-0.33831071367448223</v>
      </c>
    </row>
    <row r="124" spans="1:17" ht="15" customHeight="1">
      <c r="A124" s="34">
        <f t="shared" si="5"/>
        <v>64</v>
      </c>
      <c r="B124" s="34"/>
      <c r="C124" s="313" t="s">
        <v>90</v>
      </c>
      <c r="D124" s="24"/>
      <c r="E124" s="512"/>
      <c r="F124" s="242" t="str">
        <f>"(Line "&amp;A117&amp;" - Sum (Lines "&amp;A118&amp;" to "&amp;A123&amp;"))"</f>
        <v>(Line 57 - Sum (Lines 58 to 63))</v>
      </c>
      <c r="G124" s="24"/>
      <c r="H124" s="624">
        <f>H117-SUM(+H118+H119+H120+H121+H122+H123)</f>
        <v>95759087.539999992</v>
      </c>
      <c r="I124"/>
      <c r="J124" s="624">
        <f>J117-SUM(+J118+J119+J120+J121+J122+J123)</f>
        <v>153204018.22999999</v>
      </c>
      <c r="K124" s="1634">
        <f t="shared" si="1"/>
        <v>-57444930.689999998</v>
      </c>
      <c r="L124" s="1626">
        <f t="shared" si="2"/>
        <v>-0.37495707588922295</v>
      </c>
      <c r="N124" s="624">
        <v>63643337.560000002</v>
      </c>
      <c r="O124" s="1634">
        <f t="shared" si="3"/>
        <v>32115749.979999989</v>
      </c>
      <c r="P124" s="1626">
        <f t="shared" si="4"/>
        <v>0.5046207696088022</v>
      </c>
    </row>
    <row r="125" spans="1:17" ht="15" customHeight="1">
      <c r="A125" s="34">
        <f t="shared" si="5"/>
        <v>65</v>
      </c>
      <c r="B125" s="34"/>
      <c r="C125" s="78" t="s">
        <v>12</v>
      </c>
      <c r="D125" s="29"/>
      <c r="F125" s="98" t="str">
        <f>"(Line "&amp;A$18&amp;")"</f>
        <v>(Line 5)</v>
      </c>
      <c r="G125" s="515"/>
      <c r="H125" s="374">
        <f>Allocator.wages.salary</f>
        <v>7.8815542097072699E-2</v>
      </c>
      <c r="I125"/>
      <c r="J125" s="374">
        <f>J18</f>
        <v>7.1868670968525381E-2</v>
      </c>
      <c r="K125" s="374"/>
      <c r="L125" s="374"/>
      <c r="N125" s="374">
        <v>7.7637175855371984E-2</v>
      </c>
      <c r="O125" s="374"/>
      <c r="P125" s="374"/>
    </row>
    <row r="126" spans="1:17" ht="15.75">
      <c r="A126" s="34">
        <f t="shared" si="5"/>
        <v>66</v>
      </c>
      <c r="B126" s="34"/>
      <c r="C126" s="12" t="s">
        <v>91</v>
      </c>
      <c r="D126" s="24"/>
      <c r="E126" s="505"/>
      <c r="F126" s="242" t="str">
        <f>"(Line "&amp;A124&amp;" * Line "&amp;A125&amp;")"</f>
        <v>(Line 64 * Line 65)</v>
      </c>
      <c r="G126" s="27"/>
      <c r="H126" s="642">
        <f>H124*H125</f>
        <v>7547304.3951861393</v>
      </c>
      <c r="I126"/>
      <c r="J126" s="642">
        <f>J124*J125</f>
        <v>11010569.177227834</v>
      </c>
      <c r="K126" s="1634">
        <f>$H126-J126</f>
        <v>-3463264.782041695</v>
      </c>
      <c r="L126" s="1626">
        <f>IF(J126=0,"n/m",K126/ABS(J126))</f>
        <v>-0.3145400320634153</v>
      </c>
      <c r="N126" s="642">
        <v>4941088.9901685212</v>
      </c>
      <c r="O126" s="1634">
        <f>$H126-N126</f>
        <v>2606215.4050176181</v>
      </c>
      <c r="P126" s="1626">
        <f>IF(N126=0,"n/m",O126/ABS(N126))</f>
        <v>0.52745769408389676</v>
      </c>
    </row>
    <row r="127" spans="1:17" ht="15.75">
      <c r="A127" s="34"/>
      <c r="B127" s="34"/>
      <c r="C127" s="17"/>
      <c r="D127" s="37"/>
      <c r="E127" s="252"/>
      <c r="F127" s="28"/>
      <c r="G127" s="28"/>
      <c r="H127" s="628"/>
      <c r="I127"/>
      <c r="J127" s="628"/>
      <c r="K127" s="628"/>
      <c r="L127" s="628"/>
      <c r="N127" s="628"/>
      <c r="O127" s="628"/>
      <c r="P127" s="628"/>
    </row>
    <row r="128" spans="1:17" ht="15.75">
      <c r="A128" s="34"/>
      <c r="B128" s="7" t="s">
        <v>235</v>
      </c>
      <c r="C128" s="23"/>
      <c r="D128" s="37"/>
      <c r="E128" s="252"/>
      <c r="F128" s="28"/>
      <c r="G128" s="28"/>
      <c r="H128" s="628"/>
      <c r="I128"/>
      <c r="J128" s="628"/>
      <c r="K128" s="628"/>
      <c r="L128" s="628"/>
      <c r="N128" s="628"/>
      <c r="O128" s="628"/>
      <c r="P128" s="628"/>
    </row>
    <row r="129" spans="1:16">
      <c r="A129" s="34">
        <f>+A126+1</f>
        <v>67</v>
      </c>
      <c r="B129" s="20"/>
      <c r="C129" s="21" t="s">
        <v>312</v>
      </c>
      <c r="D129" s="85"/>
      <c r="E129" s="99" t="str">
        <f>"(Note "&amp;B$304&amp;")"</f>
        <v>(Note E)</v>
      </c>
      <c r="F129" s="254" t="s">
        <v>177</v>
      </c>
      <c r="G129" s="23"/>
      <c r="H129" s="635">
        <f>+'Att 5 - Cost Support'!I214</f>
        <v>2225156.6800000002</v>
      </c>
      <c r="I129"/>
      <c r="J129" s="805">
        <v>2520802.14</v>
      </c>
      <c r="K129" s="1096">
        <f>$H129-J129</f>
        <v>-295645.45999999996</v>
      </c>
      <c r="L129" s="1599">
        <f>IF(J129=0,"n/m",K129/ABS(J129))</f>
        <v>-0.11728229491268202</v>
      </c>
      <c r="N129" s="805">
        <v>2568100</v>
      </c>
      <c r="O129" s="1096">
        <f>$H129-N129</f>
        <v>-342943.31999999983</v>
      </c>
      <c r="P129" s="1599">
        <f>IF(N129=0,"n/m",O129/ABS(N129))</f>
        <v>-0.13353970639772589</v>
      </c>
    </row>
    <row r="130" spans="1:16">
      <c r="A130" s="8">
        <f>+A129+1</f>
        <v>68</v>
      </c>
      <c r="B130" s="20"/>
      <c r="C130" s="78" t="s">
        <v>1098</v>
      </c>
      <c r="D130" s="101"/>
      <c r="E130" s="102"/>
      <c r="F130" s="478" t="s">
        <v>177</v>
      </c>
      <c r="G130" s="197"/>
      <c r="H130" s="905">
        <f>'Att 5 - Cost Support'!I221</f>
        <v>0</v>
      </c>
      <c r="I130"/>
      <c r="J130" s="1274">
        <v>0</v>
      </c>
      <c r="K130" s="1096">
        <f>$H130-J130</f>
        <v>0</v>
      </c>
      <c r="L130" s="1599" t="str">
        <f>IF(J130=0,"n/m",K130/ABS(J130))</f>
        <v>n/m</v>
      </c>
      <c r="N130" s="1274">
        <v>0</v>
      </c>
      <c r="O130" s="1096">
        <f>$H130-N130</f>
        <v>0</v>
      </c>
      <c r="P130" s="1599" t="str">
        <f>IF(N130=0,"n/m",O130/ABS(N130))</f>
        <v>n/m</v>
      </c>
    </row>
    <row r="131" spans="1:16" ht="15.75">
      <c r="A131" s="8">
        <f>+A130+1</f>
        <v>69</v>
      </c>
      <c r="B131" s="20"/>
      <c r="C131" s="182" t="s">
        <v>17</v>
      </c>
      <c r="D131" s="22"/>
      <c r="E131" s="84"/>
      <c r="F131" s="242" t="str">
        <f>"(Line "&amp;A129&amp;" + Line "&amp;A130&amp;")"</f>
        <v>(Line 67 + Line 68)</v>
      </c>
      <c r="G131" s="23"/>
      <c r="H131" s="633">
        <f>SUM(H129:H130)</f>
        <v>2225156.6800000002</v>
      </c>
      <c r="I131"/>
      <c r="J131" s="633">
        <f>SUM(J129:J130)</f>
        <v>2520802.14</v>
      </c>
      <c r="K131" s="1634">
        <f>$H131-J131</f>
        <v>-295645.45999999996</v>
      </c>
      <c r="L131" s="1626">
        <f>IF(J131=0,"n/m",K131/ABS(J131))</f>
        <v>-0.11728229491268202</v>
      </c>
      <c r="N131" s="633">
        <v>2568100</v>
      </c>
      <c r="O131" s="1634">
        <f>$H131-N131</f>
        <v>-342943.31999999983</v>
      </c>
      <c r="P131" s="1626">
        <f>IF(N131=0,"n/m",O131/ABS(N131))</f>
        <v>-0.13353970639772589</v>
      </c>
    </row>
    <row r="132" spans="1:16">
      <c r="A132" s="34"/>
      <c r="B132" s="20"/>
      <c r="C132" s="21"/>
      <c r="D132" s="22"/>
      <c r="E132" s="84"/>
      <c r="F132" s="21"/>
      <c r="G132" s="23"/>
      <c r="H132" s="644"/>
      <c r="I132"/>
      <c r="J132" s="644"/>
      <c r="K132" s="644"/>
      <c r="L132" s="644"/>
      <c r="N132" s="644"/>
      <c r="O132" s="644"/>
      <c r="P132" s="644"/>
    </row>
    <row r="133" spans="1:16">
      <c r="A133" s="8">
        <f>+A131+1</f>
        <v>70</v>
      </c>
      <c r="B133" s="20"/>
      <c r="C133" s="21" t="s">
        <v>313</v>
      </c>
      <c r="D133" s="22"/>
      <c r="E133" s="99" t="str">
        <f>"(Note "&amp;B$305&amp;")"</f>
        <v>(Note F)</v>
      </c>
      <c r="F133" s="254" t="s">
        <v>177</v>
      </c>
      <c r="G133" s="23"/>
      <c r="H133" s="635">
        <f>'Att 5 - Cost Support'!I199</f>
        <v>15938310</v>
      </c>
      <c r="I133"/>
      <c r="J133" s="805">
        <v>13818764</v>
      </c>
      <c r="K133" s="1096">
        <f>$H133-J133</f>
        <v>2119546</v>
      </c>
      <c r="L133" s="1599">
        <f>IF(J133=0,"n/m",K133/ABS(J133))</f>
        <v>0.15338173515373735</v>
      </c>
      <c r="N133" s="805">
        <v>15633179</v>
      </c>
      <c r="O133" s="1096">
        <f>$H133-N133</f>
        <v>305131</v>
      </c>
      <c r="P133" s="1599">
        <f>IF(N133=0,"n/m",O133/ABS(N133))</f>
        <v>1.951816709832338E-2</v>
      </c>
    </row>
    <row r="134" spans="1:16">
      <c r="A134" s="8">
        <f>+A133+1</f>
        <v>71</v>
      </c>
      <c r="B134" s="20"/>
      <c r="C134" s="21" t="s">
        <v>1097</v>
      </c>
      <c r="D134" s="22"/>
      <c r="E134" s="99"/>
      <c r="F134" s="478" t="s">
        <v>177</v>
      </c>
      <c r="G134" s="23"/>
      <c r="H134" s="905">
        <f>+'Att 5 - Cost Support'!I228</f>
        <v>0</v>
      </c>
      <c r="I134"/>
      <c r="J134" s="1274">
        <v>0</v>
      </c>
      <c r="K134" s="1096">
        <f>$H134-J134</f>
        <v>0</v>
      </c>
      <c r="L134" s="1599" t="str">
        <f>IF(J134=0,"n/m",K134/ABS(J134))</f>
        <v>n/m</v>
      </c>
      <c r="N134" s="1274">
        <v>0</v>
      </c>
      <c r="O134" s="1096">
        <f>$H134-N134</f>
        <v>0</v>
      </c>
      <c r="P134" s="1599" t="str">
        <f>IF(N134=0,"n/m",O134/ABS(N134))</f>
        <v>n/m</v>
      </c>
    </row>
    <row r="135" spans="1:16">
      <c r="A135" s="34">
        <f>+A134+1</f>
        <v>72</v>
      </c>
      <c r="B135" s="20"/>
      <c r="C135" s="198" t="s">
        <v>259</v>
      </c>
      <c r="D135" s="24"/>
      <c r="E135" s="90"/>
      <c r="F135" s="242" t="str">
        <f>"(Line "&amp;A133&amp;" + Line "&amp;A134&amp;")"</f>
        <v>(Line 70 + Line 71)</v>
      </c>
      <c r="G135" s="26"/>
      <c r="H135" s="631">
        <f>SUM(H133:H134)</f>
        <v>15938310</v>
      </c>
      <c r="I135"/>
      <c r="J135" s="631">
        <f>SUM(J133:J134)</f>
        <v>13818764</v>
      </c>
      <c r="K135" s="1634">
        <f>$H135-J135</f>
        <v>2119546</v>
      </c>
      <c r="L135" s="1626">
        <f>IF(J135=0,"n/m",K135/ABS(J135))</f>
        <v>0.15338173515373735</v>
      </c>
      <c r="N135" s="631">
        <v>15633179</v>
      </c>
      <c r="O135" s="1634">
        <f>$H135-N135</f>
        <v>305131</v>
      </c>
      <c r="P135" s="1626">
        <f>IF(N135=0,"n/m",O135/ABS(N135))</f>
        <v>1.951816709832338E-2</v>
      </c>
    </row>
    <row r="136" spans="1:16">
      <c r="A136" s="8">
        <f>+A135+1</f>
        <v>73</v>
      </c>
      <c r="B136" s="34"/>
      <c r="C136" s="332" t="s">
        <v>216</v>
      </c>
      <c r="D136" s="29"/>
      <c r="E136" s="34"/>
      <c r="F136" s="478" t="str">
        <f>"(Line "&amp;A$30&amp;")"</f>
        <v>(Line 12)</v>
      </c>
      <c r="G136" s="193"/>
      <c r="H136" s="374">
        <f>Allocator.gross.plant</f>
        <v>0.23193915482060706</v>
      </c>
      <c r="I136"/>
      <c r="J136" s="374">
        <f>J30</f>
        <v>0.22229606034835186</v>
      </c>
      <c r="K136" s="374"/>
      <c r="L136" s="374"/>
      <c r="N136" s="374">
        <v>0.22767749748908422</v>
      </c>
      <c r="O136" s="374"/>
      <c r="P136" s="374"/>
    </row>
    <row r="137" spans="1:16" ht="15.75">
      <c r="A137" s="34">
        <f>+A136+1</f>
        <v>74</v>
      </c>
      <c r="B137" s="34"/>
      <c r="C137" s="12" t="s">
        <v>236</v>
      </c>
      <c r="D137" s="24"/>
      <c r="E137" s="505"/>
      <c r="F137" s="475" t="str">
        <f>"(Line "&amp;A135&amp;" * Line "&amp;A136&amp;")"</f>
        <v>(Line 72 * Line 73)</v>
      </c>
      <c r="G137" s="27"/>
      <c r="H137" s="638">
        <f>H135*H136</f>
        <v>3696718.1506688297</v>
      </c>
      <c r="I137"/>
      <c r="J137" s="638">
        <f>J135*J136</f>
        <v>3071856.7960836324</v>
      </c>
      <c r="K137" s="1634">
        <f>$H137-J137</f>
        <v>624861.35458519729</v>
      </c>
      <c r="L137" s="1626">
        <f>IF(J137=0,"n/m",K137/ABS(J137))</f>
        <v>0.20341487122116</v>
      </c>
      <c r="N137" s="638">
        <v>3559323.0725189042</v>
      </c>
      <c r="O137" s="1634">
        <f>$H137-N137</f>
        <v>137395.07814992545</v>
      </c>
      <c r="P137" s="1626">
        <f>IF(N137=0,"n/m",O137/ABS(N137))</f>
        <v>3.8601463073339969E-2</v>
      </c>
    </row>
    <row r="138" spans="1:16" ht="15.75">
      <c r="A138" s="34"/>
      <c r="B138" s="34"/>
      <c r="C138" s="7"/>
      <c r="D138" s="22"/>
      <c r="E138" s="373"/>
      <c r="F138" s="22"/>
      <c r="G138" s="22"/>
      <c r="H138" s="628"/>
      <c r="I138"/>
      <c r="J138" s="628"/>
      <c r="K138" s="628"/>
      <c r="L138" s="628"/>
      <c r="N138" s="628"/>
      <c r="O138" s="628"/>
      <c r="P138" s="628"/>
    </row>
    <row r="139" spans="1:16" ht="16.5" thickBot="1">
      <c r="A139" s="34">
        <f>A137+1</f>
        <v>75</v>
      </c>
      <c r="B139" s="34"/>
      <c r="C139" s="13" t="s">
        <v>272</v>
      </c>
      <c r="D139" s="58"/>
      <c r="E139" s="507"/>
      <c r="F139" s="508" t="str">
        <f>"(Lines "&amp;A114&amp;" + "&amp;A126&amp;" + "&amp;A131&amp;" + "&amp;A137&amp;" )"</f>
        <v>(Lines 56 + 66 + 69 + 74 )</v>
      </c>
      <c r="G139" s="58"/>
      <c r="H139" s="645">
        <f>H114+H126+H131+H137</f>
        <v>69887252.685854971</v>
      </c>
      <c r="I139"/>
      <c r="J139" s="645">
        <f>J114+J126+J131+J137</f>
        <v>67575087.323311478</v>
      </c>
      <c r="K139" s="1664">
        <f>$H139-J139</f>
        <v>2312165.3625434935</v>
      </c>
      <c r="L139" s="1665">
        <f>IF(J139=0,"n/m",K139/ABS(J139))</f>
        <v>3.42162393587594E-2</v>
      </c>
      <c r="N139" s="645">
        <v>60959586.422687441</v>
      </c>
      <c r="O139" s="1664">
        <f>$H139-N139</f>
        <v>8927666.2631675303</v>
      </c>
      <c r="P139" s="1665">
        <f>IF(N139=0,"n/m",O139/ABS(N139))</f>
        <v>0.14645221181889292</v>
      </c>
    </row>
    <row r="140" spans="1:16" ht="16.5" thickTop="1">
      <c r="A140" s="19"/>
      <c r="B140" s="8"/>
      <c r="C140" s="7"/>
      <c r="D140" s="22"/>
      <c r="E140" s="157"/>
      <c r="F140" s="9"/>
      <c r="G140" s="9"/>
      <c r="H140" s="646"/>
      <c r="I140"/>
      <c r="J140" s="646"/>
      <c r="K140" s="646"/>
      <c r="L140" s="646"/>
      <c r="N140" s="646"/>
      <c r="O140" s="646"/>
      <c r="P140" s="646"/>
    </row>
    <row r="141" spans="1:16" ht="15.75">
      <c r="A141" s="693" t="s">
        <v>267</v>
      </c>
      <c r="B141" s="187"/>
      <c r="C141" s="188"/>
      <c r="D141" s="62"/>
      <c r="E141" s="526"/>
      <c r="F141" s="63"/>
      <c r="G141" s="63"/>
      <c r="H141" s="647"/>
      <c r="I141"/>
      <c r="J141" s="647"/>
      <c r="K141" s="647"/>
      <c r="L141" s="647"/>
      <c r="N141" s="647">
        <v>0</v>
      </c>
      <c r="O141" s="647"/>
      <c r="P141" s="647"/>
    </row>
    <row r="142" spans="1:16" ht="15.75">
      <c r="A142" s="7"/>
      <c r="B142" s="8"/>
      <c r="C142" s="7"/>
      <c r="D142" s="22"/>
      <c r="E142" s="157"/>
      <c r="F142" s="9"/>
      <c r="G142" s="9"/>
      <c r="H142" s="646"/>
      <c r="I142"/>
      <c r="J142" s="646"/>
      <c r="K142" s="646"/>
      <c r="L142" s="646"/>
      <c r="N142" s="646"/>
      <c r="O142" s="646"/>
      <c r="P142" s="646"/>
    </row>
    <row r="143" spans="1:16" ht="15.75">
      <c r="A143" s="44"/>
      <c r="B143" s="49" t="s">
        <v>220</v>
      </c>
      <c r="C143" s="349"/>
      <c r="F143" s="50"/>
      <c r="G143" s="32"/>
      <c r="H143" s="648"/>
      <c r="I143"/>
      <c r="J143" s="648"/>
      <c r="K143" s="648"/>
      <c r="L143" s="648"/>
      <c r="N143" s="648"/>
      <c r="O143" s="648"/>
      <c r="P143" s="648"/>
    </row>
    <row r="144" spans="1:16" ht="15.75">
      <c r="A144" s="34">
        <f>+A139+1</f>
        <v>76</v>
      </c>
      <c r="B144" s="20"/>
      <c r="C144" s="21" t="s">
        <v>105</v>
      </c>
      <c r="D144" s="22"/>
      <c r="E144" s="99" t="str">
        <f>"(Note "&amp;B310&amp;")"</f>
        <v>(Note H)</v>
      </c>
      <c r="F144" s="332" t="s">
        <v>177</v>
      </c>
      <c r="G144" s="23"/>
      <c r="H144" s="633">
        <f>'Att 5 - Cost Support'!H280</f>
        <v>99238672</v>
      </c>
      <c r="I144"/>
      <c r="J144" s="1273">
        <v>94564623</v>
      </c>
      <c r="K144" s="1096">
        <f>$H144-J144</f>
        <v>4674049</v>
      </c>
      <c r="L144" s="1599">
        <f>IF(J144=0,"n/m",K144/ABS(J144))</f>
        <v>4.9427035731956545E-2</v>
      </c>
      <c r="N144" s="1273">
        <v>92085625</v>
      </c>
      <c r="O144" s="1096">
        <f>$H144-N144</f>
        <v>7153047</v>
      </c>
      <c r="P144" s="1599">
        <f>IF(N144=0,"n/m",O144/ABS(N144))</f>
        <v>7.7678215248036808E-2</v>
      </c>
    </row>
    <row r="145" spans="1:16">
      <c r="A145" s="34"/>
      <c r="B145" s="20"/>
      <c r="C145" s="21"/>
      <c r="D145" s="22"/>
      <c r="E145" s="34"/>
      <c r="F145" s="21"/>
      <c r="G145" s="193"/>
      <c r="H145" s="635"/>
      <c r="I145"/>
      <c r="J145" s="635"/>
      <c r="K145" s="635"/>
      <c r="L145" s="635"/>
      <c r="N145" s="635"/>
      <c r="O145" s="635"/>
      <c r="P145" s="635"/>
    </row>
    <row r="146" spans="1:16">
      <c r="A146" s="34">
        <f>+A144+1</f>
        <v>77</v>
      </c>
      <c r="B146" s="20"/>
      <c r="C146" s="332" t="s">
        <v>106</v>
      </c>
      <c r="D146" s="37"/>
      <c r="E146" s="99" t="str">
        <f>"(Note "&amp;B$310&amp;")"</f>
        <v>(Note H)</v>
      </c>
      <c r="F146" s="332" t="s">
        <v>177</v>
      </c>
      <c r="G146" s="51"/>
      <c r="H146" s="631">
        <f>'Att 5 - Cost Support'!H285</f>
        <v>40666418</v>
      </c>
      <c r="I146"/>
      <c r="J146" s="1139">
        <v>40744523</v>
      </c>
      <c r="K146" s="1096">
        <f>$H146-J146</f>
        <v>-78105</v>
      </c>
      <c r="L146" s="1599">
        <f>IF(J146=0,"n/m",K146/ABS(J146))</f>
        <v>-1.9169447633489291E-3</v>
      </c>
      <c r="N146" s="1139">
        <v>40653484</v>
      </c>
      <c r="O146" s="1096">
        <f>$H146-N146</f>
        <v>12934</v>
      </c>
      <c r="P146" s="1599">
        <f>IF(N146=0,"n/m",O146/ABS(N146))</f>
        <v>3.1815231383366797E-4</v>
      </c>
    </row>
    <row r="147" spans="1:16">
      <c r="A147" s="34">
        <f>+A146+1</f>
        <v>78</v>
      </c>
      <c r="B147" s="20"/>
      <c r="C147" s="78" t="s">
        <v>252</v>
      </c>
      <c r="D147" s="98"/>
      <c r="E147" s="102" t="str">
        <f>"(Note "&amp;B$310&amp;")"</f>
        <v>(Note H)</v>
      </c>
      <c r="F147" s="78" t="s">
        <v>177</v>
      </c>
      <c r="G147" s="197"/>
      <c r="H147" s="905">
        <f>'Att 5 - Cost Support'!H290</f>
        <v>36050777</v>
      </c>
      <c r="I147"/>
      <c r="J147" s="1274">
        <v>43538777</v>
      </c>
      <c r="K147" s="1096">
        <f>$H147-J147</f>
        <v>-7488000</v>
      </c>
      <c r="L147" s="1599">
        <f>IF(J147=0,"n/m",K147/ABS(J147))</f>
        <v>-0.17198461959553893</v>
      </c>
      <c r="M147" s="23"/>
      <c r="N147" s="1274">
        <v>39290397</v>
      </c>
      <c r="O147" s="1096">
        <f>$H147-N147</f>
        <v>-3239620</v>
      </c>
      <c r="P147" s="1599">
        <f>IF(N147=0,"n/m",O147/ABS(N147))</f>
        <v>-8.2453226420695108E-2</v>
      </c>
    </row>
    <row r="148" spans="1:16">
      <c r="A148" s="34">
        <f>+A147+1</f>
        <v>79</v>
      </c>
      <c r="B148" s="20"/>
      <c r="C148" s="332" t="s">
        <v>282</v>
      </c>
      <c r="D148" s="37"/>
      <c r="E148" s="464"/>
      <c r="F148" s="242" t="str">
        <f>"(Line "&amp;A146&amp;" + Line "&amp;A147&amp;")"</f>
        <v>(Line 77 + Line 78)</v>
      </c>
      <c r="G148" s="23"/>
      <c r="H148" s="635">
        <f>SUM(H146:H147)</f>
        <v>76717195</v>
      </c>
      <c r="I148"/>
      <c r="J148" s="635">
        <f>SUM(J146:J147)</f>
        <v>84283300</v>
      </c>
      <c r="K148" s="1634">
        <f>$H148-J148</f>
        <v>-7566105</v>
      </c>
      <c r="L148" s="1626">
        <f>IF(J148=0,"n/m",K148/ABS(J148))</f>
        <v>-8.9769918833268278E-2</v>
      </c>
      <c r="N148" s="635">
        <v>79943881</v>
      </c>
      <c r="O148" s="1634">
        <f>$H148-N148</f>
        <v>-3226686</v>
      </c>
      <c r="P148" s="1626">
        <f>IF(N148=0,"n/m",O148/ABS(N148))</f>
        <v>-4.0361888360161045E-2</v>
      </c>
    </row>
    <row r="149" spans="1:16">
      <c r="A149" s="34">
        <f>+A148+1</f>
        <v>80</v>
      </c>
      <c r="B149" s="20"/>
      <c r="C149" s="78" t="s">
        <v>12</v>
      </c>
      <c r="D149" s="46"/>
      <c r="E149" s="125"/>
      <c r="F149" s="98" t="str">
        <f>"(Line "&amp;A$18&amp;")"</f>
        <v>(Line 5)</v>
      </c>
      <c r="G149" s="527"/>
      <c r="H149" s="528">
        <f>Allocator.wages.salary</f>
        <v>7.8815542097072699E-2</v>
      </c>
      <c r="I149"/>
      <c r="J149" s="528">
        <f>J18</f>
        <v>7.1868670968525381E-2</v>
      </c>
      <c r="K149" s="1264"/>
      <c r="L149" s="1264"/>
      <c r="N149" s="528">
        <v>7.7637175855371984E-2</v>
      </c>
      <c r="O149" s="1264"/>
      <c r="P149" s="1264"/>
    </row>
    <row r="150" spans="1:16" s="343" customFormat="1" ht="15.75">
      <c r="A150" s="34">
        <f>+A149+1</f>
        <v>81</v>
      </c>
      <c r="B150" s="20"/>
      <c r="C150" s="182" t="s">
        <v>467</v>
      </c>
      <c r="D150" s="22"/>
      <c r="E150" s="34"/>
      <c r="F150" s="242" t="str">
        <f>"(Line "&amp;A148&amp;" * Line "&amp;A149&amp;")"</f>
        <v>(Line 79 * Line 80)</v>
      </c>
      <c r="G150" s="193"/>
      <c r="H150" s="633">
        <f>+H148*H149</f>
        <v>6046507.3120918348</v>
      </c>
      <c r="I150"/>
      <c r="J150" s="633">
        <f>+J148*J149</f>
        <v>6057328.755841515</v>
      </c>
      <c r="K150" s="1634">
        <f>$H150-J150</f>
        <v>-10821.443749680184</v>
      </c>
      <c r="L150" s="1626">
        <f>IF(J150=0,"n/m",K150/ABS(J150))</f>
        <v>-1.7865042803305487E-3</v>
      </c>
      <c r="N150" s="633">
        <v>6206617.1477579307</v>
      </c>
      <c r="O150" s="1634">
        <f>$H150-N150</f>
        <v>-160109.83566609584</v>
      </c>
      <c r="P150" s="1626">
        <f>IF(N150=0,"n/m",O150/ABS(N150))</f>
        <v>-2.579663476164849E-2</v>
      </c>
    </row>
    <row r="151" spans="1:16" s="349" customFormat="1" ht="15.75">
      <c r="A151" s="34"/>
      <c r="B151" s="20"/>
      <c r="C151" s="182"/>
      <c r="D151" s="22"/>
      <c r="E151" s="34"/>
      <c r="F151" s="242"/>
      <c r="G151" s="193"/>
      <c r="H151" s="633"/>
      <c r="I151"/>
      <c r="J151" s="633"/>
      <c r="K151" s="633"/>
      <c r="L151" s="633"/>
      <c r="N151" s="633"/>
      <c r="O151" s="633"/>
      <c r="P151" s="633"/>
    </row>
    <row r="152" spans="1:16" s="349" customFormat="1">
      <c r="A152" s="34">
        <f>+A150+1</f>
        <v>82</v>
      </c>
      <c r="B152" s="20"/>
      <c r="C152" s="21" t="s">
        <v>650</v>
      </c>
      <c r="D152" s="22"/>
      <c r="E152" s="99" t="str">
        <f>"(Note "&amp;B321&amp;")"</f>
        <v>(Note O)</v>
      </c>
      <c r="F152" s="47"/>
      <c r="G152" s="23"/>
      <c r="H152" s="805">
        <v>0</v>
      </c>
      <c r="I152"/>
      <c r="J152" s="805">
        <v>0</v>
      </c>
      <c r="K152" s="1096">
        <f>$H152-J152</f>
        <v>0</v>
      </c>
      <c r="L152" s="1599" t="str">
        <f>IF(J152=0,"n/m",K152/ABS(J152))</f>
        <v>n/m</v>
      </c>
      <c r="N152" s="805">
        <v>0</v>
      </c>
      <c r="O152" s="1096">
        <f>$H152-N152</f>
        <v>0</v>
      </c>
      <c r="P152" s="1599" t="str">
        <f>IF(N152=0,"n/m",O152/ABS(N152))</f>
        <v>n/m</v>
      </c>
    </row>
    <row r="153" spans="1:16">
      <c r="A153" s="34"/>
      <c r="B153" s="20"/>
      <c r="C153" s="21"/>
      <c r="D153" s="22"/>
      <c r="E153" s="34"/>
      <c r="F153" s="242"/>
      <c r="G153" s="193"/>
      <c r="H153" s="635"/>
      <c r="I153"/>
      <c r="J153" s="635"/>
      <c r="K153" s="635"/>
      <c r="L153" s="635"/>
      <c r="N153" s="635"/>
      <c r="O153" s="635"/>
      <c r="P153" s="635"/>
    </row>
    <row r="154" spans="1:16" s="31" customFormat="1" ht="16.5" thickBot="1">
      <c r="A154" s="8">
        <f>+A152+1</f>
        <v>83</v>
      </c>
      <c r="B154" s="186" t="s">
        <v>268</v>
      </c>
      <c r="C154" s="186"/>
      <c r="D154" s="52"/>
      <c r="E154" s="529"/>
      <c r="F154" s="975" t="str">
        <f>"(Lines "&amp;A144&amp;" + "&amp;A150&amp;" + "&amp;A152&amp;")"</f>
        <v>(Lines 76 + 81 + 82)</v>
      </c>
      <c r="G154" s="530"/>
      <c r="H154" s="649">
        <f>H144+H150+H152</f>
        <v>105285179.31209183</v>
      </c>
      <c r="I154"/>
      <c r="J154" s="649">
        <f>J144+J150+J152</f>
        <v>100621951.75584151</v>
      </c>
      <c r="K154" s="1664">
        <f>$H154-J154</f>
        <v>4663227.5562503189</v>
      </c>
      <c r="L154" s="1665">
        <f>IF(J154=0,"n/m",K154/ABS(J154))</f>
        <v>4.6344038004406923E-2</v>
      </c>
      <c r="N154" s="649">
        <v>98292242.147757933</v>
      </c>
      <c r="O154" s="1664">
        <f>$H154-N154</f>
        <v>6992937.1643338948</v>
      </c>
      <c r="P154" s="1665">
        <f>IF(N154=0,"n/m",O154/ABS(N154))</f>
        <v>7.1144344777706398E-2</v>
      </c>
    </row>
    <row r="155" spans="1:16" ht="15.75" thickTop="1">
      <c r="F155" s="349"/>
      <c r="G155" s="349"/>
      <c r="H155" s="632"/>
      <c r="I155"/>
      <c r="J155" s="632"/>
      <c r="K155" s="632"/>
      <c r="L155" s="632"/>
      <c r="N155" s="632"/>
      <c r="O155" s="632"/>
      <c r="P155" s="632"/>
    </row>
    <row r="156" spans="1:16" ht="15.75">
      <c r="A156" s="693" t="s">
        <v>522</v>
      </c>
      <c r="B156" s="187"/>
      <c r="C156" s="188"/>
      <c r="D156" s="62"/>
      <c r="E156" s="129"/>
      <c r="F156" s="63"/>
      <c r="G156" s="63"/>
      <c r="H156" s="647"/>
      <c r="I156"/>
      <c r="J156" s="647"/>
      <c r="K156" s="647"/>
      <c r="L156" s="647"/>
      <c r="N156" s="647">
        <v>0</v>
      </c>
      <c r="O156" s="647"/>
      <c r="P156" s="647"/>
    </row>
    <row r="157" spans="1:16" ht="15.75">
      <c r="A157" s="113"/>
      <c r="B157" s="8"/>
      <c r="C157" s="7"/>
      <c r="D157" s="22"/>
      <c r="E157" s="157"/>
      <c r="F157" s="9"/>
      <c r="G157" s="9"/>
      <c r="H157" s="646"/>
      <c r="I157"/>
      <c r="J157" s="646"/>
      <c r="K157" s="646"/>
      <c r="L157" s="646"/>
      <c r="N157" s="646"/>
      <c r="O157" s="646"/>
      <c r="P157" s="646"/>
    </row>
    <row r="158" spans="1:16" ht="15.75">
      <c r="A158" s="34">
        <f>+A154+1</f>
        <v>84</v>
      </c>
      <c r="B158" s="182" t="s">
        <v>21</v>
      </c>
      <c r="C158" s="183"/>
      <c r="E158" s="99"/>
      <c r="F158" s="23" t="s">
        <v>196</v>
      </c>
      <c r="G158" s="23"/>
      <c r="H158" s="904">
        <f>'Att 2 - Other Taxes'!F27</f>
        <v>35960263.950502515</v>
      </c>
      <c r="I158"/>
      <c r="J158" s="1283">
        <v>30517763.844946962</v>
      </c>
      <c r="K158" s="1096">
        <f>$H158-J158</f>
        <v>5442500.105555553</v>
      </c>
      <c r="L158" s="1599">
        <f>IF(J158=0,"n/m",K158/ABS(J158))</f>
        <v>0.17833875814779612</v>
      </c>
      <c r="N158" s="1283">
        <v>31806190.35901561</v>
      </c>
      <c r="O158" s="1096">
        <f>$H158-N158</f>
        <v>4154073.5914869048</v>
      </c>
      <c r="P158" s="1599">
        <f>IF(N158=0,"n/m",O158/ABS(N158))</f>
        <v>0.13060582058389819</v>
      </c>
    </row>
    <row r="159" spans="1:16">
      <c r="A159" s="45"/>
      <c r="B159" s="22"/>
      <c r="E159" s="8"/>
      <c r="F159" s="21"/>
      <c r="G159" s="23"/>
      <c r="H159" s="632"/>
      <c r="I159"/>
      <c r="J159" s="632"/>
      <c r="K159" s="632"/>
      <c r="L159" s="632"/>
      <c r="N159" s="632"/>
      <c r="O159" s="632"/>
      <c r="P159" s="632"/>
    </row>
    <row r="160" spans="1:16" ht="16.5" thickBot="1">
      <c r="A160" s="34">
        <f>+A158+1</f>
        <v>85</v>
      </c>
      <c r="B160" s="13" t="s">
        <v>22</v>
      </c>
      <c r="C160" s="13"/>
      <c r="D160" s="52"/>
      <c r="E160" s="88"/>
      <c r="F160" s="508" t="str">
        <f>"(Line "&amp;A158&amp;")"</f>
        <v>(Line 84)</v>
      </c>
      <c r="G160" s="15"/>
      <c r="H160" s="641">
        <f>H158</f>
        <v>35960263.950502515</v>
      </c>
      <c r="I160"/>
      <c r="J160" s="641">
        <f>J158</f>
        <v>30517763.844946962</v>
      </c>
      <c r="K160" s="1664">
        <f>$H160-J160</f>
        <v>5442500.105555553</v>
      </c>
      <c r="L160" s="1665">
        <f>IF(J160=0,"n/m",K160/ABS(J160))</f>
        <v>0.17833875814779612</v>
      </c>
      <c r="N160" s="641">
        <v>31806190.35901561</v>
      </c>
      <c r="O160" s="1664">
        <f>$H160-N160</f>
        <v>4154073.5914869048</v>
      </c>
      <c r="P160" s="1665">
        <f>IF(N160=0,"n/m",O160/ABS(N160))</f>
        <v>0.13060582058389819</v>
      </c>
    </row>
    <row r="161" spans="1:16" ht="15.75" thickTop="1">
      <c r="A161" s="44"/>
      <c r="F161" s="23"/>
      <c r="G161" s="349"/>
      <c r="H161" s="632"/>
      <c r="I161"/>
      <c r="J161" s="632"/>
      <c r="K161" s="632"/>
      <c r="L161" s="632"/>
      <c r="N161" s="632"/>
      <c r="O161" s="632"/>
      <c r="P161" s="632"/>
    </row>
    <row r="162" spans="1:16" ht="15.75">
      <c r="A162" s="693" t="s">
        <v>23</v>
      </c>
      <c r="B162" s="187"/>
      <c r="C162" s="188"/>
      <c r="D162" s="62"/>
      <c r="E162" s="526"/>
      <c r="F162" s="63"/>
      <c r="G162" s="63"/>
      <c r="H162" s="647"/>
      <c r="I162"/>
      <c r="J162" s="647"/>
      <c r="K162" s="647"/>
      <c r="L162" s="647"/>
      <c r="N162" s="647">
        <v>0</v>
      </c>
      <c r="O162" s="647"/>
      <c r="P162" s="647"/>
    </row>
    <row r="163" spans="1:16" ht="15.75">
      <c r="A163" s="19"/>
      <c r="B163" s="8"/>
      <c r="C163" s="7"/>
      <c r="D163" s="22"/>
      <c r="E163" s="157"/>
      <c r="F163" s="9"/>
      <c r="G163" s="9"/>
      <c r="H163" s="646"/>
      <c r="I163"/>
      <c r="J163" s="646"/>
      <c r="K163" s="646"/>
      <c r="L163" s="646"/>
      <c r="N163" s="646"/>
      <c r="O163" s="646"/>
      <c r="P163" s="646"/>
    </row>
    <row r="164" spans="1:16" s="349" customFormat="1" ht="18.75">
      <c r="A164" s="560"/>
      <c r="B164" s="576" t="s">
        <v>931</v>
      </c>
      <c r="D164" s="442"/>
      <c r="E164" s="442"/>
      <c r="F164" s="698"/>
      <c r="G164" s="443"/>
      <c r="H164" s="443"/>
      <c r="I164"/>
      <c r="J164" s="443"/>
      <c r="K164" s="443"/>
      <c r="L164" s="443"/>
      <c r="N164" s="443"/>
      <c r="O164" s="443"/>
      <c r="P164" s="443"/>
    </row>
    <row r="165" spans="1:16" s="349" customFormat="1" ht="18">
      <c r="A165" s="560">
        <f>SUM(A160+1)</f>
        <v>86</v>
      </c>
      <c r="B165" s="442"/>
      <c r="C165" s="443" t="s">
        <v>925</v>
      </c>
      <c r="E165" s="443"/>
      <c r="F165" s="443" t="s">
        <v>472</v>
      </c>
      <c r="G165" s="444"/>
      <c r="H165" s="445">
        <f>'Att 14 - Cost of Capital Detail'!C6</f>
        <v>7111415153.8461542</v>
      </c>
      <c r="I165"/>
      <c r="J165" s="1275">
        <v>6874301153.8461542</v>
      </c>
      <c r="K165" s="1096">
        <f>$H165-J165</f>
        <v>237114000</v>
      </c>
      <c r="L165" s="1599">
        <f>IF(J165=0,"n/m",K165/ABS(J165))</f>
        <v>3.4492815297644516E-2</v>
      </c>
      <c r="N165" s="1275">
        <v>7078393384.6153851</v>
      </c>
      <c r="O165" s="1096">
        <f>$H165-N165</f>
        <v>33021769.230769157</v>
      </c>
      <c r="P165" s="1599">
        <f>IF(N165=0,"n/m",O165/ABS(N165))</f>
        <v>4.6651503295282656E-3</v>
      </c>
    </row>
    <row r="166" spans="1:16" s="349" customFormat="1" ht="18">
      <c r="A166" s="560">
        <f>SUM(A165+1)</f>
        <v>87</v>
      </c>
      <c r="B166" s="442"/>
      <c r="C166" s="443" t="s">
        <v>2259</v>
      </c>
      <c r="F166" s="443" t="s">
        <v>472</v>
      </c>
      <c r="G166" s="444"/>
      <c r="H166" s="445">
        <f>'Att 14 - Cost of Capital Detail'!C7</f>
        <v>0</v>
      </c>
      <c r="I166"/>
      <c r="J166" s="1275">
        <v>0</v>
      </c>
      <c r="K166" s="1096">
        <f>$H166-J166</f>
        <v>0</v>
      </c>
      <c r="L166" s="1599" t="str">
        <f>IF(J166=0,"n/m",K166/ABS(J166))</f>
        <v>n/m</v>
      </c>
      <c r="N166" s="1275">
        <v>0</v>
      </c>
      <c r="O166" s="1096">
        <f>$H166-N166</f>
        <v>0</v>
      </c>
      <c r="P166" s="1599" t="str">
        <f>IF(N166=0,"n/m",O166/ABS(N166))</f>
        <v>n/m</v>
      </c>
    </row>
    <row r="167" spans="1:16" s="349" customFormat="1" ht="18">
      <c r="A167" s="560">
        <f>SUM(A166+1)</f>
        <v>88</v>
      </c>
      <c r="B167" s="442"/>
      <c r="C167" s="443" t="s">
        <v>930</v>
      </c>
      <c r="E167" s="446"/>
      <c r="F167" s="443" t="s">
        <v>472</v>
      </c>
      <c r="G167" s="444"/>
      <c r="H167" s="445">
        <f>'Att 14 - Cost of Capital Detail'!C8</f>
        <v>0</v>
      </c>
      <c r="I167"/>
      <c r="J167" s="1275">
        <v>0</v>
      </c>
      <c r="K167" s="1096">
        <f>$H167-J167</f>
        <v>0</v>
      </c>
      <c r="L167" s="1599" t="str">
        <f>IF(J167=0,"n/m",K167/ABS(J167))</f>
        <v>n/m</v>
      </c>
      <c r="N167" s="1275">
        <v>0</v>
      </c>
      <c r="O167" s="1096">
        <f>$H167-N167</f>
        <v>0</v>
      </c>
      <c r="P167" s="1599" t="str">
        <f>IF(N167=0,"n/m",O167/ABS(N167))</f>
        <v>n/m</v>
      </c>
    </row>
    <row r="168" spans="1:16" s="349" customFormat="1" ht="18">
      <c r="A168" s="560">
        <f>SUM(A167+1)</f>
        <v>89</v>
      </c>
      <c r="B168" s="442"/>
      <c r="C168" s="443" t="s">
        <v>932</v>
      </c>
      <c r="E168" s="443"/>
      <c r="F168" s="443" t="s">
        <v>472</v>
      </c>
      <c r="G168" s="444"/>
      <c r="H168" s="445">
        <f>'Att 14 - Cost of Capital Detail'!C9</f>
        <v>0</v>
      </c>
      <c r="I168"/>
      <c r="J168" s="1275">
        <v>0</v>
      </c>
      <c r="K168" s="1096">
        <f>$H168-J168</f>
        <v>0</v>
      </c>
      <c r="L168" s="1599" t="str">
        <f>IF(J168=0,"n/m",K168/ABS(J168))</f>
        <v>n/m</v>
      </c>
      <c r="N168" s="1275">
        <v>0</v>
      </c>
      <c r="O168" s="1096">
        <f>$H168-N168</f>
        <v>0</v>
      </c>
      <c r="P168" s="1599" t="str">
        <f>IF(N168=0,"n/m",O168/ABS(N168))</f>
        <v>n/m</v>
      </c>
    </row>
    <row r="169" spans="1:16" s="349" customFormat="1" ht="18.75">
      <c r="A169" s="560">
        <f t="shared" ref="A169:A176" si="6">SUM(A168+1)</f>
        <v>90</v>
      </c>
      <c r="B169" s="442"/>
      <c r="C169" s="582" t="s">
        <v>933</v>
      </c>
      <c r="D169" s="579"/>
      <c r="E169" s="578"/>
      <c r="F169" s="577" t="str">
        <f>"Sum Lines "&amp;A165&amp;" through "&amp;A168</f>
        <v>Sum Lines 86 through 89</v>
      </c>
      <c r="G169" s="580"/>
      <c r="H169" s="581">
        <f>H165-H166+H167+H168</f>
        <v>7111415153.8461542</v>
      </c>
      <c r="I169"/>
      <c r="J169" s="964">
        <f>J165-J166+J167+J168</f>
        <v>6874301153.8461542</v>
      </c>
      <c r="K169" s="1634">
        <f>$H169-J169</f>
        <v>237114000</v>
      </c>
      <c r="L169" s="1626">
        <f>IF(J169=0,"n/m",K169/ABS(J169))</f>
        <v>3.4492815297644516E-2</v>
      </c>
      <c r="N169" s="964">
        <v>7078393384.6153851</v>
      </c>
      <c r="O169" s="1634">
        <f>$H169-N169</f>
        <v>33021769.230769157</v>
      </c>
      <c r="P169" s="1626">
        <f>IF(N169=0,"n/m",O169/ABS(N169))</f>
        <v>4.6651503295282656E-3</v>
      </c>
    </row>
    <row r="170" spans="1:16" s="349" customFormat="1" ht="18">
      <c r="A170" s="560"/>
      <c r="B170" s="442"/>
      <c r="C170" s="447"/>
      <c r="E170" s="443"/>
      <c r="F170" s="445"/>
      <c r="G170" s="444"/>
      <c r="H170" s="474"/>
      <c r="I170"/>
      <c r="J170" s="474"/>
      <c r="K170" s="474"/>
      <c r="L170" s="474"/>
      <c r="N170" s="474"/>
      <c r="O170" s="474"/>
      <c r="P170" s="474"/>
    </row>
    <row r="171" spans="1:16" s="349" customFormat="1" ht="18">
      <c r="A171" s="560">
        <f>SUM(A169+1)</f>
        <v>91</v>
      </c>
      <c r="B171" s="442"/>
      <c r="C171" s="443" t="s">
        <v>2260</v>
      </c>
      <c r="E171" s="99" t="str">
        <f>"(Note "&amp;B$331&amp;")"</f>
        <v>(Note T)</v>
      </c>
      <c r="F171" s="443" t="s">
        <v>472</v>
      </c>
      <c r="G171" s="444"/>
      <c r="H171" s="445">
        <f>'Att 14 - Cost of Capital Detail'!C10</f>
        <v>12859624.381538462</v>
      </c>
      <c r="I171"/>
      <c r="J171" s="1275">
        <v>14058404.923076924</v>
      </c>
      <c r="K171" s="1096">
        <f t="shared" ref="K171:K176" si="7">$H171-J171</f>
        <v>-1198780.541538462</v>
      </c>
      <c r="L171" s="1599">
        <f t="shared" ref="L171:L176" si="8">IF(J171=0,"n/m",K171/ABS(J171))</f>
        <v>-8.5271447799220759E-2</v>
      </c>
      <c r="N171" s="1275">
        <v>13661333.292307692</v>
      </c>
      <c r="O171" s="1096">
        <f t="shared" ref="O171:O176" si="9">$H171-N171</f>
        <v>-801708.91076922975</v>
      </c>
      <c r="P171" s="1599">
        <f t="shared" ref="P171:P176" si="10">IF(N171=0,"n/m",O171/ABS(N171))</f>
        <v>-5.8684529073062673E-2</v>
      </c>
    </row>
    <row r="172" spans="1:16" s="349" customFormat="1" ht="18">
      <c r="A172" s="560">
        <f t="shared" si="6"/>
        <v>92</v>
      </c>
      <c r="B172" s="442"/>
      <c r="C172" s="443" t="s">
        <v>2261</v>
      </c>
      <c r="E172" s="99" t="str">
        <f>"(Note "&amp;B$331&amp;")"</f>
        <v>(Note T)</v>
      </c>
      <c r="F172" s="443" t="s">
        <v>472</v>
      </c>
      <c r="G172" s="444"/>
      <c r="H172" s="445">
        <f>'Att 14 - Cost of Capital Detail'!C11</f>
        <v>33577275.64692308</v>
      </c>
      <c r="I172"/>
      <c r="J172" s="1275">
        <v>34220560.846153848</v>
      </c>
      <c r="K172" s="1096">
        <f t="shared" si="7"/>
        <v>-643285.19923076779</v>
      </c>
      <c r="L172" s="1599">
        <f t="shared" si="8"/>
        <v>-1.879820737371312E-2</v>
      </c>
      <c r="N172" s="1275">
        <v>34644580.306923069</v>
      </c>
      <c r="O172" s="1096">
        <f t="shared" si="9"/>
        <v>-1067304.659999989</v>
      </c>
      <c r="P172" s="1599">
        <f t="shared" si="10"/>
        <v>-3.0807261930856995E-2</v>
      </c>
    </row>
    <row r="173" spans="1:16" s="349" customFormat="1" ht="18">
      <c r="A173" s="560">
        <f t="shared" si="6"/>
        <v>93</v>
      </c>
      <c r="B173" s="442"/>
      <c r="C173" s="443" t="s">
        <v>2262</v>
      </c>
      <c r="E173" s="99" t="str">
        <f>"(Note "&amp;B$331&amp;")"</f>
        <v>(Note T)</v>
      </c>
      <c r="F173" s="443" t="s">
        <v>472</v>
      </c>
      <c r="G173" s="444"/>
      <c r="H173" s="445">
        <f>'Att 14 - Cost of Capital Detail'!C12</f>
        <v>6751859.0884615397</v>
      </c>
      <c r="I173"/>
      <c r="J173" s="1275">
        <v>8716065.461538462</v>
      </c>
      <c r="K173" s="1096">
        <f t="shared" si="7"/>
        <v>-1964206.3730769223</v>
      </c>
      <c r="L173" s="1599">
        <f t="shared" si="8"/>
        <v>-0.22535470640329755</v>
      </c>
      <c r="N173" s="1275">
        <v>7635677.5276923077</v>
      </c>
      <c r="O173" s="1096">
        <f t="shared" si="9"/>
        <v>-883818.43923076801</v>
      </c>
      <c r="P173" s="1599">
        <f t="shared" si="10"/>
        <v>-0.11574852867023576</v>
      </c>
    </row>
    <row r="174" spans="1:16" s="349" customFormat="1" ht="18">
      <c r="A174" s="560">
        <f t="shared" si="6"/>
        <v>94</v>
      </c>
      <c r="B174" s="442"/>
      <c r="C174" s="443" t="s">
        <v>2263</v>
      </c>
      <c r="E174" s="99" t="str">
        <f>"(Note "&amp;B$331&amp;")"</f>
        <v>(Note T)</v>
      </c>
      <c r="F174" s="443" t="s">
        <v>472</v>
      </c>
      <c r="G174" s="444"/>
      <c r="H174" s="445">
        <f>'Att 14 - Cost of Capital Detail'!C13</f>
        <v>74612.771538461515</v>
      </c>
      <c r="I174"/>
      <c r="J174" s="1275">
        <v>96664.61538461539</v>
      </c>
      <c r="K174" s="1096">
        <f t="shared" si="7"/>
        <v>-22051.843846153875</v>
      </c>
      <c r="L174" s="1599">
        <f t="shared" si="8"/>
        <v>-0.22812736344537843</v>
      </c>
      <c r="N174" s="1275">
        <v>85638.64</v>
      </c>
      <c r="O174" s="1096">
        <f t="shared" si="9"/>
        <v>-11025.868461538485</v>
      </c>
      <c r="P174" s="1599">
        <f t="shared" si="10"/>
        <v>-0.1287487571210669</v>
      </c>
    </row>
    <row r="175" spans="1:16" s="349" customFormat="1" ht="18">
      <c r="A175" s="560">
        <f t="shared" si="6"/>
        <v>95</v>
      </c>
      <c r="B175" s="442"/>
      <c r="C175" s="443" t="s">
        <v>2264</v>
      </c>
      <c r="E175" s="99" t="str">
        <f>"(Note "&amp;B$331&amp;")"</f>
        <v>(Note T)</v>
      </c>
      <c r="F175" s="443" t="s">
        <v>472</v>
      </c>
      <c r="G175" s="444"/>
      <c r="H175" s="474">
        <f>'Att 14 - Cost of Capital Detail'!C14</f>
        <v>0</v>
      </c>
      <c r="I175"/>
      <c r="J175" s="1276">
        <v>0</v>
      </c>
      <c r="K175" s="1096">
        <f t="shared" si="7"/>
        <v>0</v>
      </c>
      <c r="L175" s="1599" t="str">
        <f t="shared" si="8"/>
        <v>n/m</v>
      </c>
      <c r="N175" s="1276">
        <v>0</v>
      </c>
      <c r="O175" s="1096">
        <f t="shared" si="9"/>
        <v>0</v>
      </c>
      <c r="P175" s="1599" t="str">
        <f t="shared" si="10"/>
        <v>n/m</v>
      </c>
    </row>
    <row r="176" spans="1:16" s="349" customFormat="1" ht="18.75">
      <c r="A176" s="560">
        <f t="shared" si="6"/>
        <v>96</v>
      </c>
      <c r="B176" s="442"/>
      <c r="C176" s="582" t="s">
        <v>711</v>
      </c>
      <c r="D176" s="579"/>
      <c r="E176" s="578"/>
      <c r="F176" s="577" t="str">
        <f>"Sum Lines "&amp;A169&amp;" through "&amp;A175</f>
        <v>Sum Lines 90 through 95</v>
      </c>
      <c r="G176" s="580"/>
      <c r="H176" s="581">
        <f>+H169-H171-H172-H173+H174+H175</f>
        <v>7058301007.5007696</v>
      </c>
      <c r="I176"/>
      <c r="J176" s="964">
        <f>+J169-J171-J172-J173+J174+J175</f>
        <v>6817402787.2307701</v>
      </c>
      <c r="K176" s="1634">
        <f t="shared" si="7"/>
        <v>240898220.2699995</v>
      </c>
      <c r="L176" s="1626">
        <f t="shared" si="8"/>
        <v>3.5335776363575017E-2</v>
      </c>
      <c r="N176" s="964">
        <v>7022537432.1284628</v>
      </c>
      <c r="O176" s="1634">
        <f t="shared" si="9"/>
        <v>35763575.372306824</v>
      </c>
      <c r="P176" s="1626">
        <f t="shared" si="10"/>
        <v>5.0926856165531657E-3</v>
      </c>
    </row>
    <row r="177" spans="1:16" s="349" customFormat="1" ht="18">
      <c r="A177" s="560"/>
      <c r="B177" s="442"/>
      <c r="C177" s="447"/>
      <c r="E177" s="443"/>
      <c r="F177" s="445"/>
      <c r="G177" s="444"/>
      <c r="H177" s="474"/>
      <c r="I177"/>
      <c r="J177" s="474"/>
      <c r="K177" s="474"/>
      <c r="L177" s="474"/>
      <c r="N177" s="474"/>
      <c r="O177" s="474"/>
      <c r="P177" s="474"/>
    </row>
    <row r="178" spans="1:16" s="349" customFormat="1" ht="15.75">
      <c r="A178" s="560"/>
      <c r="B178" s="576" t="s">
        <v>734</v>
      </c>
      <c r="E178" s="443"/>
      <c r="F178" s="443"/>
      <c r="G178" s="444"/>
      <c r="H178" s="444"/>
      <c r="I178"/>
      <c r="J178" s="444"/>
      <c r="K178" s="444"/>
      <c r="L178" s="444"/>
      <c r="N178" s="444"/>
      <c r="O178" s="444"/>
      <c r="P178" s="444"/>
    </row>
    <row r="179" spans="1:16" s="349" customFormat="1" ht="18">
      <c r="A179" s="560">
        <f>A176+1</f>
        <v>97</v>
      </c>
      <c r="B179" s="442"/>
      <c r="C179" s="445" t="s">
        <v>1055</v>
      </c>
      <c r="E179" s="99" t="str">
        <f>"(Notes "&amp;$B$325&amp;" &amp; "&amp;$B$331&amp;")"</f>
        <v>(Notes R &amp; T)</v>
      </c>
      <c r="F179" s="445" t="s">
        <v>472</v>
      </c>
      <c r="G179" s="444"/>
      <c r="H179" s="445">
        <f>'Att 14 - Cost of Capital Detail'!C15</f>
        <v>356471778.42000002</v>
      </c>
      <c r="I179"/>
      <c r="J179" s="1275">
        <v>355945454</v>
      </c>
      <c r="K179" s="1096">
        <f t="shared" ref="K179:K185" si="11">$H179-J179</f>
        <v>526324.42000001669</v>
      </c>
      <c r="L179" s="1599">
        <f t="shared" ref="L179:L185" si="12">IF(J179=0,"n/m",K179/ABS(J179))</f>
        <v>1.478665941888997E-3</v>
      </c>
      <c r="N179" s="1275">
        <v>358380032.70999998</v>
      </c>
      <c r="O179" s="1096">
        <f t="shared" ref="O179:O185" si="13">$H179-N179</f>
        <v>-1908254.2899999619</v>
      </c>
      <c r="P179" s="1599">
        <f t="shared" ref="P179:P185" si="14">IF(N179=0,"n/m",O179/ABS(N179))</f>
        <v>-5.324666878258018E-3</v>
      </c>
    </row>
    <row r="180" spans="1:16" s="349" customFormat="1" ht="18">
      <c r="A180" s="560">
        <f t="shared" ref="A180:A185" si="15">A179+1</f>
        <v>98</v>
      </c>
      <c r="B180" s="442"/>
      <c r="C180" s="445" t="s">
        <v>986</v>
      </c>
      <c r="E180" s="99" t="str">
        <f>"(Note "&amp;$B$325&amp;")"</f>
        <v>(Note R)</v>
      </c>
      <c r="F180" s="443" t="s">
        <v>472</v>
      </c>
      <c r="G180" s="444"/>
      <c r="H180" s="474">
        <f>'Att 14 - Cost of Capital Detail'!C16</f>
        <v>0</v>
      </c>
      <c r="I180"/>
      <c r="J180" s="1276">
        <v>0</v>
      </c>
      <c r="K180" s="1096">
        <f t="shared" si="11"/>
        <v>0</v>
      </c>
      <c r="L180" s="1599" t="str">
        <f t="shared" si="12"/>
        <v>n/m</v>
      </c>
      <c r="N180" s="1276">
        <v>0</v>
      </c>
      <c r="O180" s="1096">
        <f t="shared" si="13"/>
        <v>0</v>
      </c>
      <c r="P180" s="1599" t="str">
        <f t="shared" si="14"/>
        <v>n/m</v>
      </c>
    </row>
    <row r="181" spans="1:16" s="349" customFormat="1" ht="18">
      <c r="A181" s="560">
        <f t="shared" si="15"/>
        <v>99</v>
      </c>
      <c r="B181" s="442"/>
      <c r="C181" s="443" t="s">
        <v>935</v>
      </c>
      <c r="E181" s="99" t="str">
        <f>"(Note "&amp;B$331&amp;")"</f>
        <v>(Note T)</v>
      </c>
      <c r="F181" s="443" t="s">
        <v>472</v>
      </c>
      <c r="G181" s="444"/>
      <c r="H181" s="445">
        <f>'Att 14 - Cost of Capital Detail'!C17</f>
        <v>4088677.3200000003</v>
      </c>
      <c r="I181"/>
      <c r="J181" s="1275">
        <v>3888848</v>
      </c>
      <c r="K181" s="1096">
        <f t="shared" si="11"/>
        <v>199829.3200000003</v>
      </c>
      <c r="L181" s="1599">
        <f t="shared" si="12"/>
        <v>5.1385222564625896E-2</v>
      </c>
      <c r="N181" s="1275">
        <v>4073420.37</v>
      </c>
      <c r="O181" s="1096">
        <f t="shared" si="13"/>
        <v>15256.950000000186</v>
      </c>
      <c r="P181" s="1599">
        <f t="shared" si="14"/>
        <v>3.7454887083014673E-3</v>
      </c>
    </row>
    <row r="182" spans="1:16" s="349" customFormat="1" ht="18">
      <c r="A182" s="560">
        <f t="shared" si="15"/>
        <v>100</v>
      </c>
      <c r="B182" s="442"/>
      <c r="C182" s="443" t="s">
        <v>2265</v>
      </c>
      <c r="E182" s="99" t="str">
        <f>"(Note "&amp;B$331&amp;")"</f>
        <v>(Note T)</v>
      </c>
      <c r="F182" s="443" t="s">
        <v>472</v>
      </c>
      <c r="G182" s="444"/>
      <c r="H182" s="445">
        <f>'Att 14 - Cost of Capital Detail'!C18</f>
        <v>832211.71</v>
      </c>
      <c r="I182"/>
      <c r="J182" s="1275">
        <v>1421460</v>
      </c>
      <c r="K182" s="1096">
        <f t="shared" si="11"/>
        <v>-589248.29</v>
      </c>
      <c r="L182" s="1599">
        <f t="shared" si="12"/>
        <v>-0.4145373700279994</v>
      </c>
      <c r="N182" s="1275">
        <v>905935.27</v>
      </c>
      <c r="O182" s="1096">
        <f t="shared" si="13"/>
        <v>-73723.560000000056</v>
      </c>
      <c r="P182" s="1599">
        <f t="shared" si="14"/>
        <v>-8.1378396935578023E-2</v>
      </c>
    </row>
    <row r="183" spans="1:16" s="349" customFormat="1" ht="18">
      <c r="A183" s="560">
        <f t="shared" si="15"/>
        <v>101</v>
      </c>
      <c r="B183" s="442"/>
      <c r="C183" s="443" t="s">
        <v>934</v>
      </c>
      <c r="E183" s="99" t="str">
        <f>"(Note "&amp;B$331&amp;")"</f>
        <v>(Note T)</v>
      </c>
      <c r="F183" s="443" t="s">
        <v>472</v>
      </c>
      <c r="G183" s="444"/>
      <c r="H183" s="445">
        <f>'Att 14 - Cost of Capital Detail'!C19</f>
        <v>11025.9</v>
      </c>
      <c r="I183"/>
      <c r="J183" s="1275">
        <v>-11027</v>
      </c>
      <c r="K183" s="1096">
        <f t="shared" si="11"/>
        <v>22052.9</v>
      </c>
      <c r="L183" s="1599">
        <f t="shared" si="12"/>
        <v>1.9999002448535415</v>
      </c>
      <c r="N183" s="1275">
        <v>11025.9</v>
      </c>
      <c r="O183" s="1096">
        <f t="shared" si="13"/>
        <v>0</v>
      </c>
      <c r="P183" s="1599">
        <f t="shared" si="14"/>
        <v>0</v>
      </c>
    </row>
    <row r="184" spans="1:16" s="349" customFormat="1" ht="18">
      <c r="A184" s="560">
        <f t="shared" si="15"/>
        <v>102</v>
      </c>
      <c r="B184" s="442"/>
      <c r="C184" s="443" t="s">
        <v>2266</v>
      </c>
      <c r="E184" s="99" t="str">
        <f>"(Note "&amp;B$331&amp;")"</f>
        <v>(Note T)</v>
      </c>
      <c r="F184" s="443" t="s">
        <v>472</v>
      </c>
      <c r="G184" s="444"/>
      <c r="H184" s="445">
        <f>'Att 14 - Cost of Capital Detail'!C20</f>
        <v>0</v>
      </c>
      <c r="I184"/>
      <c r="J184" s="1275">
        <v>0</v>
      </c>
      <c r="K184" s="1096">
        <f t="shared" si="11"/>
        <v>0</v>
      </c>
      <c r="L184" s="1599" t="str">
        <f t="shared" si="12"/>
        <v>n/m</v>
      </c>
      <c r="N184" s="1275">
        <v>0</v>
      </c>
      <c r="O184" s="1096">
        <f t="shared" si="13"/>
        <v>0</v>
      </c>
      <c r="P184" s="1599" t="str">
        <f t="shared" si="14"/>
        <v>n/m</v>
      </c>
    </row>
    <row r="185" spans="1:16" s="349" customFormat="1" ht="18.75">
      <c r="A185" s="560">
        <f t="shared" si="15"/>
        <v>103</v>
      </c>
      <c r="B185" s="442"/>
      <c r="C185" s="582" t="s">
        <v>712</v>
      </c>
      <c r="D185" s="579"/>
      <c r="E185" s="579"/>
      <c r="F185" s="577" t="str">
        <f>"Sum Lines "&amp;A179&amp;" through "&amp;A184</f>
        <v>Sum Lines 97 through 102</v>
      </c>
      <c r="G185" s="580"/>
      <c r="H185" s="581">
        <f>+H179-H180+H181+H182-H183-H184</f>
        <v>361381641.55000001</v>
      </c>
      <c r="I185"/>
      <c r="J185" s="964">
        <f>+J179-J180+J181+J182-J183-J184</f>
        <v>361266789</v>
      </c>
      <c r="K185" s="1634">
        <f t="shared" si="11"/>
        <v>114852.55000001192</v>
      </c>
      <c r="L185" s="1626">
        <f t="shared" si="12"/>
        <v>3.1791615918509442E-4</v>
      </c>
      <c r="N185" s="964">
        <v>363348362.44999999</v>
      </c>
      <c r="O185" s="1634">
        <f t="shared" si="13"/>
        <v>-1966720.8999999762</v>
      </c>
      <c r="P185" s="1626">
        <f t="shared" si="14"/>
        <v>-5.4127694060286695E-3</v>
      </c>
    </row>
    <row r="186" spans="1:16" s="349" customFormat="1" ht="18">
      <c r="A186" s="561"/>
      <c r="B186" s="442"/>
      <c r="C186" s="443"/>
      <c r="E186" s="443"/>
      <c r="F186" s="445"/>
      <c r="G186" s="444"/>
      <c r="H186" s="444"/>
      <c r="I186"/>
      <c r="J186" s="444"/>
      <c r="K186" s="444"/>
      <c r="L186" s="444"/>
      <c r="N186" s="444"/>
      <c r="O186" s="444"/>
      <c r="P186" s="444"/>
    </row>
    <row r="187" spans="1:16" s="349" customFormat="1" ht="18.75">
      <c r="A187" s="560"/>
      <c r="B187" s="576" t="s">
        <v>735</v>
      </c>
      <c r="E187" s="442"/>
      <c r="F187" s="445"/>
      <c r="G187" s="444"/>
      <c r="H187" s="444"/>
      <c r="I187"/>
      <c r="J187" s="444"/>
      <c r="K187" s="444"/>
      <c r="L187" s="444"/>
      <c r="N187" s="444"/>
      <c r="O187" s="444"/>
      <c r="P187" s="444"/>
    </row>
    <row r="188" spans="1:16" s="349" customFormat="1" ht="18">
      <c r="A188" s="560">
        <f>+A185+1</f>
        <v>104</v>
      </c>
      <c r="B188" s="442"/>
      <c r="C188" s="443" t="s">
        <v>926</v>
      </c>
      <c r="E188" s="443"/>
      <c r="F188" s="445" t="s">
        <v>472</v>
      </c>
      <c r="G188" s="444"/>
      <c r="H188" s="445">
        <f>'Att 14 - Cost of Capital Detail'!C21</f>
        <v>2397600</v>
      </c>
      <c r="I188"/>
      <c r="J188" s="1275">
        <v>32901115.384615384</v>
      </c>
      <c r="K188" s="1096">
        <f t="shared" ref="K188:K194" si="16">$H188-J188</f>
        <v>-30503515.384615384</v>
      </c>
      <c r="L188" s="1599">
        <f t="shared" ref="L188:L194" si="17">IF(J188=0,"n/m",K188/ABS(J188))</f>
        <v>-0.92712709061769005</v>
      </c>
      <c r="N188" s="1275">
        <v>2397600</v>
      </c>
      <c r="O188" s="1096">
        <f t="shared" ref="O188:O194" si="18">$H188-N188</f>
        <v>0</v>
      </c>
      <c r="P188" s="1599">
        <f t="shared" ref="P188:P194" si="19">IF(N188=0,"n/m",O188/ABS(N188))</f>
        <v>0</v>
      </c>
    </row>
    <row r="189" spans="1:16" s="349" customFormat="1" ht="18">
      <c r="A189" s="560">
        <f t="shared" ref="A189:A202" si="20">+A188+1</f>
        <v>105</v>
      </c>
      <c r="B189" s="442"/>
      <c r="C189" s="443" t="s">
        <v>2267</v>
      </c>
      <c r="E189" s="443"/>
      <c r="F189" s="445" t="s">
        <v>472</v>
      </c>
      <c r="G189" s="444"/>
      <c r="H189" s="445">
        <f>'Att 14 - Cost of Capital Detail'!C22</f>
        <v>0</v>
      </c>
      <c r="I189"/>
      <c r="J189" s="1275">
        <v>0</v>
      </c>
      <c r="K189" s="1096">
        <f t="shared" si="16"/>
        <v>0</v>
      </c>
      <c r="L189" s="1599" t="str">
        <f t="shared" si="17"/>
        <v>n/m</v>
      </c>
      <c r="N189" s="1275">
        <v>0</v>
      </c>
      <c r="O189" s="1096">
        <f t="shared" si="18"/>
        <v>0</v>
      </c>
      <c r="P189" s="1599" t="str">
        <f t="shared" si="19"/>
        <v>n/m</v>
      </c>
    </row>
    <row r="190" spans="1:16" s="349" customFormat="1" ht="18">
      <c r="A190" s="560">
        <f t="shared" si="20"/>
        <v>106</v>
      </c>
      <c r="B190" s="442"/>
      <c r="C190" s="443" t="s">
        <v>928</v>
      </c>
      <c r="E190" s="443"/>
      <c r="F190" s="445" t="s">
        <v>472</v>
      </c>
      <c r="G190" s="444"/>
      <c r="H190" s="445">
        <f>'Att 14 - Cost of Capital Detail'!C23</f>
        <v>0</v>
      </c>
      <c r="I190"/>
      <c r="J190" s="1275">
        <v>0</v>
      </c>
      <c r="K190" s="1096">
        <f t="shared" si="16"/>
        <v>0</v>
      </c>
      <c r="L190" s="1599" t="str">
        <f t="shared" si="17"/>
        <v>n/m</v>
      </c>
      <c r="N190" s="1275">
        <v>0</v>
      </c>
      <c r="O190" s="1096">
        <f t="shared" si="18"/>
        <v>0</v>
      </c>
      <c r="P190" s="1599" t="str">
        <f t="shared" si="19"/>
        <v>n/m</v>
      </c>
    </row>
    <row r="191" spans="1:16" s="349" customFormat="1" ht="18">
      <c r="A191" s="560">
        <f t="shared" si="20"/>
        <v>107</v>
      </c>
      <c r="B191" s="442"/>
      <c r="C191" s="443" t="s">
        <v>937</v>
      </c>
      <c r="E191" s="443"/>
      <c r="F191" s="445" t="s">
        <v>472</v>
      </c>
      <c r="G191" s="444"/>
      <c r="H191" s="445">
        <f>'Att 14 - Cost of Capital Detail'!C24</f>
        <v>0</v>
      </c>
      <c r="I191"/>
      <c r="J191" s="1275">
        <v>0</v>
      </c>
      <c r="K191" s="1096">
        <f t="shared" si="16"/>
        <v>0</v>
      </c>
      <c r="L191" s="1599" t="str">
        <f t="shared" si="17"/>
        <v>n/m</v>
      </c>
      <c r="N191" s="1275">
        <v>0</v>
      </c>
      <c r="O191" s="1096">
        <f t="shared" si="18"/>
        <v>0</v>
      </c>
      <c r="P191" s="1599" t="str">
        <f t="shared" si="19"/>
        <v>n/m</v>
      </c>
    </row>
    <row r="192" spans="1:16" s="349" customFormat="1" ht="18">
      <c r="A192" s="560">
        <f t="shared" si="20"/>
        <v>108</v>
      </c>
      <c r="B192" s="442"/>
      <c r="C192" s="443" t="s">
        <v>984</v>
      </c>
      <c r="E192" s="443"/>
      <c r="F192" s="445" t="s">
        <v>472</v>
      </c>
      <c r="G192" s="444"/>
      <c r="H192" s="445">
        <f>'Att 14 - Cost of Capital Detail'!C25</f>
        <v>0</v>
      </c>
      <c r="I192"/>
      <c r="J192" s="1275">
        <v>0</v>
      </c>
      <c r="K192" s="1096">
        <f t="shared" si="16"/>
        <v>0</v>
      </c>
      <c r="L192" s="1599" t="str">
        <f t="shared" si="17"/>
        <v>n/m</v>
      </c>
      <c r="N192" s="1275">
        <v>0</v>
      </c>
      <c r="O192" s="1096">
        <f t="shared" si="18"/>
        <v>0</v>
      </c>
      <c r="P192" s="1599" t="str">
        <f t="shared" si="19"/>
        <v>n/m</v>
      </c>
    </row>
    <row r="193" spans="1:16" s="349" customFormat="1" ht="18">
      <c r="A193" s="560">
        <f t="shared" si="20"/>
        <v>109</v>
      </c>
      <c r="B193" s="442"/>
      <c r="C193" s="443" t="s">
        <v>927</v>
      </c>
      <c r="E193" s="443"/>
      <c r="F193" s="445" t="s">
        <v>472</v>
      </c>
      <c r="G193" s="444"/>
      <c r="H193" s="445">
        <f>'Att 14 - Cost of Capital Detail'!C26</f>
        <v>0</v>
      </c>
      <c r="I193"/>
      <c r="J193" s="1275">
        <v>155267.53846153847</v>
      </c>
      <c r="K193" s="1096">
        <f t="shared" si="16"/>
        <v>-155267.53846153847</v>
      </c>
      <c r="L193" s="1599">
        <f t="shared" si="17"/>
        <v>-1</v>
      </c>
      <c r="N193" s="1275">
        <v>0</v>
      </c>
      <c r="O193" s="1096">
        <f t="shared" si="18"/>
        <v>0</v>
      </c>
      <c r="P193" s="1599" t="str">
        <f t="shared" si="19"/>
        <v>n/m</v>
      </c>
    </row>
    <row r="194" spans="1:16" s="349" customFormat="1" ht="18.75">
      <c r="A194" s="560">
        <f t="shared" si="20"/>
        <v>110</v>
      </c>
      <c r="B194" s="442"/>
      <c r="C194" s="582" t="s">
        <v>717</v>
      </c>
      <c r="D194" s="579"/>
      <c r="E194" s="579"/>
      <c r="F194" s="577" t="str">
        <f>"Sum Lines "&amp;A188&amp;" through "&amp;A193</f>
        <v>Sum Lines 104 through 109</v>
      </c>
      <c r="G194" s="577"/>
      <c r="H194" s="581">
        <f>+H188-H189+H190+H191-H192-H193</f>
        <v>2397600</v>
      </c>
      <c r="I194"/>
      <c r="J194" s="964">
        <f>+J188-J189+J190+J191-J192-J193</f>
        <v>32745847.846153844</v>
      </c>
      <c r="K194" s="1634">
        <f t="shared" si="16"/>
        <v>-30348247.846153844</v>
      </c>
      <c r="L194" s="1626">
        <f t="shared" si="17"/>
        <v>-0.92678155681708485</v>
      </c>
      <c r="N194" s="964">
        <v>2397600</v>
      </c>
      <c r="O194" s="1634">
        <f t="shared" si="18"/>
        <v>0</v>
      </c>
      <c r="P194" s="1626">
        <f t="shared" si="19"/>
        <v>0</v>
      </c>
    </row>
    <row r="195" spans="1:16" customFormat="1" ht="12.75">
      <c r="G195" s="2"/>
      <c r="H195" s="650"/>
      <c r="J195" s="650"/>
      <c r="K195" s="650"/>
      <c r="L195" s="650"/>
      <c r="N195" s="650"/>
      <c r="O195" s="650"/>
      <c r="P195" s="650"/>
    </row>
    <row r="196" spans="1:16" s="349" customFormat="1" ht="18.75">
      <c r="A196" s="560">
        <f>+A194+1</f>
        <v>111</v>
      </c>
      <c r="B196" s="442"/>
      <c r="C196" s="582" t="s">
        <v>718</v>
      </c>
      <c r="D196" s="579"/>
      <c r="E196" s="578"/>
      <c r="F196" s="577" t="s">
        <v>472</v>
      </c>
      <c r="G196" s="814" t="s">
        <v>985</v>
      </c>
      <c r="H196" s="964">
        <f>'Att 14 - Cost of Capital Detail'!C27</f>
        <v>161901.96</v>
      </c>
      <c r="I196"/>
      <c r="J196" s="1277">
        <v>1493811</v>
      </c>
      <c r="K196" s="1634">
        <f>$H196-J196</f>
        <v>-1331909.04</v>
      </c>
      <c r="L196" s="1626">
        <f>IF(J196=0,"n/m",K196/ABS(J196))</f>
        <v>-0.89161817659663778</v>
      </c>
      <c r="N196" s="1277">
        <v>161901.96000000002</v>
      </c>
      <c r="O196" s="1634">
        <f>$H196-N196</f>
        <v>0</v>
      </c>
      <c r="P196" s="1626">
        <f>IF(N196=0,"n/m",O196/ABS(N196))</f>
        <v>0</v>
      </c>
    </row>
    <row r="197" spans="1:16" s="349" customFormat="1" ht="18">
      <c r="A197" s="561"/>
      <c r="B197" s="442"/>
      <c r="C197" s="443"/>
      <c r="E197" s="443"/>
      <c r="F197" s="445"/>
      <c r="G197" s="444"/>
      <c r="H197" s="444"/>
      <c r="I197"/>
      <c r="J197" s="444"/>
      <c r="K197" s="444"/>
      <c r="L197" s="444"/>
      <c r="N197" s="444"/>
      <c r="O197" s="444"/>
      <c r="P197" s="444"/>
    </row>
    <row r="198" spans="1:16" s="349" customFormat="1" ht="18.75">
      <c r="A198" s="560"/>
      <c r="B198" s="576" t="s">
        <v>213</v>
      </c>
      <c r="E198" s="442"/>
      <c r="F198" s="445"/>
      <c r="G198" s="444"/>
      <c r="H198" s="444"/>
      <c r="I198"/>
      <c r="J198" s="444"/>
      <c r="K198" s="444"/>
      <c r="L198" s="444"/>
      <c r="N198" s="444"/>
      <c r="O198" s="444"/>
      <c r="P198" s="444"/>
    </row>
    <row r="199" spans="1:16" s="349" customFormat="1" ht="18">
      <c r="A199" s="560">
        <f>+A196+1</f>
        <v>112</v>
      </c>
      <c r="B199" s="442"/>
      <c r="C199" s="443" t="s">
        <v>284</v>
      </c>
      <c r="E199" s="443"/>
      <c r="F199" s="445" t="s">
        <v>472</v>
      </c>
      <c r="G199" s="444"/>
      <c r="H199" s="2488">
        <f>'Att 14 - Cost of Capital Detail'!$C$28</f>
        <v>7458553511.3146152</v>
      </c>
      <c r="I199"/>
      <c r="J199" s="1275">
        <v>7413738664.6153851</v>
      </c>
      <c r="K199" s="1096">
        <f>$H199-J199</f>
        <v>44814846.699230194</v>
      </c>
      <c r="L199" s="1599">
        <f>IF(J199=0,"n/m",K199/ABS(J199))</f>
        <v>6.0448376624232048E-3</v>
      </c>
      <c r="N199" s="1275">
        <v>7600030796.7738447</v>
      </c>
      <c r="O199" s="1096">
        <f>$H199-N199</f>
        <v>-141477285.45922947</v>
      </c>
      <c r="P199" s="1599">
        <f>IF(N199=0,"n/m",O199/ABS(N199))</f>
        <v>-1.8615356863986063E-2</v>
      </c>
    </row>
    <row r="200" spans="1:16" s="349" customFormat="1" ht="18">
      <c r="A200" s="560">
        <f t="shared" si="20"/>
        <v>113</v>
      </c>
      <c r="B200" s="442"/>
      <c r="C200" s="443" t="s">
        <v>1046</v>
      </c>
      <c r="F200" s="37" t="str">
        <f>"(Line "&amp;A194&amp;")"</f>
        <v>(Line 110)</v>
      </c>
      <c r="G200" s="444"/>
      <c r="H200" s="445">
        <f>H194</f>
        <v>2397600</v>
      </c>
      <c r="I200"/>
      <c r="J200" s="445">
        <f>J194</f>
        <v>32745847.846153844</v>
      </c>
      <c r="K200" s="1096">
        <f>$H200-J200</f>
        <v>-30348247.846153844</v>
      </c>
      <c r="L200" s="1599">
        <f>IF(J200=0,"n/m",K200/ABS(J200))</f>
        <v>-0.92678155681708485</v>
      </c>
      <c r="N200" s="445">
        <v>2397600</v>
      </c>
      <c r="O200" s="1096">
        <f>$H200-N200</f>
        <v>0</v>
      </c>
      <c r="P200" s="1599">
        <f>IF(N200=0,"n/m",O200/ABS(N200))</f>
        <v>0</v>
      </c>
    </row>
    <row r="201" spans="1:16" s="349" customFormat="1" ht="18">
      <c r="A201" s="560">
        <f t="shared" si="20"/>
        <v>114</v>
      </c>
      <c r="B201" s="442"/>
      <c r="C201" s="443" t="s">
        <v>936</v>
      </c>
      <c r="F201" s="445" t="s">
        <v>472</v>
      </c>
      <c r="G201" s="444"/>
      <c r="H201" s="445">
        <f>'Att 14 - Cost of Capital Detail'!C29</f>
        <v>147464388.14923078</v>
      </c>
      <c r="I201"/>
      <c r="J201" s="1275">
        <v>139769215.76923078</v>
      </c>
      <c r="K201" s="1096">
        <f>$H201-J201</f>
        <v>7695172.3799999952</v>
      </c>
      <c r="L201" s="1599">
        <f>IF(J201=0,"n/m",K201/ABS(J201))</f>
        <v>5.5056275000535802E-2</v>
      </c>
      <c r="N201" s="1275">
        <v>133301194.01615384</v>
      </c>
      <c r="O201" s="1096">
        <f>$H201-N201</f>
        <v>14163194.133076936</v>
      </c>
      <c r="P201" s="1599">
        <f>IF(N201=0,"n/m",O201/ABS(N201))</f>
        <v>0.10624956691206079</v>
      </c>
    </row>
    <row r="202" spans="1:16" s="349" customFormat="1" ht="18">
      <c r="A202" s="560">
        <f t="shared" si="20"/>
        <v>115</v>
      </c>
      <c r="B202" s="442"/>
      <c r="C202" s="443" t="s">
        <v>938</v>
      </c>
      <c r="F202" s="445" t="s">
        <v>472</v>
      </c>
      <c r="G202" s="887"/>
      <c r="H202" s="474">
        <f>'Att 14 - Cost of Capital Detail'!C30</f>
        <v>-13306314.38769231</v>
      </c>
      <c r="I202"/>
      <c r="J202" s="1276">
        <v>-11551398.055384615</v>
      </c>
      <c r="K202" s="1096">
        <f>$H202-J202</f>
        <v>-1754916.3323076945</v>
      </c>
      <c r="L202" s="1599">
        <f>IF(J202=0,"n/m",K202/ABS(J202))</f>
        <v>-0.15192241873178725</v>
      </c>
      <c r="N202" s="1276">
        <v>-9296735.0107692312</v>
      </c>
      <c r="O202" s="1096">
        <f>$H202-N202</f>
        <v>-4009579.3769230787</v>
      </c>
      <c r="P202" s="1599">
        <f>IF(N202=0,"n/m",O202/ABS(N202))</f>
        <v>-0.43128898180688469</v>
      </c>
    </row>
    <row r="203" spans="1:16" s="349" customFormat="1" ht="18.75">
      <c r="A203" s="560">
        <f>A202+1</f>
        <v>116</v>
      </c>
      <c r="B203" s="442"/>
      <c r="C203" s="582" t="s">
        <v>384</v>
      </c>
      <c r="D203" s="579"/>
      <c r="E203" s="579"/>
      <c r="F203" s="577" t="str">
        <f>"Sum Lines "&amp;A199&amp;" through "&amp;A202</f>
        <v>Sum Lines 112 through 115</v>
      </c>
      <c r="G203" s="577"/>
      <c r="H203" s="581">
        <f>H199-H200-H201-H202</f>
        <v>7321997837.5530767</v>
      </c>
      <c r="I203"/>
      <c r="J203" s="964">
        <f>J199-J200-J201-J202</f>
        <v>7252774999.0553846</v>
      </c>
      <c r="K203" s="1634">
        <f>$H203-J203</f>
        <v>69222838.497692108</v>
      </c>
      <c r="L203" s="1626">
        <f>IF(J203=0,"n/m",K203/ABS(J203))</f>
        <v>9.5443245525619943E-3</v>
      </c>
      <c r="N203" s="964">
        <v>7473628737.7684593</v>
      </c>
      <c r="O203" s="1634">
        <f>$H203-N203</f>
        <v>-151630900.21538258</v>
      </c>
      <c r="P203" s="1626">
        <f>IF(N203=0,"n/m",O203/ABS(N203))</f>
        <v>-2.0288792169874073E-2</v>
      </c>
    </row>
    <row r="204" spans="1:16" ht="16.5" thickBot="1">
      <c r="A204" s="34"/>
      <c r="B204" s="585"/>
      <c r="C204" s="585"/>
      <c r="D204" s="586"/>
      <c r="E204" s="263"/>
      <c r="F204" s="587"/>
      <c r="G204" s="588"/>
      <c r="H204" s="589"/>
      <c r="I204"/>
      <c r="J204" s="589"/>
      <c r="K204" s="589"/>
      <c r="L204" s="589"/>
      <c r="N204" s="589"/>
      <c r="O204" s="589"/>
      <c r="P204" s="589"/>
    </row>
    <row r="205" spans="1:16">
      <c r="A205" s="34"/>
      <c r="B205" s="8"/>
      <c r="C205" s="506"/>
      <c r="F205" s="23"/>
      <c r="G205" s="476"/>
      <c r="H205" s="373"/>
      <c r="I205"/>
      <c r="J205" s="373"/>
      <c r="K205" s="373"/>
      <c r="L205" s="373"/>
      <c r="N205" s="373"/>
      <c r="O205" s="373"/>
      <c r="P205" s="373"/>
    </row>
    <row r="206" spans="1:16">
      <c r="A206" s="34">
        <f>+A203+1</f>
        <v>117</v>
      </c>
      <c r="B206" s="8"/>
      <c r="C206" s="36" t="s">
        <v>966</v>
      </c>
      <c r="D206" s="249" t="s">
        <v>217</v>
      </c>
      <c r="E206" s="99" t="str">
        <f>"(Notes "&amp;B324&amp;" &amp; "&amp;B325&amp;")"</f>
        <v>(Notes Q &amp; R)</v>
      </c>
      <c r="F206" s="242" t="str">
        <f>"(Line "&amp;A169&amp;" / (Lines "&amp;A$169&amp;" + "&amp;A$194&amp;" +"&amp;A$203&amp;"))"</f>
        <v>(Line 90 / (Lines 90 + 110 +116))</v>
      </c>
      <c r="G206" s="254"/>
      <c r="H206" s="375">
        <f>+H169/(H169+H194+H203)</f>
        <v>0.49262319623971046</v>
      </c>
      <c r="I206"/>
      <c r="J206" s="375">
        <f>+J169/(J169+J194+J203)</f>
        <v>0.48547934807959908</v>
      </c>
      <c r="K206" s="1683">
        <f>$H206-J206</f>
        <v>7.1438481601113768E-3</v>
      </c>
      <c r="L206" s="375"/>
      <c r="N206" s="375">
        <v>0.48633978678856093</v>
      </c>
      <c r="O206" s="1683">
        <f>$H206-N206</f>
        <v>6.2834094511495242E-3</v>
      </c>
      <c r="P206" s="375"/>
    </row>
    <row r="207" spans="1:16">
      <c r="A207" s="34">
        <f>+A206+1</f>
        <v>118</v>
      </c>
      <c r="B207" s="8"/>
      <c r="C207" s="36" t="s">
        <v>967</v>
      </c>
      <c r="D207" s="506" t="s">
        <v>230</v>
      </c>
      <c r="E207" s="99"/>
      <c r="F207" s="242" t="str">
        <f>"(Line "&amp;A194&amp;" / (Lines "&amp;A$169&amp;" + "&amp;A$194&amp;" +"&amp;A$203&amp;"))"</f>
        <v>(Line 110 / (Lines 90 + 110 +116))</v>
      </c>
      <c r="G207" s="254"/>
      <c r="H207" s="375">
        <f>H194/(H169+H194+H203)</f>
        <v>1.6608696718620536E-4</v>
      </c>
      <c r="I207"/>
      <c r="J207" s="375">
        <f>J194/(J169+J194+J203)</f>
        <v>2.3125889466989583E-3</v>
      </c>
      <c r="K207" s="1683">
        <f>$H207-J207</f>
        <v>-2.1465019795127529E-3</v>
      </c>
      <c r="L207" s="375"/>
      <c r="N207" s="375">
        <v>1.6473346555429013E-4</v>
      </c>
      <c r="O207" s="1683">
        <f>$H207-N207</f>
        <v>1.3535016319152313E-6</v>
      </c>
      <c r="P207" s="375"/>
    </row>
    <row r="208" spans="1:16">
      <c r="A208" s="34">
        <f>+A207+1</f>
        <v>119</v>
      </c>
      <c r="B208" s="8"/>
      <c r="C208" s="36" t="s">
        <v>968</v>
      </c>
      <c r="D208" s="506" t="s">
        <v>213</v>
      </c>
      <c r="E208" s="99" t="str">
        <f>+E206</f>
        <v>(Notes Q &amp; R)</v>
      </c>
      <c r="F208" s="242" t="str">
        <f>"(Line "&amp;A203&amp;" / (Lines "&amp;A$169&amp;" + "&amp;A$194&amp;" +"&amp;A$203&amp;"))"</f>
        <v>(Line 116 / (Lines 90 + 110 +116))</v>
      </c>
      <c r="G208" s="254"/>
      <c r="H208" s="375">
        <f>H203/(H169+H194+H203)</f>
        <v>0.50721071679310337</v>
      </c>
      <c r="I208"/>
      <c r="J208" s="375">
        <f>J203/(J169+J194+J203)</f>
        <v>0.51220806297370203</v>
      </c>
      <c r="K208" s="1683">
        <f>$H208-J208</f>
        <v>-4.9973461805986608E-3</v>
      </c>
      <c r="L208" s="375"/>
      <c r="N208" s="375">
        <v>0.51349547974588483</v>
      </c>
      <c r="O208" s="1683">
        <f>$H208-N208</f>
        <v>-6.2847629527814641E-3</v>
      </c>
      <c r="P208" s="375"/>
    </row>
    <row r="209" spans="1:16">
      <c r="A209" s="34"/>
      <c r="B209" s="35"/>
      <c r="C209" s="597"/>
      <c r="D209" s="48"/>
      <c r="E209" s="125"/>
      <c r="F209" s="478"/>
      <c r="G209" s="478"/>
      <c r="H209" s="598"/>
      <c r="I209"/>
      <c r="J209" s="598"/>
      <c r="K209" s="595"/>
      <c r="L209" s="595"/>
      <c r="N209" s="598"/>
      <c r="O209" s="598"/>
      <c r="P209" s="595"/>
    </row>
    <row r="210" spans="1:16" s="349" customFormat="1">
      <c r="A210" s="34"/>
      <c r="B210" s="35"/>
      <c r="C210" s="594"/>
      <c r="D210" s="28"/>
      <c r="E210" s="103"/>
      <c r="F210" s="242"/>
      <c r="G210" s="242"/>
      <c r="H210" s="595"/>
      <c r="I210"/>
      <c r="J210" s="595"/>
      <c r="K210" s="595"/>
      <c r="L210" s="595"/>
      <c r="N210" s="595"/>
      <c r="O210" s="595"/>
      <c r="P210" s="595"/>
    </row>
    <row r="211" spans="1:16" ht="45" customHeight="1">
      <c r="A211" s="34">
        <f>+A208+1</f>
        <v>120</v>
      </c>
      <c r="B211" s="8"/>
      <c r="C211" s="531" t="s">
        <v>314</v>
      </c>
      <c r="D211" s="583" t="s">
        <v>963</v>
      </c>
      <c r="E211" s="45"/>
      <c r="F211" s="242" t="str">
        <f>"(Line "&amp;A185&amp;" / Line "&amp;A176&amp;")"</f>
        <v>(Line 103 / Line 96)</v>
      </c>
      <c r="G211" s="254"/>
      <c r="H211" s="471">
        <f>H185/H176</f>
        <v>5.1199522543167848E-2</v>
      </c>
      <c r="I211"/>
      <c r="J211" s="1616">
        <f>J185/J176</f>
        <v>5.2991850456109928E-2</v>
      </c>
      <c r="K211" s="1683">
        <f>$H211-J211</f>
        <v>-1.7923279129420794E-3</v>
      </c>
      <c r="L211" s="471"/>
      <c r="N211" s="471">
        <v>5.1740324058318708E-2</v>
      </c>
      <c r="O211" s="1683">
        <f>$H211-N211</f>
        <v>-5.4080151515085995E-4</v>
      </c>
      <c r="P211" s="1616"/>
    </row>
    <row r="212" spans="1:16" ht="45">
      <c r="A212" s="34">
        <f>+A211+1</f>
        <v>121</v>
      </c>
      <c r="B212" s="8"/>
      <c r="C212" s="531" t="s">
        <v>319</v>
      </c>
      <c r="D212" s="584" t="s">
        <v>964</v>
      </c>
      <c r="E212" s="45"/>
      <c r="F212" s="242" t="str">
        <f>"(Line "&amp;A196&amp;" / Line "&amp;A194&amp;")"</f>
        <v>(Line 111 / Line 110)</v>
      </c>
      <c r="G212" s="254"/>
      <c r="H212" s="471">
        <f>H196/H194</f>
        <v>6.7526676676676667E-2</v>
      </c>
      <c r="I212"/>
      <c r="J212" s="1616">
        <f>J196/J194</f>
        <v>4.5618333262226259E-2</v>
      </c>
      <c r="K212" s="1683">
        <f>$H212-J212</f>
        <v>2.1908343414450408E-2</v>
      </c>
      <c r="L212" s="471"/>
      <c r="M212" s="346"/>
      <c r="N212" s="471">
        <v>6.7526676676676681E-2</v>
      </c>
      <c r="O212" s="1683">
        <f>$H212-N212</f>
        <v>0</v>
      </c>
      <c r="P212" s="1616"/>
    </row>
    <row r="213" spans="1:16">
      <c r="A213" s="34">
        <f>+A212+1</f>
        <v>122</v>
      </c>
      <c r="B213" s="8"/>
      <c r="C213" s="531" t="s">
        <v>315</v>
      </c>
      <c r="D213" s="506" t="s">
        <v>213</v>
      </c>
      <c r="E213" s="99" t="str">
        <f>"(Note "&amp;B310&amp;")"</f>
        <v>(Note H)</v>
      </c>
      <c r="F213" s="254" t="s">
        <v>306</v>
      </c>
      <c r="G213" s="254"/>
      <c r="H213" s="1098">
        <f>Inputs!$E$7</f>
        <v>9.8000000000000004E-2</v>
      </c>
      <c r="I213"/>
      <c r="J213" s="1098">
        <v>9.8000000000000004E-2</v>
      </c>
      <c r="K213" s="1278"/>
      <c r="L213" s="1278"/>
      <c r="M213" s="346"/>
      <c r="N213" s="1098">
        <v>9.8000000000000004E-2</v>
      </c>
      <c r="O213" s="1278"/>
      <c r="P213" s="1278"/>
    </row>
    <row r="214" spans="1:16" s="349" customFormat="1">
      <c r="A214" s="34"/>
      <c r="B214" s="35"/>
      <c r="C214" s="597"/>
      <c r="D214" s="533"/>
      <c r="E214" s="102"/>
      <c r="F214" s="478"/>
      <c r="G214" s="478"/>
      <c r="H214" s="480"/>
      <c r="I214"/>
      <c r="J214" s="480"/>
      <c r="K214" s="480"/>
      <c r="L214" s="542"/>
      <c r="N214" s="480"/>
      <c r="O214" s="480"/>
      <c r="P214" s="1636"/>
    </row>
    <row r="215" spans="1:16">
      <c r="A215" s="34"/>
      <c r="B215" s="35"/>
      <c r="C215" s="594"/>
      <c r="D215" s="28"/>
      <c r="E215" s="103"/>
      <c r="F215" s="242"/>
      <c r="G215" s="242"/>
      <c r="H215" s="596"/>
      <c r="I215"/>
      <c r="J215" s="596"/>
      <c r="K215" s="596"/>
      <c r="L215" s="596"/>
      <c r="M215" s="346"/>
      <c r="N215" s="596"/>
      <c r="O215" s="596"/>
      <c r="P215" s="596"/>
    </row>
    <row r="216" spans="1:16">
      <c r="A216" s="34">
        <f>+A213+1</f>
        <v>123</v>
      </c>
      <c r="B216" s="8"/>
      <c r="C216" s="36" t="s">
        <v>316</v>
      </c>
      <c r="D216" s="249" t="s">
        <v>218</v>
      </c>
      <c r="F216" s="242" t="str">
        <f>"(Line "&amp;A206&amp;" * Line "&amp;A211&amp;")"</f>
        <v>(Line 117 * Line 120)</v>
      </c>
      <c r="G216" s="477"/>
      <c r="H216" s="471">
        <f>H206*H211</f>
        <v>2.5222072441162455E-2</v>
      </c>
      <c r="I216"/>
      <c r="J216" s="471">
        <f>J206*J211</f>
        <v>2.5726449012963854E-2</v>
      </c>
      <c r="K216" s="471"/>
      <c r="L216" s="471"/>
      <c r="M216" s="346"/>
      <c r="N216" s="471">
        <v>2.5163378170893771E-2</v>
      </c>
      <c r="O216" s="1616"/>
      <c r="P216" s="1616"/>
    </row>
    <row r="217" spans="1:16">
      <c r="A217" s="34">
        <f>+A216+1</f>
        <v>124</v>
      </c>
      <c r="B217" s="8"/>
      <c r="C217" s="36" t="s">
        <v>56</v>
      </c>
      <c r="D217" s="506" t="s">
        <v>230</v>
      </c>
      <c r="F217" s="242" t="str">
        <f>"(Line "&amp;A207&amp;" * Line "&amp;A212&amp;")"</f>
        <v>(Line 118 * Line 121)</v>
      </c>
      <c r="G217" s="32"/>
      <c r="H217" s="471">
        <f>H207*H212</f>
        <v>1.1215300933392697E-5</v>
      </c>
      <c r="I217"/>
      <c r="J217" s="471">
        <f>J207*J212</f>
        <v>1.0549645326905388E-4</v>
      </c>
      <c r="K217" s="471"/>
      <c r="L217" s="471"/>
      <c r="M217" s="346"/>
      <c r="N217" s="471">
        <v>1.1123903466313005E-5</v>
      </c>
      <c r="O217" s="1616"/>
      <c r="P217" s="1616"/>
    </row>
    <row r="218" spans="1:16">
      <c r="A218" s="34">
        <f>+A217+1</f>
        <v>125</v>
      </c>
      <c r="B218" s="8"/>
      <c r="C218" s="532" t="s">
        <v>317</v>
      </c>
      <c r="D218" s="533" t="s">
        <v>213</v>
      </c>
      <c r="E218" s="91"/>
      <c r="F218" s="478" t="str">
        <f>"(Line "&amp;A208&amp;" * Line "&amp;A213&amp;")"</f>
        <v>(Line 119 * Line 122)</v>
      </c>
      <c r="G218" s="479"/>
      <c r="H218" s="480">
        <f>H208*H213</f>
        <v>4.9706650245724134E-2</v>
      </c>
      <c r="I218"/>
      <c r="J218" s="480">
        <f>J208*J213</f>
        <v>5.01963901714228E-2</v>
      </c>
      <c r="K218" s="542"/>
      <c r="L218" s="542"/>
      <c r="M218" s="346"/>
      <c r="N218" s="480">
        <v>5.0322557015096712E-2</v>
      </c>
      <c r="O218" s="1636"/>
      <c r="P218" s="1636"/>
    </row>
    <row r="219" spans="1:16" s="1" customFormat="1" ht="15.75">
      <c r="A219" s="8">
        <f>+A218+1</f>
        <v>126</v>
      </c>
      <c r="B219" s="8"/>
      <c r="C219" s="599" t="s">
        <v>320</v>
      </c>
      <c r="D219" s="65"/>
      <c r="E219" s="93"/>
      <c r="F219" s="242" t="str">
        <f>"(Sum Lines "&amp;A216&amp;" to "&amp;A218&amp;")"</f>
        <v>(Sum Lines 123 to 125)</v>
      </c>
      <c r="G219" s="41"/>
      <c r="H219" s="1654">
        <f>SUM(H216:H218)</f>
        <v>7.4939937987819977E-2</v>
      </c>
      <c r="I219"/>
      <c r="J219" s="347">
        <f>SUM(J216:J218)</f>
        <v>7.6028335637655708E-2</v>
      </c>
      <c r="K219" s="1682">
        <f>$H219-J219</f>
        <v>-1.0883976498357317E-3</v>
      </c>
      <c r="L219" s="347"/>
      <c r="M219" s="346"/>
      <c r="N219" s="347">
        <v>7.5497059089456794E-2</v>
      </c>
      <c r="O219" s="1682">
        <f>$H219-N219</f>
        <v>-5.5712110163681772E-4</v>
      </c>
      <c r="P219" s="1629"/>
    </row>
    <row r="220" spans="1:16" s="1" customFormat="1" ht="15.75">
      <c r="A220" s="4"/>
      <c r="B220" s="4"/>
      <c r="C220" s="39"/>
      <c r="D220" s="65"/>
      <c r="E220" s="93"/>
      <c r="F220" s="66"/>
      <c r="G220" s="41"/>
      <c r="H220" s="33"/>
      <c r="I220"/>
      <c r="J220" s="33"/>
      <c r="K220" s="33"/>
      <c r="L220" s="33"/>
      <c r="M220" s="346"/>
      <c r="N220" s="33"/>
      <c r="O220" s="33"/>
      <c r="P220" s="33"/>
    </row>
    <row r="221" spans="1:16" ht="16.5" thickBot="1">
      <c r="A221" s="8">
        <f>+A219+1</f>
        <v>127</v>
      </c>
      <c r="B221" s="54" t="s">
        <v>265</v>
      </c>
      <c r="C221" s="53"/>
      <c r="D221" s="52"/>
      <c r="E221" s="94"/>
      <c r="F221" s="508" t="str">
        <f>"(Line "&amp;A106&amp;" * Line "&amp;A219&amp;")"</f>
        <v>(Line 52 * Line 126)</v>
      </c>
      <c r="G221" s="55"/>
      <c r="H221" s="651">
        <f>H106*H219</f>
        <v>262623424.65825579</v>
      </c>
      <c r="I221"/>
      <c r="J221" s="651">
        <f>J106*J219</f>
        <v>234348619.87663692</v>
      </c>
      <c r="K221" s="1664">
        <f>$H221-J221</f>
        <v>28274804.781618863</v>
      </c>
      <c r="L221" s="1665">
        <f>IF(J221=0,"n/m",K221/ABS(J221))</f>
        <v>0.12065274716148514</v>
      </c>
      <c r="M221" s="346"/>
      <c r="N221" s="651">
        <v>254548239.92618042</v>
      </c>
      <c r="O221" s="1664">
        <f>$H221-N221</f>
        <v>8075184.7320753634</v>
      </c>
      <c r="P221" s="1665">
        <f>IF(N221=0,"n/m",O221/ABS(N221))</f>
        <v>3.1723592881322558E-2</v>
      </c>
    </row>
    <row r="222" spans="1:16" ht="15.75" thickTop="1">
      <c r="A222" s="8"/>
      <c r="B222" s="8"/>
      <c r="C222" s="506"/>
      <c r="F222" s="476"/>
      <c r="G222" s="476"/>
      <c r="H222" s="534"/>
      <c r="I222"/>
      <c r="J222" s="534"/>
      <c r="K222" s="534"/>
      <c r="L222" s="534"/>
      <c r="M222" s="346"/>
      <c r="N222" s="534"/>
      <c r="O222" s="534"/>
      <c r="P222" s="534"/>
    </row>
    <row r="223" spans="1:16" ht="15.75">
      <c r="A223" s="693" t="s">
        <v>138</v>
      </c>
      <c r="B223" s="187"/>
      <c r="C223" s="188"/>
      <c r="D223" s="62"/>
      <c r="E223" s="129"/>
      <c r="F223" s="63"/>
      <c r="G223" s="63"/>
      <c r="H223" s="64"/>
      <c r="I223"/>
      <c r="J223" s="64"/>
      <c r="K223" s="64"/>
      <c r="L223" s="64"/>
      <c r="M223" s="346"/>
      <c r="N223" s="64">
        <v>0</v>
      </c>
      <c r="O223" s="64"/>
      <c r="P223" s="64"/>
    </row>
    <row r="224" spans="1:16" ht="15.75">
      <c r="A224" s="21"/>
      <c r="B224" s="8"/>
      <c r="C224" s="7"/>
      <c r="D224" s="22"/>
      <c r="E224" s="157"/>
      <c r="F224" s="9"/>
      <c r="G224" s="9"/>
      <c r="H224" s="11"/>
      <c r="I224"/>
      <c r="J224" s="11"/>
      <c r="K224" s="11"/>
      <c r="L224" s="11"/>
      <c r="M224" s="346"/>
      <c r="N224" s="11"/>
      <c r="O224" s="1654"/>
      <c r="P224" s="1654"/>
    </row>
    <row r="225" spans="1:16" ht="15.75">
      <c r="A225" s="8" t="s">
        <v>225</v>
      </c>
      <c r="B225" s="68" t="s">
        <v>266</v>
      </c>
      <c r="E225" s="157"/>
      <c r="F225" s="476"/>
      <c r="G225" s="535"/>
      <c r="H225" s="22"/>
      <c r="I225"/>
      <c r="J225" s="22"/>
      <c r="K225" s="22"/>
      <c r="L225" s="22"/>
      <c r="M225" s="346"/>
      <c r="N225" s="22"/>
      <c r="O225" s="22"/>
      <c r="P225" s="22"/>
    </row>
    <row r="226" spans="1:16">
      <c r="A226" s="8">
        <f>+A221+1</f>
        <v>128</v>
      </c>
      <c r="B226" s="8"/>
      <c r="C226" s="9" t="s">
        <v>923</v>
      </c>
      <c r="E226" s="99" t="str">
        <f>"(Note "&amp;B$306&amp;")"</f>
        <v>(Note G)</v>
      </c>
      <c r="F226" s="9"/>
      <c r="G226" s="473"/>
      <c r="H226" s="1097">
        <f>Inputs!E91</f>
        <v>0.35</v>
      </c>
      <c r="I226"/>
      <c r="J226" s="1284">
        <v>0.35</v>
      </c>
      <c r="K226" s="1683">
        <f>$H226-J226</f>
        <v>0</v>
      </c>
      <c r="L226" s="1616"/>
      <c r="M226" s="346"/>
      <c r="N226" s="1284">
        <v>0.35</v>
      </c>
      <c r="O226" s="1683">
        <f>$H226-N226</f>
        <v>0</v>
      </c>
      <c r="P226" s="1616"/>
    </row>
    <row r="227" spans="1:16">
      <c r="A227" s="8">
        <f>+A226+1</f>
        <v>129</v>
      </c>
      <c r="B227" s="8"/>
      <c r="C227" s="473" t="s">
        <v>924</v>
      </c>
      <c r="D227" s="536"/>
      <c r="E227" s="99" t="str">
        <f>"(Note "&amp;B$306&amp;")"</f>
        <v>(Note G)</v>
      </c>
      <c r="F227" s="9" t="s">
        <v>177</v>
      </c>
      <c r="G227" s="473"/>
      <c r="H227" s="471">
        <f>'Att 5 - Cost Support'!H235</f>
        <v>4.5400000000000003E-2</v>
      </c>
      <c r="I227"/>
      <c r="J227" s="1284">
        <v>4.5400000000000003E-2</v>
      </c>
      <c r="K227" s="1683">
        <f>$H227-J227</f>
        <v>0</v>
      </c>
      <c r="L227" s="1616"/>
      <c r="M227" s="346"/>
      <c r="N227" s="1284">
        <v>4.5400000000000003E-2</v>
      </c>
      <c r="O227" s="1683">
        <f>$H227-N227</f>
        <v>0</v>
      </c>
      <c r="P227" s="1616"/>
    </row>
    <row r="228" spans="1:16">
      <c r="A228" s="8">
        <f>+A227+1</f>
        <v>130</v>
      </c>
      <c r="B228" s="8"/>
      <c r="C228" s="473" t="s">
        <v>302</v>
      </c>
      <c r="D228" s="473" t="s">
        <v>303</v>
      </c>
      <c r="F228" s="9" t="s">
        <v>965</v>
      </c>
      <c r="G228" s="473"/>
      <c r="H228" s="1097">
        <f>Inputs!E93</f>
        <v>0</v>
      </c>
      <c r="I228"/>
      <c r="J228" s="1284">
        <v>0</v>
      </c>
      <c r="K228" s="1683">
        <f>$H228-J228</f>
        <v>0</v>
      </c>
      <c r="L228" s="1616"/>
      <c r="M228" s="346"/>
      <c r="N228" s="1284">
        <v>0</v>
      </c>
      <c r="O228" s="1683">
        <f>$H228-N228</f>
        <v>0</v>
      </c>
      <c r="P228" s="1616"/>
    </row>
    <row r="229" spans="1:16">
      <c r="A229" s="34">
        <f>+A228+1</f>
        <v>131</v>
      </c>
      <c r="B229" s="34"/>
      <c r="C229" s="473" t="s">
        <v>307</v>
      </c>
      <c r="D229" s="472" t="s">
        <v>922</v>
      </c>
      <c r="E229" s="45"/>
      <c r="F229" s="22"/>
      <c r="G229" s="473"/>
      <c r="H229" s="537">
        <f>1-(((1-H227)*(1-H226))/(1-H227*H226*H228))</f>
        <v>0.37951000000000001</v>
      </c>
      <c r="I229"/>
      <c r="J229" s="537">
        <f>1-(((1-J227)*(1-J226))/(1-J227*J226*J228))</f>
        <v>0.37951000000000001</v>
      </c>
      <c r="K229" s="537"/>
      <c r="L229" s="537"/>
      <c r="M229" s="346"/>
      <c r="N229" s="537">
        <v>0.37951000000000001</v>
      </c>
      <c r="O229" s="537"/>
      <c r="P229" s="537"/>
    </row>
    <row r="230" spans="1:16" customFormat="1">
      <c r="A230" s="45">
        <f>A229+1</f>
        <v>132</v>
      </c>
      <c r="B230" s="323"/>
      <c r="C230" s="473" t="s">
        <v>285</v>
      </c>
      <c r="D230" s="323"/>
      <c r="E230" s="323"/>
      <c r="F230" s="323"/>
      <c r="G230" s="323"/>
      <c r="H230" s="537">
        <f>H229/(1-H229)</f>
        <v>0.6116295186062628</v>
      </c>
      <c r="J230" s="537">
        <f>J229/(1-J229)</f>
        <v>0.6116295186062628</v>
      </c>
      <c r="K230" s="537"/>
      <c r="L230" s="537"/>
      <c r="M230" s="346"/>
      <c r="N230" s="537">
        <v>0.6116295186062628</v>
      </c>
      <c r="O230" s="537"/>
      <c r="P230" s="537"/>
    </row>
    <row r="231" spans="1:16">
      <c r="A231" s="8"/>
      <c r="B231" s="8"/>
      <c r="E231" s="513"/>
      <c r="F231" s="538"/>
      <c r="G231" s="535"/>
      <c r="H231" s="539"/>
      <c r="I231"/>
      <c r="J231" s="539"/>
      <c r="K231" s="539"/>
      <c r="L231" s="539"/>
      <c r="M231" s="346"/>
      <c r="N231" s="539"/>
      <c r="O231" s="539"/>
      <c r="P231" s="539"/>
    </row>
    <row r="232" spans="1:16" ht="15.75">
      <c r="A232" s="8"/>
      <c r="B232" s="68" t="s">
        <v>253</v>
      </c>
      <c r="C232" s="540"/>
      <c r="D232" s="28"/>
      <c r="F232" s="242"/>
      <c r="G232" s="541"/>
      <c r="H232" s="542"/>
      <c r="I232"/>
      <c r="J232" s="542"/>
      <c r="K232" s="542"/>
      <c r="L232" s="542"/>
      <c r="M232" s="346"/>
      <c r="N232" s="542"/>
      <c r="O232" s="1636"/>
      <c r="P232" s="1636"/>
    </row>
    <row r="233" spans="1:16">
      <c r="A233" s="8">
        <f>A230+1</f>
        <v>133</v>
      </c>
      <c r="B233" s="8"/>
      <c r="C233" s="249" t="s">
        <v>263</v>
      </c>
      <c r="D233" s="28"/>
      <c r="E233" s="99"/>
      <c r="F233" s="242" t="s">
        <v>177</v>
      </c>
      <c r="G233" s="541"/>
      <c r="H233" s="628">
        <f>'Att 5 - Cost Support'!J159</f>
        <v>-1249695.1113480714</v>
      </c>
      <c r="I233"/>
      <c r="J233" s="1128">
        <v>-450647.37101087207</v>
      </c>
      <c r="K233" s="1096">
        <f>$H233-J233</f>
        <v>-799047.7403371993</v>
      </c>
      <c r="L233" s="1599">
        <f>IF(J233=0,"n/m",K233/ABS(J233))</f>
        <v>-1.773110843950584</v>
      </c>
      <c r="M233" s="346"/>
      <c r="N233" s="1128">
        <v>-1296734.9149238509</v>
      </c>
      <c r="O233" s="1096">
        <f>$H233-N233</f>
        <v>47039.803575779544</v>
      </c>
      <c r="P233" s="1599">
        <f>IF(N233=0,"n/m",O233/ABS(N233))</f>
        <v>3.6275574162774736E-2</v>
      </c>
    </row>
    <row r="234" spans="1:16" ht="15.75">
      <c r="A234" s="8">
        <f>+A233+1</f>
        <v>134</v>
      </c>
      <c r="B234" s="8"/>
      <c r="C234" s="82" t="s">
        <v>109</v>
      </c>
      <c r="D234" s="37" t="s">
        <v>980</v>
      </c>
      <c r="E234" s="99"/>
      <c r="F234" s="242" t="str">
        <f>"Line "&amp;A233&amp;" * (1 / (1 - Line "&amp;A229&amp;"))"</f>
        <v>Line 133 * (1 / (1 - Line 131))</v>
      </c>
      <c r="G234" s="543"/>
      <c r="H234" s="639">
        <f>H233*(1/(1-H229))</f>
        <v>-2014045.5307064923</v>
      </c>
      <c r="I234"/>
      <c r="J234" s="639">
        <f>J233*(1/(1-J229))</f>
        <v>-726276.60560342972</v>
      </c>
      <c r="K234" s="1096">
        <f>$H234-J234</f>
        <v>-1287768.9251030625</v>
      </c>
      <c r="L234" s="1599">
        <f>IF(J234=0,"n/m",K234/ABS(J234))</f>
        <v>-1.7731108439505838</v>
      </c>
      <c r="M234" s="346"/>
      <c r="N234" s="639">
        <v>-2089856.2666986589</v>
      </c>
      <c r="O234" s="1096">
        <f>$H234-N234</f>
        <v>75810.735992166679</v>
      </c>
      <c r="P234" s="1599">
        <f>IF(N234=0,"n/m",O234/ABS(N234))</f>
        <v>3.6275574162774708E-2</v>
      </c>
    </row>
    <row r="235" spans="1:16" ht="15.75">
      <c r="A235" s="8"/>
      <c r="B235" s="8"/>
      <c r="E235" s="513"/>
      <c r="F235" s="544"/>
      <c r="G235" s="535"/>
      <c r="H235" s="652"/>
      <c r="I235"/>
      <c r="J235" s="652"/>
      <c r="K235" s="652"/>
      <c r="L235" s="652"/>
      <c r="M235" s="346"/>
      <c r="N235" s="652"/>
      <c r="O235" s="652"/>
      <c r="P235" s="652"/>
    </row>
    <row r="236" spans="1:16" ht="15.75">
      <c r="A236" s="34">
        <f>+A234+1</f>
        <v>135</v>
      </c>
      <c r="B236" s="107" t="s">
        <v>279</v>
      </c>
      <c r="C236" s="23"/>
      <c r="D236" s="22" t="s">
        <v>981</v>
      </c>
      <c r="E236" s="373"/>
      <c r="F236" s="242" t="str">
        <f>"[Line "&amp;A230&amp;" * Line "&amp;A221&amp;" * (1- (Line "&amp;A216&amp;" / Line "&amp;A219&amp;"))]"</f>
        <v>[Line 132 * Line 127 * (1- (Line 123 / Line 126))]</v>
      </c>
      <c r="G236" s="22"/>
      <c r="H236" s="653">
        <f>((H230*H221*(1-(H216/H219))))</f>
        <v>106566583.77374253</v>
      </c>
      <c r="I236"/>
      <c r="J236" s="653">
        <f>((J230*J221*(1-(J216/J219))))</f>
        <v>94833030.292288005</v>
      </c>
      <c r="K236" s="1096">
        <f>$H236-J236</f>
        <v>11733553.481454521</v>
      </c>
      <c r="L236" s="1599">
        <f>IF(J236=0,"n/m",K236/ABS(J236))</f>
        <v>0.12372855159526328</v>
      </c>
      <c r="M236" s="346"/>
      <c r="N236" s="653">
        <v>103797571.56115326</v>
      </c>
      <c r="O236" s="1096">
        <f>$H236-N236</f>
        <v>2769012.2125892639</v>
      </c>
      <c r="P236" s="1599">
        <f>IF(N236=0,"n/m",O236/ABS(N236))</f>
        <v>2.6677042352169826E-2</v>
      </c>
    </row>
    <row r="237" spans="1:16">
      <c r="A237" s="8"/>
      <c r="B237" s="8"/>
      <c r="C237" s="36"/>
      <c r="D237" s="37"/>
      <c r="E237" s="464"/>
      <c r="F237" s="191"/>
      <c r="G237" s="543"/>
      <c r="H237" s="654"/>
      <c r="I237"/>
      <c r="J237" s="654"/>
      <c r="K237" s="654"/>
      <c r="L237" s="654"/>
      <c r="M237" s="346"/>
      <c r="N237" s="654">
        <v>0</v>
      </c>
      <c r="O237" s="654"/>
      <c r="P237" s="654"/>
    </row>
    <row r="238" spans="1:16" ht="16.5" thickBot="1">
      <c r="A238" s="8">
        <f>+A236+1</f>
        <v>136</v>
      </c>
      <c r="B238" s="54" t="s">
        <v>209</v>
      </c>
      <c r="C238" s="54"/>
      <c r="D238" s="52"/>
      <c r="E238" s="88"/>
      <c r="F238" s="508" t="str">
        <f>"(Line "&amp;A234&amp;" + Line "&amp;A236&amp;")"</f>
        <v>(Line 134 + Line 135)</v>
      </c>
      <c r="G238" s="67"/>
      <c r="H238" s="655">
        <f>H234+H236</f>
        <v>104552538.24303603</v>
      </c>
      <c r="I238"/>
      <c r="J238" s="655">
        <f>J234+J236</f>
        <v>94106753.686684579</v>
      </c>
      <c r="K238" s="1664">
        <f>$H238-J238</f>
        <v>10445784.556351453</v>
      </c>
      <c r="L238" s="1665">
        <f>IF(J238=0,"n/m",K238/ABS(J238))</f>
        <v>0.11099930820193042</v>
      </c>
      <c r="M238" s="346"/>
      <c r="N238" s="655">
        <v>101707715.2944546</v>
      </c>
      <c r="O238" s="1664">
        <f>$H238-N238</f>
        <v>2844822.9485814273</v>
      </c>
      <c r="P238" s="1665">
        <f>IF(N238=0,"n/m",O238/ABS(N238))</f>
        <v>2.7970571754024398E-2</v>
      </c>
    </row>
    <row r="239" spans="1:16" ht="16.5" thickTop="1">
      <c r="A239" s="8"/>
      <c r="B239" s="8"/>
      <c r="C239" s="538"/>
      <c r="F239" s="519"/>
      <c r="G239" s="545"/>
      <c r="H239" s="687"/>
      <c r="I239"/>
      <c r="J239" s="687"/>
      <c r="K239" s="1265"/>
      <c r="L239" s="1265"/>
      <c r="M239" s="346"/>
      <c r="N239" s="687"/>
      <c r="O239" s="1265"/>
      <c r="P239" s="1265"/>
    </row>
    <row r="240" spans="1:16" ht="15.75">
      <c r="A240" s="693" t="s">
        <v>20</v>
      </c>
      <c r="B240" s="187"/>
      <c r="C240" s="188"/>
      <c r="D240" s="62"/>
      <c r="E240" s="526"/>
      <c r="F240" s="63"/>
      <c r="G240" s="63"/>
      <c r="H240" s="688"/>
      <c r="I240"/>
      <c r="J240" s="688"/>
      <c r="K240" s="688"/>
      <c r="L240" s="688"/>
      <c r="M240" s="346"/>
      <c r="N240" s="688">
        <v>0</v>
      </c>
      <c r="O240" s="688"/>
      <c r="P240" s="688"/>
    </row>
    <row r="241" spans="1:17">
      <c r="A241" s="44"/>
      <c r="B241" s="349"/>
      <c r="C241" s="349"/>
      <c r="D241" s="349"/>
      <c r="F241" s="349"/>
      <c r="G241" s="349"/>
      <c r="H241" s="632"/>
      <c r="I241"/>
      <c r="J241" s="632"/>
      <c r="K241" s="632"/>
      <c r="L241" s="632"/>
      <c r="M241" s="346"/>
      <c r="N241" s="632"/>
      <c r="O241" s="632"/>
      <c r="P241" s="632"/>
    </row>
    <row r="242" spans="1:17" ht="15.75">
      <c r="A242" s="44"/>
      <c r="B242" s="1" t="s">
        <v>210</v>
      </c>
      <c r="C242" s="51"/>
      <c r="D242" s="38"/>
      <c r="F242" s="349"/>
      <c r="G242" s="349"/>
      <c r="H242" s="632"/>
      <c r="I242"/>
      <c r="J242" s="632"/>
      <c r="K242" s="632"/>
      <c r="L242" s="632"/>
      <c r="M242" s="346"/>
      <c r="N242" s="632"/>
      <c r="O242" s="632"/>
      <c r="P242" s="632"/>
    </row>
    <row r="243" spans="1:17">
      <c r="A243" s="44">
        <f>+A238+1</f>
        <v>137</v>
      </c>
      <c r="B243" s="349"/>
      <c r="C243" s="51" t="s">
        <v>211</v>
      </c>
      <c r="D243" s="38"/>
      <c r="F243" s="242" t="str">
        <f>"(Line "&amp;A64&amp;")"</f>
        <v>(Line 32)</v>
      </c>
      <c r="G243" s="349"/>
      <c r="H243" s="632">
        <f>H64</f>
        <v>4573485298.6002302</v>
      </c>
      <c r="I243"/>
      <c r="J243" s="632">
        <f>J64</f>
        <v>4029045024.717329</v>
      </c>
      <c r="K243" s="1096">
        <f>$H243-J243</f>
        <v>544440273.88290119</v>
      </c>
      <c r="L243" s="1599">
        <f>IF(J243=0,"n/m",K243/ABS(J243))</f>
        <v>0.13512886317796813</v>
      </c>
      <c r="M243" s="346"/>
      <c r="N243" s="632">
        <v>4363479367.9886293</v>
      </c>
      <c r="O243" s="1096">
        <f>$H243-N243</f>
        <v>210005930.61160088</v>
      </c>
      <c r="P243" s="1599">
        <f>IF(N243=0,"n/m",O243/ABS(N243))</f>
        <v>4.8128090659084362E-2</v>
      </c>
    </row>
    <row r="244" spans="1:17">
      <c r="A244" s="8">
        <f>+A243+1</f>
        <v>138</v>
      </c>
      <c r="B244" s="349"/>
      <c r="C244" s="51" t="s">
        <v>5</v>
      </c>
      <c r="D244" s="38"/>
      <c r="F244" s="478" t="str">
        <f>"(Line "&amp;A104&amp;")"</f>
        <v>(Line 51)</v>
      </c>
      <c r="G244" s="349"/>
      <c r="H244" s="632">
        <f>H104</f>
        <v>-1069033177.210163</v>
      </c>
      <c r="I244"/>
      <c r="J244" s="632">
        <f>J104</f>
        <v>-946659780.96397889</v>
      </c>
      <c r="K244" s="1096">
        <f>$H244-J244</f>
        <v>-122373396.24618411</v>
      </c>
      <c r="L244" s="1599">
        <f>IF(J244=0,"n/m",K244/ABS(J244))</f>
        <v>-0.12926861234304463</v>
      </c>
      <c r="M244" s="346"/>
      <c r="N244" s="632">
        <v>-991848168.09559655</v>
      </c>
      <c r="O244" s="1096">
        <f>$H244-N244</f>
        <v>-77185009.114566445</v>
      </c>
      <c r="P244" s="1599">
        <f>IF(N244=0,"n/m",O244/ABS(N244))</f>
        <v>-7.7819379616101872E-2</v>
      </c>
    </row>
    <row r="245" spans="1:17" ht="15.75">
      <c r="A245" s="8">
        <f>+A244+1</f>
        <v>139</v>
      </c>
      <c r="B245" s="8"/>
      <c r="C245" s="26" t="s">
        <v>278</v>
      </c>
      <c r="D245" s="70"/>
      <c r="E245" s="96"/>
      <c r="F245" s="242" t="str">
        <f>"(Line "&amp;A106&amp;")"</f>
        <v>(Line 52)</v>
      </c>
      <c r="G245" s="71"/>
      <c r="H245" s="656">
        <f>SUM(H243:H244)</f>
        <v>3504452121.3900671</v>
      </c>
      <c r="I245"/>
      <c r="J245" s="656">
        <f>SUM(J243:J244)</f>
        <v>3082385243.7533503</v>
      </c>
      <c r="K245" s="1634">
        <f>$H245-J245</f>
        <v>422066877.63671684</v>
      </c>
      <c r="L245" s="1626">
        <f>IF(J245=0,"n/m",K245/ABS(J245))</f>
        <v>0.13692865889883887</v>
      </c>
      <c r="M245" s="346"/>
      <c r="N245" s="656">
        <v>3371631199.893033</v>
      </c>
      <c r="O245" s="1634">
        <f>$H245-N245</f>
        <v>132820921.49703407</v>
      </c>
      <c r="P245" s="1626">
        <f>IF(N245=0,"n/m",O245/ABS(N245))</f>
        <v>3.9393668412265222E-2</v>
      </c>
    </row>
    <row r="246" spans="1:17">
      <c r="A246" s="8"/>
      <c r="B246" s="8"/>
      <c r="C246" s="249"/>
      <c r="D246" s="37"/>
      <c r="E246" s="157"/>
      <c r="F246" s="22"/>
      <c r="G246" s="9"/>
      <c r="H246" s="632"/>
      <c r="I246"/>
      <c r="J246" s="632"/>
      <c r="K246" s="632"/>
      <c r="L246" s="632"/>
      <c r="M246" s="346"/>
      <c r="N246" s="632"/>
      <c r="O246" s="632"/>
      <c r="P246" s="632"/>
    </row>
    <row r="247" spans="1:17">
      <c r="A247" s="8">
        <f>+A245+1</f>
        <v>140</v>
      </c>
      <c r="C247" s="249" t="s">
        <v>272</v>
      </c>
      <c r="D247" s="28"/>
      <c r="F247" s="242" t="str">
        <f>"(Line "&amp;A139&amp;")"</f>
        <v>(Line 75)</v>
      </c>
      <c r="G247" s="349"/>
      <c r="H247" s="632">
        <f>H139</f>
        <v>69887252.685854971</v>
      </c>
      <c r="I247"/>
      <c r="J247" s="632">
        <f>J139</f>
        <v>67575087.323311478</v>
      </c>
      <c r="K247" s="1096">
        <f>$H247-J247</f>
        <v>2312165.3625434935</v>
      </c>
      <c r="L247" s="1599">
        <f>IF(J247=0,"n/m",K247/ABS(J247))</f>
        <v>3.42162393587594E-2</v>
      </c>
      <c r="M247" s="346"/>
      <c r="N247" s="632">
        <v>60959586.422687441</v>
      </c>
      <c r="O247" s="1096">
        <f>$H247-N247</f>
        <v>8927666.2631675303</v>
      </c>
      <c r="P247" s="1599">
        <f>IF(N247=0,"n/m",O247/ABS(N247))</f>
        <v>0.14645221181889292</v>
      </c>
    </row>
    <row r="248" spans="1:17">
      <c r="A248" s="8">
        <f>+A247+1</f>
        <v>141</v>
      </c>
      <c r="C248" s="332" t="s">
        <v>268</v>
      </c>
      <c r="D248" s="28"/>
      <c r="F248" s="242" t="str">
        <f>"(Line "&amp;A154&amp;")"</f>
        <v>(Line 83)</v>
      </c>
      <c r="G248" s="349"/>
      <c r="H248" s="632">
        <f>H154</f>
        <v>105285179.31209183</v>
      </c>
      <c r="I248"/>
      <c r="J248" s="632">
        <f>J154</f>
        <v>100621951.75584151</v>
      </c>
      <c r="K248" s="1096">
        <f>$H248-J248</f>
        <v>4663227.5562503189</v>
      </c>
      <c r="L248" s="1599">
        <f>IF(J248=0,"n/m",K248/ABS(J248))</f>
        <v>4.6344038004406923E-2</v>
      </c>
      <c r="M248" s="346"/>
      <c r="N248" s="632">
        <v>98292242.147757933</v>
      </c>
      <c r="O248" s="1096">
        <f>$H248-N248</f>
        <v>6992937.1643338948</v>
      </c>
      <c r="P248" s="1599">
        <f>IF(N248=0,"n/m",O248/ABS(N248))</f>
        <v>7.1144344777706398E-2</v>
      </c>
    </row>
    <row r="249" spans="1:17">
      <c r="A249" s="8">
        <f>+A248+1</f>
        <v>142</v>
      </c>
      <c r="B249" s="8"/>
      <c r="C249" s="249" t="s">
        <v>212</v>
      </c>
      <c r="D249" s="37"/>
      <c r="E249" s="157"/>
      <c r="F249" s="242" t="str">
        <f>"(Line "&amp;A160&amp;")"</f>
        <v>(Line 85)</v>
      </c>
      <c r="G249" s="9"/>
      <c r="H249" s="632">
        <f>H160</f>
        <v>35960263.950502515</v>
      </c>
      <c r="I249"/>
      <c r="J249" s="632">
        <f>J160</f>
        <v>30517763.844946962</v>
      </c>
      <c r="K249" s="1096">
        <f>$H249-J249</f>
        <v>5442500.105555553</v>
      </c>
      <c r="L249" s="1599">
        <f>IF(J249=0,"n/m",K249/ABS(J249))</f>
        <v>0.17833875814779612</v>
      </c>
      <c r="M249" s="346"/>
      <c r="N249" s="632">
        <v>31806190.35901561</v>
      </c>
      <c r="O249" s="1096">
        <f>$H249-N249</f>
        <v>4154073.5914869048</v>
      </c>
      <c r="P249" s="1599">
        <f>IF(N249=0,"n/m",O249/ABS(N249))</f>
        <v>0.13060582058389819</v>
      </c>
    </row>
    <row r="250" spans="1:17">
      <c r="A250" s="8">
        <f>+A249+1</f>
        <v>143</v>
      </c>
      <c r="B250" s="8"/>
      <c r="C250" s="546" t="s">
        <v>289</v>
      </c>
      <c r="D250" s="37"/>
      <c r="E250" s="157"/>
      <c r="F250" s="242" t="str">
        <f>"(Line "&amp;A221&amp;")"</f>
        <v>(Line 127)</v>
      </c>
      <c r="G250" s="9"/>
      <c r="H250" s="632">
        <f>H221</f>
        <v>262623424.65825579</v>
      </c>
      <c r="I250"/>
      <c r="J250" s="632">
        <f>J221</f>
        <v>234348619.87663692</v>
      </c>
      <c r="K250" s="1096">
        <f>$H250-J250</f>
        <v>28274804.781618863</v>
      </c>
      <c r="L250" s="1599">
        <f>IF(J250=0,"n/m",K250/ABS(J250))</f>
        <v>0.12065274716148514</v>
      </c>
      <c r="M250" s="346"/>
      <c r="N250" s="632">
        <v>254548239.92618042</v>
      </c>
      <c r="O250" s="1096">
        <f>$H250-N250</f>
        <v>8075184.7320753634</v>
      </c>
      <c r="P250" s="1599">
        <f>IF(N250=0,"n/m",O250/ABS(N250))</f>
        <v>3.1723592881322558E-2</v>
      </c>
    </row>
    <row r="251" spans="1:17">
      <c r="A251" s="8">
        <f>+A250+1</f>
        <v>144</v>
      </c>
      <c r="B251" s="8"/>
      <c r="C251" s="546" t="s">
        <v>290</v>
      </c>
      <c r="D251" s="37"/>
      <c r="E251" s="157"/>
      <c r="F251" s="242" t="str">
        <f>"(Line "&amp;A238&amp;")"</f>
        <v>(Line 136)</v>
      </c>
      <c r="G251" s="9"/>
      <c r="H251" s="632">
        <f>H238</f>
        <v>104552538.24303603</v>
      </c>
      <c r="I251"/>
      <c r="J251" s="632">
        <f>J238</f>
        <v>94106753.686684579</v>
      </c>
      <c r="K251" s="1096">
        <f>$H251-J251</f>
        <v>10445784.556351453</v>
      </c>
      <c r="L251" s="1599">
        <f>IF(J251=0,"n/m",K251/ABS(J251))</f>
        <v>0.11099930820193042</v>
      </c>
      <c r="M251" s="346"/>
      <c r="N251" s="632">
        <v>101707715.2944546</v>
      </c>
      <c r="O251" s="1096">
        <f>$H251-N251</f>
        <v>2844822.9485814273</v>
      </c>
      <c r="P251" s="1599">
        <f>IF(N251=0,"n/m",O251/ABS(N251))</f>
        <v>2.7970571754024398E-2</v>
      </c>
    </row>
    <row r="252" spans="1:17" ht="15.75" thickBot="1">
      <c r="A252" s="8"/>
      <c r="B252" s="8"/>
      <c r="C252" s="546"/>
      <c r="D252" s="37"/>
      <c r="E252" s="157"/>
      <c r="F252" s="22"/>
      <c r="G252" s="9"/>
      <c r="H252" s="632"/>
      <c r="I252"/>
      <c r="J252" s="632"/>
      <c r="K252" s="632"/>
      <c r="L252" s="632"/>
      <c r="M252" s="346"/>
      <c r="N252" s="632"/>
      <c r="O252" s="632"/>
      <c r="P252" s="632"/>
    </row>
    <row r="253" spans="1:17" ht="18.75" thickBot="1">
      <c r="A253" s="74">
        <f>+A251+1</f>
        <v>145</v>
      </c>
      <c r="B253" s="72"/>
      <c r="C253" s="195" t="s">
        <v>301</v>
      </c>
      <c r="D253" s="547"/>
      <c r="E253" s="548"/>
      <c r="F253" s="972" t="str">
        <f>"(Sum Lines "&amp;A247&amp;" to "&amp;A251&amp;")"</f>
        <v>(Sum Lines 140 to 144)</v>
      </c>
      <c r="G253" s="73"/>
      <c r="H253" s="1076">
        <f>SUM(H247:H251)</f>
        <v>578308658.8497411</v>
      </c>
      <c r="I253"/>
      <c r="J253" s="1281">
        <f>SUM(J247:J251)</f>
        <v>527170176.48742151</v>
      </c>
      <c r="K253" s="1659">
        <f>$H253-J253</f>
        <v>51138482.362319589</v>
      </c>
      <c r="L253" s="1632">
        <f>IF(J253=0,"n/m",K253/ABS(J253))</f>
        <v>9.7005643799995531E-2</v>
      </c>
      <c r="M253" s="346"/>
      <c r="N253" s="1281">
        <v>547313974.15009594</v>
      </c>
      <c r="O253" s="1659">
        <f>$H253-N253</f>
        <v>30994684.699645162</v>
      </c>
      <c r="P253" s="1632">
        <f>IF(N253=0,"n/m",O253/ABS(N253))</f>
        <v>5.6630537796473562E-2</v>
      </c>
      <c r="Q253" s="42"/>
    </row>
    <row r="254" spans="1:17" ht="18">
      <c r="A254" s="80"/>
      <c r="B254" s="105"/>
      <c r="C254" s="196"/>
      <c r="D254" s="398"/>
      <c r="E254" s="549"/>
      <c r="F254" s="40"/>
      <c r="G254" s="106"/>
      <c r="H254" s="657"/>
      <c r="I254"/>
      <c r="J254" s="657"/>
      <c r="K254" s="657"/>
      <c r="L254" s="657"/>
      <c r="M254" s="346"/>
      <c r="N254" s="657"/>
      <c r="O254" s="657"/>
      <c r="P254" s="657"/>
    </row>
    <row r="255" spans="1:17" ht="18">
      <c r="A255" s="80"/>
      <c r="B255" s="82" t="s">
        <v>237</v>
      </c>
      <c r="C255" s="196"/>
      <c r="D255" s="398"/>
      <c r="E255" s="549"/>
      <c r="F255" s="40"/>
      <c r="G255" s="106"/>
      <c r="H255" s="658"/>
      <c r="I255"/>
      <c r="J255" s="658"/>
      <c r="K255" s="658"/>
      <c r="L255" s="658"/>
      <c r="M255" s="346"/>
      <c r="N255" s="658"/>
      <c r="O255" s="658"/>
      <c r="P255" s="658"/>
    </row>
    <row r="256" spans="1:17" ht="18">
      <c r="A256" s="464">
        <f>+A253+1</f>
        <v>146</v>
      </c>
      <c r="B256" s="464"/>
      <c r="C256" s="249" t="str">
        <f>+C38</f>
        <v>Transmission Plant In Service</v>
      </c>
      <c r="D256" s="398"/>
      <c r="E256" s="549"/>
      <c r="F256" s="242" t="str">
        <f>"(Line "&amp;A38&amp;")"</f>
        <v>(Line 15)</v>
      </c>
      <c r="G256" s="106"/>
      <c r="H256" s="659">
        <f>H38</f>
        <v>5910756444.3699999</v>
      </c>
      <c r="I256"/>
      <c r="J256" s="659">
        <f>J38</f>
        <v>5231106253.9299994</v>
      </c>
      <c r="K256" s="1096">
        <f>$H256-J256</f>
        <v>679650190.44000053</v>
      </c>
      <c r="L256" s="1599">
        <f>IF(J256=0,"n/m",K256/ABS(J256))</f>
        <v>0.12992475347435284</v>
      </c>
      <c r="M256" s="346"/>
      <c r="N256" s="659">
        <v>5387870876.6499996</v>
      </c>
      <c r="O256" s="1096">
        <f>$H256-N256</f>
        <v>522885567.72000027</v>
      </c>
      <c r="P256" s="1599">
        <f>IF(N256=0,"n/m",O256/ABS(N256))</f>
        <v>9.7048644945461879E-2</v>
      </c>
    </row>
    <row r="257" spans="1:16" ht="18">
      <c r="A257" s="464">
        <f>+A256+1</f>
        <v>147</v>
      </c>
      <c r="B257" s="464"/>
      <c r="C257" s="510" t="s">
        <v>238</v>
      </c>
      <c r="D257" s="550"/>
      <c r="E257" s="102" t="str">
        <f>"(Note "&amp;B$315&amp;")"</f>
        <v>(Note J)</v>
      </c>
      <c r="F257" s="478" t="s">
        <v>474</v>
      </c>
      <c r="G257" s="218"/>
      <c r="H257" s="660">
        <f>'Att 15 - GSU and Assoc''d Equip'!C27</f>
        <v>242640976.00425023</v>
      </c>
      <c r="I257"/>
      <c r="J257" s="1279">
        <v>228271667.91000009</v>
      </c>
      <c r="K257" s="1096">
        <f>$H257-J257</f>
        <v>14369308.094250143</v>
      </c>
      <c r="L257" s="1599">
        <f>IF(J257=0,"n/m",K257/ABS(J257))</f>
        <v>6.2948276611863557E-2</v>
      </c>
      <c r="M257" s="346"/>
      <c r="N257" s="1279">
        <v>239989390.75</v>
      </c>
      <c r="O257" s="1096">
        <f>$H257-N257</f>
        <v>2651585.2542502284</v>
      </c>
      <c r="P257" s="1599">
        <f>IF(N257=0,"n/m",O257/ABS(N257))</f>
        <v>1.1048760305460413E-2</v>
      </c>
    </row>
    <row r="258" spans="1:16" ht="18">
      <c r="A258" s="464">
        <f>+A257+1</f>
        <v>148</v>
      </c>
      <c r="B258" s="464"/>
      <c r="C258" s="249" t="s">
        <v>239</v>
      </c>
      <c r="D258" s="398"/>
      <c r="E258" s="551"/>
      <c r="F258" s="242" t="str">
        <f>"(Line "&amp;A256&amp;" - Line "&amp;A257&amp;")"</f>
        <v>(Line 146 - Line 147)</v>
      </c>
      <c r="G258" s="106"/>
      <c r="H258" s="659">
        <f>H256-H257</f>
        <v>5668115468.3657494</v>
      </c>
      <c r="I258"/>
      <c r="J258" s="659">
        <f>J256-J257</f>
        <v>5002834586.0199995</v>
      </c>
      <c r="K258" s="1634">
        <f>$H258-J258</f>
        <v>665280882.34574986</v>
      </c>
      <c r="L258" s="1626">
        <f>IF(J258=0,"n/m",K258/ABS(J258))</f>
        <v>0.13298078737298677</v>
      </c>
      <c r="M258" s="346"/>
      <c r="N258" s="659">
        <v>5147881485.8999996</v>
      </c>
      <c r="O258" s="1634">
        <f>$H258-N258</f>
        <v>520233982.46574974</v>
      </c>
      <c r="P258" s="1626">
        <f>IF(N258=0,"n/m",O258/ABS(N258))</f>
        <v>0.10105787864205225</v>
      </c>
    </row>
    <row r="259" spans="1:16" ht="18">
      <c r="A259" s="464">
        <f>+A258+1</f>
        <v>149</v>
      </c>
      <c r="B259" s="464"/>
      <c r="C259" s="249" t="s">
        <v>240</v>
      </c>
      <c r="D259" s="398"/>
      <c r="E259" s="549"/>
      <c r="F259" s="242" t="str">
        <f>"(Line "&amp;A258&amp;" / Line "&amp;A256&amp;")"</f>
        <v>(Line 148 / Line 146)</v>
      </c>
      <c r="G259" s="106"/>
      <c r="H259" s="552">
        <f>H258/H256</f>
        <v>0.95894925154032251</v>
      </c>
      <c r="I259"/>
      <c r="J259" s="552">
        <f>J258/J256</f>
        <v>0.95636263978799796</v>
      </c>
      <c r="K259" s="552"/>
      <c r="L259" s="552"/>
      <c r="M259" s="346"/>
      <c r="N259" s="552">
        <v>0.95545747174638718</v>
      </c>
      <c r="O259" s="1602"/>
      <c r="P259" s="1602"/>
    </row>
    <row r="260" spans="1:16" ht="18">
      <c r="A260" s="464">
        <f>+A259+1</f>
        <v>150</v>
      </c>
      <c r="B260" s="464"/>
      <c r="C260" s="510" t="s">
        <v>301</v>
      </c>
      <c r="D260" s="550"/>
      <c r="E260" s="553"/>
      <c r="F260" s="478" t="str">
        <f>"(Line "&amp;A253&amp;")"</f>
        <v>(Line 145)</v>
      </c>
      <c r="G260" s="218"/>
      <c r="H260" s="660">
        <f>H253</f>
        <v>578308658.8497411</v>
      </c>
      <c r="I260"/>
      <c r="J260" s="660">
        <f>J253</f>
        <v>527170176.48742151</v>
      </c>
      <c r="K260" s="1096">
        <f>$H260-J260</f>
        <v>51138482.362319589</v>
      </c>
      <c r="L260" s="1599">
        <f>IF(J260=0,"n/m",K260/ABS(J260))</f>
        <v>9.7005643799995531E-2</v>
      </c>
      <c r="M260" s="346"/>
      <c r="N260" s="660">
        <v>547313974.15009594</v>
      </c>
      <c r="O260" s="1096">
        <f>$H260-N260</f>
        <v>30994684.699645162</v>
      </c>
      <c r="P260" s="1599">
        <f>IF(N260=0,"n/m",O260/ABS(N260))</f>
        <v>5.6630537796473562E-2</v>
      </c>
    </row>
    <row r="261" spans="1:16" ht="18">
      <c r="A261" s="464">
        <f>+A260+1</f>
        <v>151</v>
      </c>
      <c r="B261" s="464"/>
      <c r="C261" s="17" t="s">
        <v>241</v>
      </c>
      <c r="D261" s="398"/>
      <c r="E261" s="549"/>
      <c r="F261" s="242" t="str">
        <f>"(Line "&amp;A259&amp;" * Line "&amp;A260&amp;")"</f>
        <v>(Line 149 * Line 150)</v>
      </c>
      <c r="G261" s="106"/>
      <c r="H261" s="661">
        <f>H259*H260</f>
        <v>554568655.56324697</v>
      </c>
      <c r="I261"/>
      <c r="J261" s="661">
        <f>J259*J260</f>
        <v>504165861.60301518</v>
      </c>
      <c r="K261" s="1634">
        <f>$H261-J261</f>
        <v>50402793.960231781</v>
      </c>
      <c r="L261" s="1626">
        <f>IF(J261=0,"n/m",K261/ABS(J261))</f>
        <v>9.9972643526426236E-2</v>
      </c>
      <c r="M261" s="346"/>
      <c r="N261" s="661">
        <v>522935225.99291819</v>
      </c>
      <c r="O261" s="1634">
        <f>$H261-N261</f>
        <v>31633429.570328772</v>
      </c>
      <c r="P261" s="1626">
        <f>IF(N261=0,"n/m",O261/ABS(N261))</f>
        <v>6.049206096274181E-2</v>
      </c>
    </row>
    <row r="262" spans="1:16" ht="15.75">
      <c r="A262" s="113"/>
      <c r="B262" s="8"/>
      <c r="C262" s="249"/>
      <c r="D262" s="37"/>
      <c r="E262" s="157"/>
      <c r="F262" s="22"/>
      <c r="G262" s="9"/>
      <c r="H262" s="643"/>
      <c r="I262"/>
      <c r="J262" s="643"/>
      <c r="K262" s="643"/>
      <c r="L262" s="643"/>
      <c r="M262" s="346"/>
      <c r="N262" s="643"/>
      <c r="O262" s="643"/>
      <c r="P262" s="643"/>
    </row>
    <row r="263" spans="1:16" ht="15.75">
      <c r="A263" s="113"/>
      <c r="B263" s="49" t="s">
        <v>214</v>
      </c>
      <c r="C263" s="249"/>
      <c r="D263" s="37"/>
      <c r="E263" s="157"/>
      <c r="F263" s="22"/>
      <c r="G263" s="9"/>
      <c r="H263" s="643"/>
      <c r="I263"/>
      <c r="J263" s="643"/>
      <c r="K263" s="643"/>
      <c r="L263" s="643"/>
      <c r="M263" s="346"/>
      <c r="N263" s="643"/>
      <c r="O263" s="643"/>
      <c r="P263" s="643"/>
    </row>
    <row r="264" spans="1:16" ht="15.75">
      <c r="A264" s="34">
        <f>+A261+1</f>
        <v>152</v>
      </c>
      <c r="B264" s="349"/>
      <c r="C264" s="49" t="s">
        <v>214</v>
      </c>
      <c r="D264" s="174"/>
      <c r="E264" s="327"/>
      <c r="F264" s="22" t="s">
        <v>178</v>
      </c>
      <c r="G264" s="9"/>
      <c r="H264" s="653">
        <f>'Att 3 - Revenue Credits'!E22</f>
        <v>152695083.38861677</v>
      </c>
      <c r="I264"/>
      <c r="J264" s="1280">
        <v>139428071.5543516</v>
      </c>
      <c r="K264" s="1096">
        <f>$H264-J264</f>
        <v>13267011.834265172</v>
      </c>
      <c r="L264" s="1599">
        <f>IF(J264=0,"n/m",K264/ABS(J264))</f>
        <v>9.5153089950709466E-2</v>
      </c>
      <c r="M264" s="346"/>
      <c r="N264" s="1280">
        <v>148180554.20885769</v>
      </c>
      <c r="O264" s="1096">
        <f>$H264-N264</f>
        <v>4514529.1797590852</v>
      </c>
      <c r="P264" s="1599">
        <f>IF(N264=0,"n/m",O264/ABS(N264))</f>
        <v>3.0466407713632532E-2</v>
      </c>
    </row>
    <row r="265" spans="1:16" ht="16.5" thickBot="1">
      <c r="A265" s="8"/>
      <c r="B265" s="8"/>
      <c r="C265" s="51"/>
      <c r="D265" s="51"/>
      <c r="F265" s="9"/>
      <c r="G265" s="9"/>
      <c r="H265" s="646"/>
      <c r="I265"/>
      <c r="J265" s="646"/>
      <c r="K265" s="646"/>
      <c r="L265" s="646"/>
      <c r="M265" s="346"/>
      <c r="N265" s="646"/>
      <c r="O265" s="646"/>
      <c r="P265" s="646"/>
    </row>
    <row r="266" spans="1:16" s="1" customFormat="1" ht="18.75" thickBot="1">
      <c r="A266" s="74">
        <f>A264+1</f>
        <v>153</v>
      </c>
      <c r="B266" s="79"/>
      <c r="C266" s="75" t="s">
        <v>308</v>
      </c>
      <c r="D266" s="76"/>
      <c r="E266" s="97"/>
      <c r="F266" s="973" t="str">
        <f>"(Line "&amp;A261&amp;" - Line "&amp;A264&amp;")"</f>
        <v>(Line 151 - Line 152)</v>
      </c>
      <c r="G266" s="77"/>
      <c r="H266" s="1077">
        <f>H261-H264</f>
        <v>401873572.17463017</v>
      </c>
      <c r="I266"/>
      <c r="J266" s="1281">
        <f>J261-J264</f>
        <v>364737790.04866362</v>
      </c>
      <c r="K266" s="1659">
        <f>$H266-J266</f>
        <v>37135782.125966549</v>
      </c>
      <c r="L266" s="1632">
        <f>IF(J266=0,"n/m",K266/ABS(J266))</f>
        <v>0.10181501105496051</v>
      </c>
      <c r="M266" s="346"/>
      <c r="N266" s="1281">
        <v>374754671.78406048</v>
      </c>
      <c r="O266" s="1659">
        <f>$H266-N266</f>
        <v>27118900.390569687</v>
      </c>
      <c r="P266" s="1632">
        <f>IF(N266=0,"n/m",O266/ABS(N266))</f>
        <v>7.236440912522106E-2</v>
      </c>
    </row>
    <row r="267" spans="1:16" ht="15.75">
      <c r="A267" s="113"/>
      <c r="B267" s="8"/>
      <c r="C267" s="51"/>
      <c r="D267" s="51"/>
      <c r="F267" s="9"/>
      <c r="G267" s="9"/>
      <c r="H267" s="646"/>
      <c r="I267"/>
      <c r="J267" s="646"/>
      <c r="K267" s="646"/>
      <c r="L267" s="646"/>
      <c r="M267" s="346"/>
      <c r="N267" s="646"/>
      <c r="O267" s="646"/>
      <c r="P267" s="646"/>
    </row>
    <row r="268" spans="1:16" ht="15.75">
      <c r="A268" s="34"/>
      <c r="B268" s="108" t="s">
        <v>48</v>
      </c>
      <c r="C268" s="23"/>
      <c r="D268" s="51"/>
      <c r="F268" s="22"/>
      <c r="G268" s="9"/>
      <c r="H268" s="646"/>
      <c r="I268"/>
      <c r="J268" s="646"/>
      <c r="K268" s="646"/>
      <c r="L268" s="646"/>
      <c r="M268" s="346"/>
      <c r="N268" s="646"/>
      <c r="O268" s="646"/>
      <c r="P268" s="646"/>
    </row>
    <row r="269" spans="1:16">
      <c r="A269" s="34">
        <f>+A266+1</f>
        <v>154</v>
      </c>
      <c r="B269" s="34"/>
      <c r="C269" s="51" t="str">
        <f>+C260</f>
        <v>Gross Revenue Requirement</v>
      </c>
      <c r="D269" s="51"/>
      <c r="F269" s="22" t="str">
        <f>"(Line "&amp;A260&amp;")"</f>
        <v>(Line 150)</v>
      </c>
      <c r="G269" s="9"/>
      <c r="H269" s="705">
        <f>H260</f>
        <v>578308658.8497411</v>
      </c>
      <c r="I269"/>
      <c r="J269" s="705">
        <f>J260</f>
        <v>527170176.48742151</v>
      </c>
      <c r="K269" s="1096">
        <f>$H269-J269</f>
        <v>51138482.362319589</v>
      </c>
      <c r="L269" s="1599">
        <f>IF(J269=0,"n/m",K269/ABS(J269))</f>
        <v>9.7005643799995531E-2</v>
      </c>
      <c r="M269" s="346"/>
      <c r="N269" s="705">
        <v>547313974.15009594</v>
      </c>
      <c r="O269" s="1096">
        <f>$H269-N269</f>
        <v>30994684.699645162</v>
      </c>
      <c r="P269" s="1599">
        <f>IF(N269=0,"n/m",O269/ABS(N269))</f>
        <v>5.6630537796473562E-2</v>
      </c>
    </row>
    <row r="270" spans="1:16">
      <c r="A270" s="34">
        <f>+A269+1</f>
        <v>155</v>
      </c>
      <c r="B270" s="34"/>
      <c r="C270" s="51" t="s">
        <v>260</v>
      </c>
      <c r="D270" s="51"/>
      <c r="F270" s="22" t="str">
        <f>"(Line "&amp;A40&amp;" - Line "&amp;A54&amp;" + Line "&amp;A72&amp;")"</f>
        <v>(Line 17 - Line 25 + Line 34)</v>
      </c>
      <c r="G270" s="22"/>
      <c r="H270" s="706">
        <f>(H40-H54)+H72</f>
        <v>4485390618.7532234</v>
      </c>
      <c r="I270"/>
      <c r="J270" s="706">
        <f>(J40-J54)+J72</f>
        <v>3938602197.8892241</v>
      </c>
      <c r="K270" s="1096">
        <f>$H270-J270</f>
        <v>546788420.86399937</v>
      </c>
      <c r="L270" s="1599">
        <f>IF(J270=0,"n/m",K270/ABS(J270))</f>
        <v>0.13882803933767016</v>
      </c>
      <c r="M270" s="346"/>
      <c r="N270" s="706">
        <v>4267491522.9283619</v>
      </c>
      <c r="O270" s="1096">
        <f>$H270-N270</f>
        <v>217899095.82486153</v>
      </c>
      <c r="P270" s="1599">
        <f>IF(N270=0,"n/m",O270/ABS(N270))</f>
        <v>5.1060229330072274E-2</v>
      </c>
    </row>
    <row r="271" spans="1:16">
      <c r="A271" s="34">
        <f>+A270+1</f>
        <v>156</v>
      </c>
      <c r="B271" s="34"/>
      <c r="C271" s="51" t="s">
        <v>53</v>
      </c>
      <c r="D271" s="51"/>
      <c r="F271" s="22" t="str">
        <f>"(Line "&amp;A269&amp;" / Line "&amp;A270&amp;")"</f>
        <v>(Line 154 / Line 155)</v>
      </c>
      <c r="G271" s="22"/>
      <c r="H271" s="511">
        <f>H269/H270</f>
        <v>0.12893161555023941</v>
      </c>
      <c r="I271"/>
      <c r="J271" s="511">
        <f>J269/J270</f>
        <v>0.1338470223700029</v>
      </c>
      <c r="K271" s="1683">
        <f>$H271-J271</f>
        <v>-4.9154068197634904E-3</v>
      </c>
      <c r="L271" s="511"/>
      <c r="M271" s="346"/>
      <c r="N271" s="511">
        <v>0.12825191830129937</v>
      </c>
      <c r="O271" s="1683">
        <f>$H271-N271</f>
        <v>6.7969724894004213E-4</v>
      </c>
      <c r="P271" s="1639"/>
    </row>
    <row r="272" spans="1:16">
      <c r="A272" s="34">
        <f>+A271+1</f>
        <v>157</v>
      </c>
      <c r="B272" s="34"/>
      <c r="C272" s="51" t="s">
        <v>54</v>
      </c>
      <c r="D272" s="51"/>
      <c r="F272" s="22" t="str">
        <f>"(Line "&amp;A269&amp;" - Line "&amp;A144&amp;") / Line "&amp;A270</f>
        <v>(Line 154 - Line 76) / Line 155</v>
      </c>
      <c r="G272" s="22"/>
      <c r="H272" s="511">
        <f>(H269-H144)/H270</f>
        <v>0.1068067483012004</v>
      </c>
      <c r="I272"/>
      <c r="J272" s="511">
        <f>(J269-J144)/J270</f>
        <v>0.10983733105091535</v>
      </c>
      <c r="K272" s="1683">
        <f>$H272-J272</f>
        <v>-3.0305827497149468E-3</v>
      </c>
      <c r="L272" s="511"/>
      <c r="M272" s="346"/>
      <c r="N272" s="511">
        <v>0.10667352160027661</v>
      </c>
      <c r="O272" s="1683">
        <f>$H272-N272</f>
        <v>1.3322670092379141E-4</v>
      </c>
      <c r="P272" s="1639"/>
    </row>
    <row r="273" spans="1:240">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2.4946327635462836E-2</v>
      </c>
      <c r="I273"/>
      <c r="J273" s="511">
        <f>(J269-J144-J221-J238)/J270</f>
        <v>2.6443437212297343E-2</v>
      </c>
      <c r="K273" s="1683">
        <f>$H273-J273</f>
        <v>-1.4971095768345072E-3</v>
      </c>
      <c r="L273" s="511"/>
      <c r="M273" s="346"/>
      <c r="N273" s="511">
        <v>2.3192171184805505E-2</v>
      </c>
      <c r="O273" s="1683">
        <f>$H273-N273</f>
        <v>1.7541564506573307E-3</v>
      </c>
      <c r="P273" s="1639"/>
    </row>
    <row r="274" spans="1:240" ht="15.75">
      <c r="A274" s="34"/>
      <c r="B274" s="34"/>
      <c r="C274" s="51"/>
      <c r="D274" s="51"/>
      <c r="F274" s="22"/>
      <c r="G274" s="22"/>
      <c r="H274" s="318"/>
      <c r="I274"/>
      <c r="J274" s="318"/>
      <c r="K274" s="318"/>
      <c r="L274" s="318"/>
      <c r="M274" s="346"/>
      <c r="N274" s="318"/>
      <c r="O274" s="1643"/>
      <c r="P274" s="1643"/>
    </row>
    <row r="275" spans="1:240" ht="15.75">
      <c r="A275" s="34"/>
      <c r="B275" s="108" t="s">
        <v>49</v>
      </c>
      <c r="C275" s="51"/>
      <c r="D275" s="51"/>
      <c r="F275" s="22"/>
      <c r="G275" s="22"/>
      <c r="H275" s="318"/>
      <c r="I275"/>
      <c r="J275" s="318"/>
      <c r="K275" s="318"/>
      <c r="L275" s="318"/>
      <c r="M275" s="346"/>
      <c r="N275" s="318"/>
      <c r="O275" s="1643"/>
      <c r="P275" s="1643"/>
    </row>
    <row r="276" spans="1:240">
      <c r="A276" s="34">
        <f>+A273+1</f>
        <v>159</v>
      </c>
      <c r="B276" s="34"/>
      <c r="C276" s="51" t="s">
        <v>261</v>
      </c>
      <c r="D276" s="51"/>
      <c r="F276" s="22" t="str">
        <f>"(Line "&amp;A260&amp;" - Line "&amp;A250&amp;" - Line "&amp;A251&amp;")"</f>
        <v>(Line 150 - Line 143 - Line 144)</v>
      </c>
      <c r="G276" s="22"/>
      <c r="H276" s="707">
        <f>H260-H250-H251</f>
        <v>211132695.94844925</v>
      </c>
      <c r="I276"/>
      <c r="J276" s="707">
        <f>J260-J250-J251</f>
        <v>198714802.92410001</v>
      </c>
      <c r="K276" s="1096">
        <f>$H276-J276</f>
        <v>12417893.024349242</v>
      </c>
      <c r="L276" s="1599">
        <f>IF(J276=0,"n/m",K276/ABS(J276))</f>
        <v>6.2491031577009949E-2</v>
      </c>
      <c r="M276" s="346"/>
      <c r="N276" s="707">
        <v>191058018.92946091</v>
      </c>
      <c r="O276" s="1096">
        <f>$H276-N276</f>
        <v>20074677.018988341</v>
      </c>
      <c r="P276" s="1599">
        <f>IF(N276=0,"n/m",O276/ABS(N276))</f>
        <v>0.10507110421991742</v>
      </c>
    </row>
    <row r="277" spans="1:240">
      <c r="A277" s="34">
        <f>+A276+1</f>
        <v>160</v>
      </c>
      <c r="B277" s="34"/>
      <c r="C277" s="51" t="s">
        <v>130</v>
      </c>
      <c r="D277" s="51"/>
      <c r="F277" s="22" t="s">
        <v>179</v>
      </c>
      <c r="G277" s="22"/>
      <c r="H277" s="707">
        <f>'Att 4 - 100 Basis Point ROE'!I8</f>
        <v>395822607.8505637</v>
      </c>
      <c r="I277"/>
      <c r="J277" s="1282">
        <v>353900144.22911179</v>
      </c>
      <c r="K277" s="1096">
        <f>$H277-J277</f>
        <v>41922463.621451914</v>
      </c>
      <c r="L277" s="1599">
        <f>IF(J277=0,"n/m",K277/ABS(J277))</f>
        <v>0.11845845305536719</v>
      </c>
      <c r="M277" s="346"/>
      <c r="N277" s="1282">
        <v>384158377.18577975</v>
      </c>
      <c r="O277" s="1096">
        <f>$H277-N277</f>
        <v>11664230.664783955</v>
      </c>
      <c r="P277" s="1599">
        <f>IF(N277=0,"n/m",O277/ABS(N277))</f>
        <v>3.0363077723912578E-2</v>
      </c>
    </row>
    <row r="278" spans="1:240">
      <c r="A278" s="34">
        <f>+A277+1</f>
        <v>161</v>
      </c>
      <c r="B278" s="34"/>
      <c r="C278" s="51" t="s">
        <v>50</v>
      </c>
      <c r="D278" s="51"/>
      <c r="F278" s="22" t="str">
        <f>"(Line "&amp;A276&amp;" + Line "&amp;A277&amp;")"</f>
        <v>(Line 159 + Line 160)</v>
      </c>
      <c r="G278" s="22"/>
      <c r="H278" s="707">
        <f>H276+H277</f>
        <v>606955303.7990129</v>
      </c>
      <c r="I278"/>
      <c r="J278" s="707">
        <f>J276+J277</f>
        <v>552614947.15321183</v>
      </c>
      <c r="K278" s="1096">
        <f>$H278-J278</f>
        <v>54340356.645801067</v>
      </c>
      <c r="L278" s="1599">
        <f>IF(J278=0,"n/m",K278/ABS(J278))</f>
        <v>9.8333128565802744E-2</v>
      </c>
      <c r="M278" s="346"/>
      <c r="N278" s="707">
        <v>575216396.11524069</v>
      </c>
      <c r="O278" s="1096">
        <f>$H278-N278</f>
        <v>31738907.683772206</v>
      </c>
      <c r="P278" s="1599">
        <f>IF(N278=0,"n/m",O278/ABS(N278))</f>
        <v>5.5177334822377931E-2</v>
      </c>
    </row>
    <row r="279" spans="1:240">
      <c r="A279" s="34">
        <f>+A278+1</f>
        <v>162</v>
      </c>
      <c r="B279" s="34"/>
      <c r="C279" s="51" t="str">
        <f>+C270</f>
        <v xml:space="preserve">Net Transmission Plant </v>
      </c>
      <c r="D279" s="51"/>
      <c r="F279" s="22" t="str">
        <f>"(Line "&amp;A40&amp;" - Line "&amp;A54&amp;" + Line "&amp;A72&amp;")"</f>
        <v>(Line 17 - Line 25 + Line 34)</v>
      </c>
      <c r="G279" s="22"/>
      <c r="H279" s="706">
        <f>(H40-H54)+H72</f>
        <v>4485390618.7532234</v>
      </c>
      <c r="I279"/>
      <c r="J279" s="706">
        <f>(J40-J54)+J72</f>
        <v>3938602197.8892241</v>
      </c>
      <c r="K279" s="1096">
        <f>$H279-J279</f>
        <v>546788420.86399937</v>
      </c>
      <c r="L279" s="1599">
        <f>IF(J279=0,"n/m",K279/ABS(J279))</f>
        <v>0.13882803933767016</v>
      </c>
      <c r="M279" s="346"/>
      <c r="N279" s="706">
        <v>4267491522.9283619</v>
      </c>
      <c r="O279" s="1096">
        <f>$H279-N279</f>
        <v>217899095.82486153</v>
      </c>
      <c r="P279" s="1599">
        <f>IF(N279=0,"n/m",O279/ABS(N279))</f>
        <v>5.1060229330072274E-2</v>
      </c>
    </row>
    <row r="280" spans="1:240">
      <c r="A280" s="34">
        <f>+A279+1</f>
        <v>163</v>
      </c>
      <c r="B280" s="34"/>
      <c r="C280" s="51" t="s">
        <v>51</v>
      </c>
      <c r="D280" s="51"/>
      <c r="F280" s="22" t="str">
        <f>"(Line "&amp;A278&amp;" / Line "&amp;A279&amp;")"</f>
        <v>(Line 161 / Line 162)</v>
      </c>
      <c r="G280" s="9"/>
      <c r="H280" s="708">
        <f>H278/H279</f>
        <v>0.13531827111363703</v>
      </c>
      <c r="I280"/>
      <c r="J280" s="708">
        <f>J278/J279</f>
        <v>0.14030737794473616</v>
      </c>
      <c r="K280" s="708"/>
      <c r="L280" s="708"/>
      <c r="M280" s="346"/>
      <c r="N280" s="708">
        <v>0.13479028441526369</v>
      </c>
      <c r="O280" s="708"/>
      <c r="P280" s="708"/>
    </row>
    <row r="281" spans="1:240">
      <c r="A281" s="34">
        <f>+A280+1</f>
        <v>164</v>
      </c>
      <c r="B281" s="34"/>
      <c r="C281" s="51" t="s">
        <v>52</v>
      </c>
      <c r="D281" s="51"/>
      <c r="F281" s="22" t="str">
        <f>"(Line "&amp;A278&amp;" - Line "&amp;A144&amp;") /  Line "&amp;A279</f>
        <v>(Line 161 - Line 76) /  Line 162</v>
      </c>
      <c r="G281" s="9"/>
      <c r="H281" s="708">
        <f>(H278-H144)/H279</f>
        <v>0.11319340386459803</v>
      </c>
      <c r="I281"/>
      <c r="J281" s="708">
        <f>(J278-J144)/J279</f>
        <v>0.11629768662564861</v>
      </c>
      <c r="K281" s="708"/>
      <c r="L281" s="708"/>
      <c r="M281" s="346"/>
      <c r="N281" s="708">
        <v>0.11321188771424093</v>
      </c>
      <c r="O281" s="708"/>
      <c r="P281" s="708"/>
      <c r="Q281" s="51"/>
    </row>
    <row r="282" spans="1:240" ht="15.75">
      <c r="A282" s="34"/>
      <c r="B282" s="34"/>
      <c r="C282" s="51"/>
      <c r="D282" s="51"/>
      <c r="F282" s="22"/>
      <c r="G282" s="9"/>
      <c r="H282" s="11"/>
      <c r="I282"/>
      <c r="J282" s="11"/>
      <c r="K282" s="11"/>
      <c r="L282" s="11"/>
      <c r="M282" s="346"/>
      <c r="N282" s="11"/>
      <c r="O282" s="1654"/>
      <c r="P282" s="1654"/>
      <c r="Q282" s="51"/>
    </row>
    <row r="283" spans="1:240" ht="15.75">
      <c r="A283" s="34">
        <f>+A281+1</f>
        <v>165</v>
      </c>
      <c r="B283" s="34"/>
      <c r="C283" s="108" t="s">
        <v>308</v>
      </c>
      <c r="D283" s="51"/>
      <c r="E283" s="45"/>
      <c r="F283" s="22" t="str">
        <f>"(Line "&amp;A266&amp;")"</f>
        <v>(Line 153)</v>
      </c>
      <c r="G283" s="9"/>
      <c r="H283" s="707">
        <f>H266</f>
        <v>401873572.17463017</v>
      </c>
      <c r="I283"/>
      <c r="J283" s="707">
        <f>J266</f>
        <v>364737790.04866362</v>
      </c>
      <c r="K283" s="1096">
        <f>$H283-J283</f>
        <v>37135782.125966549</v>
      </c>
      <c r="L283" s="1599">
        <f>IF(J283=0,"n/m",K283/ABS(J283))</f>
        <v>0.10181501105496051</v>
      </c>
      <c r="M283" s="346"/>
      <c r="N283" s="707">
        <v>374754671.78406048</v>
      </c>
      <c r="O283" s="1096">
        <f>$H283-N283</f>
        <v>27118900.390569687</v>
      </c>
      <c r="P283" s="1599">
        <f>IF(N283=0,"n/m",O283/ABS(N283))</f>
        <v>7.236440912522106E-2</v>
      </c>
      <c r="Q283" s="51"/>
    </row>
    <row r="284" spans="1:240">
      <c r="A284" s="34">
        <f>+A283+1</f>
        <v>166</v>
      </c>
      <c r="B284" s="34"/>
      <c r="C284" s="37" t="s">
        <v>361</v>
      </c>
      <c r="D284" s="170"/>
      <c r="E284" s="99"/>
      <c r="F284" s="37" t="s">
        <v>202</v>
      </c>
      <c r="G284" s="9"/>
      <c r="H284" s="707">
        <f>'Att 5 - Cost Support'!H260</f>
        <v>0</v>
      </c>
      <c r="I284"/>
      <c r="J284" s="1282">
        <v>0</v>
      </c>
      <c r="K284" s="1096">
        <f>$H284-J284</f>
        <v>0</v>
      </c>
      <c r="L284" s="1599" t="str">
        <f>IF(J284=0,"n/m",K284/ABS(J284))</f>
        <v>n/m</v>
      </c>
      <c r="M284" s="346"/>
      <c r="N284" s="1282">
        <v>0</v>
      </c>
      <c r="O284" s="1096">
        <f>$H284-N284</f>
        <v>0</v>
      </c>
      <c r="P284" s="1599" t="str">
        <f>IF(N284=0,"n/m",O284/ABS(N284))</f>
        <v>n/m</v>
      </c>
      <c r="Q284" s="51"/>
      <c r="IF284" s="18">
        <f>SUM(A284:IE284)</f>
        <v>166</v>
      </c>
    </row>
    <row r="285" spans="1:240">
      <c r="A285" s="34">
        <f>A284+1</f>
        <v>167</v>
      </c>
      <c r="B285" s="34"/>
      <c r="C285" s="37" t="s">
        <v>377</v>
      </c>
      <c r="D285" s="170"/>
      <c r="E285" s="99"/>
      <c r="F285" s="37" t="s">
        <v>378</v>
      </c>
      <c r="G285" s="9"/>
      <c r="H285" s="707">
        <f>INDEX('Att 7 - Trans Enhance Charge'!$D$30:$T$71,MATCH(IF(Toggle=Projection,data_year+1,data_year)&amp;'Att 7 - Trans Enhance Charge'!$C$31,'Att 7 - Trans Enhance Charge'!$B$30:$B$69,0),MATCH('Att 7 - Trans Enhance Charge'!$T$29,'Att 7 - Trans Enhance Charge'!$D$29:$T$29,0))</f>
        <v>4677132.4473536313</v>
      </c>
      <c r="I285"/>
      <c r="J285" s="1282">
        <v>3760370.6507848501</v>
      </c>
      <c r="K285" s="1096">
        <f>$H285-J285</f>
        <v>916761.79656878114</v>
      </c>
      <c r="L285" s="1599">
        <f>IF(J285=0,"n/m",K285/ABS(J285))</f>
        <v>0.24379559402673195</v>
      </c>
      <c r="M285" s="23"/>
      <c r="N285" s="1282">
        <v>4418737.5563373268</v>
      </c>
      <c r="O285" s="1096">
        <f>$H285-N285</f>
        <v>258394.89101630449</v>
      </c>
      <c r="P285" s="1599">
        <f>IF(N285=0,"n/m",O285/ABS(N285))</f>
        <v>5.8477084851014993E-2</v>
      </c>
      <c r="Q285" s="51"/>
    </row>
    <row r="286" spans="1:240">
      <c r="A286" s="34">
        <f>A285+1</f>
        <v>168</v>
      </c>
      <c r="B286" s="34"/>
      <c r="C286" s="37" t="s">
        <v>427</v>
      </c>
      <c r="D286" s="170"/>
      <c r="E286" s="99"/>
      <c r="F286" s="37" t="s">
        <v>202</v>
      </c>
      <c r="G286" s="9"/>
      <c r="H286" s="707">
        <f>'Att 5 - Cost Support'!H261</f>
        <v>1520802.88</v>
      </c>
      <c r="I286"/>
      <c r="J286" s="1282">
        <v>1765405.69</v>
      </c>
      <c r="K286" s="1096">
        <f>$H286-J286</f>
        <v>-244602.81000000006</v>
      </c>
      <c r="L286" s="1599">
        <f>IF(J286=0,"n/m",K286/ABS(J286))</f>
        <v>-0.13855331462084505</v>
      </c>
      <c r="M286" s="346"/>
      <c r="N286" s="1282">
        <v>1751603.6500000001</v>
      </c>
      <c r="O286" s="1096">
        <f>$H286-N286</f>
        <v>-230800.77000000025</v>
      </c>
      <c r="P286" s="1599">
        <f>IF(N286=0,"n/m",O286/ABS(N286))</f>
        <v>-0.13176540823033808</v>
      </c>
      <c r="Q286" s="51"/>
    </row>
    <row r="287" spans="1:240" ht="15.75">
      <c r="A287" s="34">
        <f>A286+1</f>
        <v>169</v>
      </c>
      <c r="B287" s="34"/>
      <c r="C287" s="108" t="s">
        <v>101</v>
      </c>
      <c r="D287" s="51"/>
      <c r="E287" s="45"/>
      <c r="F287" s="22" t="str">
        <f>"(Line "&amp;A283&amp;" + "&amp;A284&amp;" + "&amp;A285&amp;" + "&amp;A286&amp;")"</f>
        <v>(Line 165 + 166 + 167 + 168)</v>
      </c>
      <c r="G287" s="9"/>
      <c r="H287" s="707">
        <f>(H283+H284+H285+H286)</f>
        <v>408071507.50198376</v>
      </c>
      <c r="I287"/>
      <c r="J287" s="707">
        <f>(J283+J284+J285+J286)</f>
        <v>370263566.38944846</v>
      </c>
      <c r="K287" s="1096">
        <f>$H287-J287</f>
        <v>37807941.112535298</v>
      </c>
      <c r="L287" s="1599">
        <f>IF(J287=0,"n/m",K287/ABS(J287))</f>
        <v>0.10211088679669976</v>
      </c>
      <c r="M287" s="346"/>
      <c r="N287" s="707">
        <v>380925012.99039781</v>
      </c>
      <c r="O287" s="1096">
        <f>$H287-N287</f>
        <v>27146494.511585951</v>
      </c>
      <c r="P287" s="1599">
        <f>IF(N287=0,"n/m",O287/ABS(N287))</f>
        <v>7.1264667810801513E-2</v>
      </c>
      <c r="Q287" s="51"/>
    </row>
    <row r="288" spans="1:240" ht="15.75">
      <c r="A288" s="34"/>
      <c r="B288" s="8"/>
      <c r="C288" s="51"/>
      <c r="D288" s="51"/>
      <c r="F288" s="22"/>
      <c r="G288" s="9"/>
      <c r="H288" s="653"/>
      <c r="I288"/>
      <c r="J288" s="653"/>
      <c r="K288" s="653"/>
      <c r="L288" s="653"/>
      <c r="M288" s="346"/>
      <c r="N288" s="653"/>
      <c r="O288" s="653"/>
      <c r="P288" s="653"/>
      <c r="Q288" s="51"/>
    </row>
    <row r="289" spans="1:17" ht="15.75">
      <c r="A289" s="34"/>
      <c r="B289" s="182" t="s">
        <v>982</v>
      </c>
      <c r="C289" s="51"/>
      <c r="D289" s="51"/>
      <c r="E289" s="327"/>
      <c r="F289" s="22"/>
      <c r="G289" s="9"/>
      <c r="H289" s="653"/>
      <c r="I289"/>
      <c r="J289" s="653"/>
      <c r="K289" s="653"/>
      <c r="L289" s="653"/>
      <c r="M289" s="349"/>
      <c r="N289" s="653"/>
      <c r="O289" s="653"/>
      <c r="P289" s="653"/>
      <c r="Q289" s="51"/>
    </row>
    <row r="290" spans="1:17" ht="15.75">
      <c r="A290" s="34">
        <f>+A287+1</f>
        <v>170</v>
      </c>
      <c r="B290" s="8"/>
      <c r="C290" s="22" t="s">
        <v>642</v>
      </c>
      <c r="E290" s="99" t="str">
        <f>"(Note "&amp;B$313&amp;")"</f>
        <v>(Note I)</v>
      </c>
      <c r="F290" s="51" t="s">
        <v>1095</v>
      </c>
      <c r="G290" s="51"/>
      <c r="H290" s="653">
        <f>IF(Toggle=Projection,'Att 9a - 2016 Projection'!AF43,IF(Toggle=True_up,'Att 9b - 2015 True-up'!AF43,"Set Toggle!"))</f>
        <v>13738.341975833333</v>
      </c>
      <c r="I290"/>
      <c r="J290" s="1280">
        <v>13446.694625263117</v>
      </c>
      <c r="K290" s="1096">
        <f>$H290-J290</f>
        <v>291.64735057021608</v>
      </c>
      <c r="L290" s="1599">
        <f>IF(J290=0,"n/m",K290/ABS(J290))</f>
        <v>2.1689148054443105E-2</v>
      </c>
      <c r="M290" s="886"/>
      <c r="N290" s="1280">
        <v>13378.773209999999</v>
      </c>
      <c r="O290" s="1096">
        <f>$H290-N290</f>
        <v>359.5687658333336</v>
      </c>
      <c r="P290" s="1599">
        <f>IF(N290=0,"n/m",O290/ABS(N290))</f>
        <v>2.6876064059787857E-2</v>
      </c>
      <c r="Q290" s="51"/>
    </row>
    <row r="291" spans="1:17" ht="15.75">
      <c r="A291" s="34">
        <f>+A290+1</f>
        <v>171</v>
      </c>
      <c r="B291" s="8"/>
      <c r="C291" s="9" t="s">
        <v>482</v>
      </c>
      <c r="D291" s="554"/>
      <c r="E291" s="227"/>
      <c r="F291" s="242" t="str">
        <f>"(Line "&amp;A287&amp;" / "&amp;A290&amp;")"</f>
        <v>(Line 169 / 170)</v>
      </c>
      <c r="G291" s="226"/>
      <c r="H291" s="662">
        <f>H287/H290</f>
        <v>29703.111788875904</v>
      </c>
      <c r="I291"/>
      <c r="J291" s="662">
        <f>J287/J290</f>
        <v>27535.656658240157</v>
      </c>
      <c r="K291" s="1096">
        <f>$H291-J291</f>
        <v>2167.4551306357462</v>
      </c>
      <c r="L291" s="1599">
        <f>IF(J291=0,"n/m",K291/ABS(J291))</f>
        <v>7.8714488546149361E-2</v>
      </c>
      <c r="M291" s="346"/>
      <c r="N291" s="662">
        <v>28472.342494427994</v>
      </c>
      <c r="O291" s="1096">
        <f>$H291-N291</f>
        <v>1230.7692944479095</v>
      </c>
      <c r="P291" s="1599">
        <f>IF(N291=0,"n/m",O291/ABS(N291))</f>
        <v>4.3226836523505917E-2</v>
      </c>
      <c r="Q291" s="51"/>
    </row>
    <row r="292" spans="1:17" ht="16.5" thickBot="1">
      <c r="A292" s="8"/>
      <c r="B292" s="8"/>
      <c r="E292" s="225"/>
      <c r="F292" s="555"/>
      <c r="G292" s="226"/>
      <c r="H292" s="190"/>
      <c r="I292"/>
      <c r="J292" s="190"/>
      <c r="K292" s="190"/>
      <c r="L292" s="190"/>
      <c r="M292" s="51"/>
      <c r="N292" s="190"/>
      <c r="O292" s="190"/>
      <c r="P292" s="190"/>
      <c r="Q292" s="51"/>
    </row>
    <row r="293" spans="1:17" s="38" customFormat="1" ht="18.75" thickBot="1">
      <c r="A293" s="74">
        <f>+A291+1</f>
        <v>172</v>
      </c>
      <c r="B293" s="81"/>
      <c r="C293" s="699" t="s">
        <v>1024</v>
      </c>
      <c r="D293" s="700"/>
      <c r="E293" s="700"/>
      <c r="F293" s="974" t="str">
        <f>"(Line "&amp;A291&amp;")"</f>
        <v>(Line 171)</v>
      </c>
      <c r="G293" s="700"/>
      <c r="H293" s="1078">
        <f>H291</f>
        <v>29703.111788875904</v>
      </c>
      <c r="I293"/>
      <c r="J293" s="1281">
        <f>J291</f>
        <v>27535.656658240157</v>
      </c>
      <c r="K293" s="1659">
        <f>$H293-J293</f>
        <v>2167.4551306357462</v>
      </c>
      <c r="L293" s="1632">
        <f>IF(J293=0,"n/m",K293/ABS(J293))</f>
        <v>7.8714488546149361E-2</v>
      </c>
      <c r="M293" s="51"/>
      <c r="N293" s="1281">
        <v>28472.342494427994</v>
      </c>
      <c r="O293" s="1659">
        <f>$H293-N293</f>
        <v>1230.7692944479095</v>
      </c>
      <c r="P293" s="1632">
        <f>IF(N293=0,"n/m",O293/ABS(N293))</f>
        <v>4.3226836523505917E-2</v>
      </c>
      <c r="Q293" s="51"/>
    </row>
    <row r="294" spans="1:17" s="38" customFormat="1" ht="15.75">
      <c r="A294" s="113"/>
      <c r="B294" s="35"/>
      <c r="C294" s="28"/>
      <c r="D294" s="28"/>
      <c r="E294" s="225"/>
      <c r="F294" s="226"/>
      <c r="G294" s="226"/>
      <c r="H294" s="190"/>
      <c r="I294"/>
      <c r="J294" s="190"/>
      <c r="K294" s="190"/>
      <c r="L294" s="190"/>
      <c r="M294" s="51"/>
      <c r="N294" s="190"/>
      <c r="O294" s="190"/>
      <c r="P294" s="190"/>
      <c r="Q294" s="51"/>
    </row>
    <row r="295" spans="1:17" s="38" customFormat="1" ht="15.75">
      <c r="A295" s="625" t="s">
        <v>304</v>
      </c>
      <c r="B295" s="56"/>
      <c r="C295" s="56"/>
      <c r="D295" s="56"/>
      <c r="E295" s="509"/>
      <c r="F295" s="57"/>
      <c r="G295" s="57"/>
      <c r="H295" s="63"/>
      <c r="I295"/>
      <c r="J295" s="63"/>
      <c r="K295" s="63"/>
      <c r="L295" s="63"/>
      <c r="M295" s="51"/>
      <c r="N295" s="63"/>
      <c r="O295" s="63"/>
      <c r="P295" s="63"/>
      <c r="Q295" s="51"/>
    </row>
    <row r="296" spans="1:17" s="38" customFormat="1" ht="20.25">
      <c r="A296" s="204"/>
      <c r="B296" s="377"/>
      <c r="C296" s="356"/>
      <c r="D296" s="355"/>
      <c r="E296" s="214"/>
      <c r="F296" s="556"/>
      <c r="G296" s="427"/>
      <c r="H296" s="406"/>
      <c r="I296"/>
      <c r="J296" s="406"/>
      <c r="K296" s="406"/>
      <c r="L296" s="406"/>
      <c r="M296" s="51"/>
      <c r="N296" s="406"/>
      <c r="O296" s="1625"/>
      <c r="P296" s="1625"/>
      <c r="Q296" s="51"/>
    </row>
    <row r="297" spans="1:17"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51"/>
    </row>
    <row r="298" spans="1:17" s="38" customFormat="1" ht="20.25">
      <c r="A298" s="204"/>
      <c r="B298" s="426"/>
      <c r="C298" s="888" t="s">
        <v>667</v>
      </c>
      <c r="D298" s="355"/>
      <c r="E298" s="214"/>
      <c r="F298" s="427"/>
      <c r="G298" s="427"/>
      <c r="H298" s="213"/>
      <c r="I298"/>
      <c r="J298" s="213"/>
      <c r="K298" s="213"/>
      <c r="L298" s="213"/>
      <c r="M298" s="678"/>
      <c r="N298" s="213"/>
      <c r="O298" s="213"/>
      <c r="P298" s="213"/>
      <c r="Q298" s="51"/>
    </row>
    <row r="299" spans="1:17" s="38" customFormat="1" ht="20.25">
      <c r="A299" s="204"/>
      <c r="B299" s="426"/>
      <c r="C299" s="888" t="s">
        <v>690</v>
      </c>
      <c r="D299" s="355"/>
      <c r="E299" s="214"/>
      <c r="F299" s="427"/>
      <c r="G299" s="427"/>
      <c r="H299" s="213"/>
      <c r="I299"/>
      <c r="J299" s="213"/>
      <c r="K299" s="213"/>
      <c r="L299" s="213"/>
      <c r="M299" s="51"/>
      <c r="N299" s="213"/>
      <c r="O299" s="213"/>
      <c r="P299" s="213"/>
      <c r="Q299" s="51"/>
    </row>
    <row r="300" spans="1:17" s="38" customFormat="1" ht="20.25">
      <c r="A300" s="204"/>
      <c r="B300" s="377" t="s">
        <v>283</v>
      </c>
      <c r="C300" s="277" t="s">
        <v>110</v>
      </c>
      <c r="D300" s="355"/>
      <c r="E300" s="214"/>
      <c r="F300" s="427"/>
      <c r="G300" s="427"/>
      <c r="H300" s="213"/>
      <c r="I300"/>
      <c r="J300" s="213"/>
      <c r="K300" s="213"/>
      <c r="L300" s="213"/>
      <c r="M300" s="51"/>
      <c r="N300" s="213"/>
      <c r="O300" s="213"/>
      <c r="P300" s="213"/>
      <c r="Q300" s="51"/>
    </row>
    <row r="301" spans="1:17" s="38" customFormat="1" ht="20.25" customHeight="1">
      <c r="A301" s="204"/>
      <c r="B301" s="377" t="s">
        <v>215</v>
      </c>
      <c r="C301" s="1080"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9"/>
      <c r="E301" s="1079"/>
      <c r="F301" s="1079"/>
      <c r="G301" s="1079"/>
      <c r="H301" s="1079"/>
      <c r="I301"/>
      <c r="J301" s="213"/>
      <c r="K301" s="213"/>
      <c r="L301" s="213"/>
      <c r="M301" s="677"/>
      <c r="N301" s="1079"/>
      <c r="O301" s="1079"/>
      <c r="P301" s="1079"/>
      <c r="Q301" s="51"/>
    </row>
    <row r="302" spans="1:17" s="38" customFormat="1" ht="20.25" customHeight="1">
      <c r="A302" s="204"/>
      <c r="B302" s="377"/>
      <c r="C302" s="1080" t="str">
        <f>"Total A&amp;G.  Total A&amp;G does not include lobbying expenses."</f>
        <v>Total A&amp;G.  Total A&amp;G does not include lobbying expenses.</v>
      </c>
      <c r="D302" s="1079"/>
      <c r="E302" s="1079"/>
      <c r="F302" s="1079"/>
      <c r="G302" s="1079"/>
      <c r="H302" s="1079"/>
      <c r="I302" s="1079"/>
      <c r="J302" s="213"/>
      <c r="K302" s="213"/>
      <c r="L302" s="213"/>
      <c r="M302" s="677"/>
      <c r="N302" s="1079"/>
      <c r="O302" s="1079"/>
      <c r="P302" s="1079"/>
      <c r="Q302" s="51"/>
    </row>
    <row r="303" spans="1:17" s="38" customFormat="1" ht="20.25">
      <c r="A303" s="204"/>
      <c r="B303" s="377" t="s">
        <v>228</v>
      </c>
      <c r="C303" s="279" t="s">
        <v>657</v>
      </c>
      <c r="D303" s="355"/>
      <c r="E303" s="214"/>
      <c r="F303" s="427"/>
      <c r="G303" s="427"/>
      <c r="H303" s="213"/>
      <c r="I303" s="213"/>
      <c r="J303" s="213"/>
      <c r="K303" s="213"/>
      <c r="L303" s="213"/>
      <c r="M303" s="51"/>
      <c r="N303" s="213"/>
      <c r="O303" s="213"/>
      <c r="P303" s="213"/>
      <c r="Q303" s="51"/>
    </row>
    <row r="304" spans="1:17" s="38" customFormat="1" ht="20.25">
      <c r="A304" s="204"/>
      <c r="B304" s="377" t="s">
        <v>226</v>
      </c>
      <c r="C304" s="312" t="s">
        <v>556</v>
      </c>
      <c r="D304" s="355"/>
      <c r="E304" s="214"/>
      <c r="F304" s="427"/>
      <c r="G304" s="427"/>
      <c r="H304" s="213"/>
      <c r="I304" s="213"/>
      <c r="J304" s="213"/>
      <c r="K304" s="213"/>
      <c r="L304" s="213"/>
      <c r="M304" s="51"/>
      <c r="N304" s="213"/>
      <c r="O304" s="213"/>
      <c r="P304" s="213"/>
      <c r="Q304" s="51"/>
    </row>
    <row r="305" spans="1:17" s="38" customFormat="1" ht="20.25">
      <c r="A305" s="204"/>
      <c r="B305" s="377" t="s">
        <v>107</v>
      </c>
      <c r="C305" s="355" t="s">
        <v>2</v>
      </c>
      <c r="D305" s="355"/>
      <c r="E305" s="214"/>
      <c r="F305" s="427"/>
      <c r="G305" s="427"/>
      <c r="H305" s="213"/>
      <c r="I305" s="213"/>
      <c r="J305" s="213"/>
      <c r="K305" s="213"/>
      <c r="L305" s="213"/>
      <c r="M305" s="51"/>
      <c r="N305" s="213"/>
      <c r="O305" s="213"/>
      <c r="P305" s="213"/>
      <c r="Q305" s="51"/>
    </row>
    <row r="306" spans="1:17" s="38" customFormat="1" ht="20.25">
      <c r="A306" s="204"/>
      <c r="B306" s="377" t="s">
        <v>229</v>
      </c>
      <c r="C306" s="557" t="s">
        <v>300</v>
      </c>
      <c r="D306" s="355"/>
      <c r="E306" s="214"/>
      <c r="F306" s="427"/>
      <c r="G306" s="427"/>
      <c r="H306" s="213"/>
      <c r="I306" s="213"/>
      <c r="J306" s="213"/>
      <c r="K306" s="213"/>
      <c r="L306" s="213"/>
      <c r="M306" s="51"/>
      <c r="N306" s="213"/>
      <c r="O306" s="213"/>
      <c r="P306" s="213"/>
      <c r="Q306" s="51"/>
    </row>
    <row r="307" spans="1:17" s="38" customFormat="1" ht="20.25">
      <c r="A307" s="204"/>
      <c r="B307" s="377"/>
      <c r="C307" s="312" t="s">
        <v>653</v>
      </c>
      <c r="D307" s="355"/>
      <c r="E307" s="214"/>
      <c r="F307" s="427"/>
      <c r="G307" s="427"/>
      <c r="H307" s="213"/>
      <c r="I307" s="213"/>
      <c r="J307" s="213"/>
      <c r="K307" s="213"/>
      <c r="L307" s="213"/>
      <c r="M307" s="51"/>
      <c r="N307" s="213"/>
      <c r="O307" s="213"/>
      <c r="P307" s="213"/>
      <c r="Q307" s="51"/>
    </row>
    <row r="308" spans="1:17" s="38" customFormat="1" ht="20.25">
      <c r="A308" s="204"/>
      <c r="B308" s="426"/>
      <c r="C308" s="312" t="s">
        <v>662</v>
      </c>
      <c r="D308" s="355"/>
      <c r="E308" s="214"/>
      <c r="F308" s="427"/>
      <c r="G308" s="427"/>
      <c r="H308" s="213"/>
      <c r="I308" s="213"/>
      <c r="J308" s="213"/>
      <c r="K308" s="213"/>
      <c r="L308" s="213"/>
      <c r="M308" s="51"/>
      <c r="N308" s="213"/>
      <c r="O308" s="213"/>
      <c r="P308" s="213"/>
      <c r="Q308" s="51"/>
    </row>
    <row r="309" spans="1:17" s="38" customFormat="1" ht="20.25">
      <c r="A309" s="204"/>
      <c r="B309" s="426"/>
      <c r="C309" s="376" t="s">
        <v>102</v>
      </c>
      <c r="D309" s="355"/>
      <c r="E309" s="214"/>
      <c r="F309" s="427"/>
      <c r="G309" s="427"/>
      <c r="H309" s="213"/>
      <c r="I309" s="213"/>
      <c r="J309" s="213"/>
      <c r="K309" s="213"/>
      <c r="L309" s="213"/>
      <c r="M309" s="51"/>
      <c r="N309" s="213"/>
      <c r="O309" s="213"/>
      <c r="P309" s="213"/>
      <c r="Q309" s="51"/>
    </row>
    <row r="310" spans="1:17" s="38" customFormat="1" ht="20.25">
      <c r="A310" s="204"/>
      <c r="B310" s="377" t="s">
        <v>25</v>
      </c>
      <c r="C310" s="355" t="s">
        <v>555</v>
      </c>
      <c r="D310" s="355"/>
      <c r="E310" s="214"/>
      <c r="F310" s="427"/>
      <c r="G310" s="427"/>
      <c r="H310" s="213"/>
      <c r="I310" s="213"/>
      <c r="J310" s="213"/>
      <c r="K310" s="213"/>
      <c r="L310" s="213"/>
      <c r="M310" s="51"/>
      <c r="N310" s="213"/>
      <c r="O310" s="213"/>
      <c r="P310" s="213"/>
      <c r="Q310" s="51"/>
    </row>
    <row r="311" spans="1:17" s="38" customFormat="1" ht="37.5" customHeight="1">
      <c r="A311" s="204"/>
      <c r="B311" s="377"/>
      <c r="C311" s="2549" t="s">
        <v>2009</v>
      </c>
      <c r="D311" s="2549"/>
      <c r="E311" s="2549"/>
      <c r="F311" s="2549"/>
      <c r="G311" s="2549"/>
      <c r="H311" s="2549"/>
      <c r="I311" s="213"/>
      <c r="J311" s="213"/>
      <c r="K311" s="213"/>
      <c r="L311" s="213"/>
      <c r="M311" s="51"/>
      <c r="N311" s="213"/>
      <c r="O311" s="213"/>
      <c r="P311" s="213"/>
      <c r="Q311" s="51"/>
    </row>
    <row r="312" spans="1:17" s="38" customFormat="1" ht="20.25">
      <c r="A312" s="204"/>
      <c r="B312" s="377"/>
      <c r="C312" s="355" t="s">
        <v>1203</v>
      </c>
      <c r="D312" s="355"/>
      <c r="E312" s="214"/>
      <c r="F312" s="427"/>
      <c r="G312" s="427"/>
      <c r="H312" s="213"/>
      <c r="I312" s="213"/>
      <c r="J312" s="213"/>
      <c r="K312" s="213"/>
      <c r="L312" s="213"/>
      <c r="M312" s="51"/>
      <c r="N312" s="213"/>
      <c r="O312" s="213"/>
      <c r="P312" s="213"/>
      <c r="Q312" s="51"/>
    </row>
    <row r="313" spans="1:17" s="38" customFormat="1" ht="20.25">
      <c r="A313" s="204"/>
      <c r="B313" s="377" t="s">
        <v>27</v>
      </c>
      <c r="C313" s="355" t="s">
        <v>654</v>
      </c>
      <c r="D313" s="355"/>
      <c r="E313" s="214"/>
      <c r="F313" s="427"/>
      <c r="G313" s="427"/>
      <c r="H313" s="213"/>
      <c r="I313" s="213"/>
      <c r="J313" s="213"/>
      <c r="K313" s="213"/>
      <c r="L313" s="213"/>
      <c r="M313" s="51"/>
      <c r="N313" s="213"/>
      <c r="O313" s="213"/>
      <c r="P313" s="213"/>
      <c r="Q313" s="51"/>
    </row>
    <row r="314" spans="1:17" s="38" customFormat="1" ht="20.25">
      <c r="A314" s="204"/>
      <c r="B314" s="378"/>
      <c r="C314" s="279" t="s">
        <v>661</v>
      </c>
      <c r="D314" s="355"/>
      <c r="E314" s="214"/>
      <c r="F314" s="427"/>
      <c r="G314" s="427"/>
      <c r="H314" s="213"/>
      <c r="I314" s="213"/>
      <c r="J314" s="213"/>
      <c r="K314" s="213"/>
      <c r="L314" s="213"/>
      <c r="M314" s="51"/>
      <c r="N314" s="213"/>
      <c r="O314" s="213"/>
      <c r="P314" s="213"/>
      <c r="Q314" s="51"/>
    </row>
    <row r="315" spans="1:17" s="38" customFormat="1" ht="20.25">
      <c r="A315" s="204"/>
      <c r="B315" s="432" t="s">
        <v>219</v>
      </c>
      <c r="C315" s="278" t="s">
        <v>1206</v>
      </c>
      <c r="D315" s="355"/>
      <c r="E315" s="214"/>
      <c r="F315" s="427"/>
      <c r="G315" s="427"/>
      <c r="H315" s="213"/>
      <c r="I315" s="213"/>
      <c r="J315" s="213"/>
      <c r="K315" s="213"/>
      <c r="L315" s="213"/>
      <c r="M315" s="51"/>
      <c r="N315" s="213"/>
      <c r="O315" s="213"/>
      <c r="P315" s="213"/>
      <c r="Q315" s="51"/>
    </row>
    <row r="316" spans="1:17" s="38" customFormat="1" ht="20.25">
      <c r="A316" s="204"/>
      <c r="B316" s="432" t="s">
        <v>231</v>
      </c>
      <c r="C316" s="278" t="s">
        <v>658</v>
      </c>
      <c r="D316" s="355"/>
      <c r="E316" s="214"/>
      <c r="F316" s="427"/>
      <c r="G316" s="427"/>
      <c r="H316" s="213"/>
      <c r="I316" s="213"/>
      <c r="J316" s="213"/>
      <c r="K316" s="213"/>
      <c r="L316" s="213"/>
      <c r="M316" s="51"/>
      <c r="N316" s="213"/>
      <c r="O316" s="213"/>
      <c r="P316" s="213"/>
      <c r="Q316" s="51"/>
    </row>
    <row r="317" spans="1:17" s="38" customFormat="1" ht="20.25">
      <c r="A317" s="204"/>
      <c r="B317" s="432" t="s">
        <v>269</v>
      </c>
      <c r="C317" s="279" t="s">
        <v>655</v>
      </c>
      <c r="D317" s="355"/>
      <c r="E317" s="214"/>
      <c r="F317" s="427"/>
      <c r="G317" s="427"/>
      <c r="H317" s="213"/>
      <c r="I317" s="213"/>
      <c r="J317" s="213"/>
      <c r="K317" s="213"/>
      <c r="L317" s="213"/>
      <c r="M317" s="51"/>
      <c r="N317" s="213"/>
      <c r="O317" s="213"/>
      <c r="P317" s="213"/>
      <c r="Q317" s="51"/>
    </row>
    <row r="318" spans="1:17" s="38" customFormat="1" ht="20.25">
      <c r="A318" s="204"/>
      <c r="B318" s="377"/>
      <c r="C318" s="355" t="s">
        <v>656</v>
      </c>
      <c r="D318" s="355"/>
      <c r="E318" s="214"/>
      <c r="F318" s="427"/>
      <c r="G318" s="427"/>
      <c r="H318" s="213"/>
      <c r="I318" s="213"/>
      <c r="J318" s="213"/>
      <c r="K318" s="213"/>
      <c r="L318" s="213"/>
      <c r="M318" s="51"/>
      <c r="N318" s="213"/>
      <c r="O318" s="213"/>
      <c r="P318" s="213"/>
      <c r="Q318" s="51"/>
    </row>
    <row r="319" spans="1:17" s="38" customFormat="1" ht="20.25">
      <c r="A319" s="204"/>
      <c r="B319" s="377" t="s">
        <v>636</v>
      </c>
      <c r="C319" s="355" t="s">
        <v>660</v>
      </c>
      <c r="D319" s="355"/>
      <c r="E319" s="214"/>
      <c r="F319" s="427"/>
      <c r="G319" s="427"/>
      <c r="H319" s="213"/>
      <c r="I319" s="213"/>
      <c r="J319" s="213"/>
      <c r="K319" s="213"/>
      <c r="L319" s="213"/>
      <c r="M319" s="51"/>
      <c r="N319" s="213"/>
      <c r="O319" s="213"/>
      <c r="P319" s="213"/>
      <c r="Q319" s="51"/>
    </row>
    <row r="320" spans="1:17" s="38" customFormat="1" ht="20.25">
      <c r="A320" s="204"/>
      <c r="B320" s="377" t="s">
        <v>637</v>
      </c>
      <c r="C320" s="355" t="s">
        <v>1096</v>
      </c>
      <c r="D320" s="355"/>
      <c r="E320" s="214"/>
      <c r="F320" s="427"/>
      <c r="G320" s="427"/>
      <c r="H320" s="213"/>
      <c r="I320" s="213"/>
      <c r="J320" s="213"/>
      <c r="K320" s="213"/>
      <c r="L320" s="213"/>
      <c r="M320" s="51"/>
      <c r="N320" s="213"/>
      <c r="O320" s="213"/>
      <c r="P320" s="213"/>
      <c r="Q320" s="51"/>
    </row>
    <row r="321" spans="1:17" ht="20.25">
      <c r="A321" s="558"/>
      <c r="B321" s="377" t="s">
        <v>638</v>
      </c>
      <c r="C321" s="355" t="s">
        <v>659</v>
      </c>
      <c r="D321" s="279"/>
      <c r="E321" s="214"/>
      <c r="F321" s="427"/>
      <c r="G321" s="427"/>
      <c r="H321" s="213"/>
      <c r="I321" s="213"/>
      <c r="J321" s="213"/>
      <c r="K321" s="213"/>
      <c r="L321" s="213"/>
      <c r="M321" s="23"/>
      <c r="N321" s="213"/>
      <c r="O321" s="213"/>
      <c r="P321" s="213"/>
      <c r="Q321" s="23"/>
    </row>
    <row r="322" spans="1:17" ht="20.25" customHeight="1">
      <c r="A322" s="558"/>
      <c r="B322" s="432" t="s">
        <v>691</v>
      </c>
      <c r="C322" s="2540" t="s">
        <v>692</v>
      </c>
      <c r="D322" s="2540"/>
      <c r="E322" s="2540"/>
      <c r="F322" s="2540"/>
      <c r="G322" s="2540"/>
      <c r="H322" s="2540"/>
      <c r="I322" s="1260"/>
      <c r="J322" s="1260"/>
      <c r="K322" s="1260"/>
      <c r="L322" s="1260"/>
      <c r="M322" s="23"/>
      <c r="N322" s="1260"/>
      <c r="O322" s="1397"/>
      <c r="P322" s="1397"/>
      <c r="Q322" s="23"/>
    </row>
    <row r="323" spans="1:17" ht="18" customHeight="1">
      <c r="A323" s="558"/>
      <c r="B323" s="378"/>
      <c r="C323" s="2540"/>
      <c r="D323" s="2540"/>
      <c r="E323" s="2540"/>
      <c r="F323" s="2540"/>
      <c r="G323" s="2540"/>
      <c r="H323" s="2540"/>
      <c r="I323" s="1260"/>
      <c r="J323" s="1260"/>
      <c r="K323" s="1260"/>
      <c r="L323" s="1260"/>
      <c r="M323" s="23"/>
      <c r="N323" s="1260"/>
      <c r="O323" s="1397"/>
      <c r="P323" s="1397"/>
      <c r="Q323" s="23"/>
    </row>
    <row r="324" spans="1:17" ht="20.25">
      <c r="A324" s="559"/>
      <c r="B324" s="432" t="s">
        <v>705</v>
      </c>
      <c r="C324" s="2540" t="s">
        <v>1066</v>
      </c>
      <c r="D324" s="2540"/>
      <c r="E324" s="2540"/>
      <c r="F324" s="2540"/>
      <c r="G324" s="2540"/>
      <c r="H324" s="2540"/>
      <c r="I324" s="1260"/>
      <c r="J324" s="1260"/>
      <c r="K324" s="1260"/>
      <c r="L324" s="1260"/>
      <c r="M324" s="23"/>
      <c r="N324" s="1260"/>
      <c r="O324" s="1397"/>
      <c r="P324" s="1397"/>
      <c r="Q324" s="23"/>
    </row>
    <row r="325" spans="1:17" ht="20.25">
      <c r="A325" s="559"/>
      <c r="B325" s="432" t="s">
        <v>706</v>
      </c>
      <c r="C325" s="2540" t="s">
        <v>1124</v>
      </c>
      <c r="D325" s="2540"/>
      <c r="E325" s="2540"/>
      <c r="F325" s="2540"/>
      <c r="G325" s="2540"/>
      <c r="H325" s="2540"/>
      <c r="I325" s="1260"/>
      <c r="J325" s="1260"/>
      <c r="K325" s="1260"/>
      <c r="L325" s="1260"/>
      <c r="M325" s="462"/>
      <c r="N325" s="1260"/>
      <c r="O325" s="1397"/>
      <c r="P325" s="1397"/>
    </row>
    <row r="326" spans="1:17" ht="20.25">
      <c r="A326" s="559"/>
      <c r="B326" s="432"/>
      <c r="C326" s="2540"/>
      <c r="D326" s="2540"/>
      <c r="E326" s="2540"/>
      <c r="F326" s="2540"/>
      <c r="G326" s="2540"/>
      <c r="H326" s="2540"/>
      <c r="I326" s="1260"/>
      <c r="J326" s="1260"/>
      <c r="K326" s="1260"/>
      <c r="L326" s="1260"/>
      <c r="M326" s="462"/>
      <c r="N326" s="1260"/>
      <c r="O326" s="1397"/>
      <c r="P326" s="1397"/>
    </row>
    <row r="327" spans="1:17" ht="20.25" customHeight="1">
      <c r="A327" s="559"/>
      <c r="B327" s="432" t="s">
        <v>707</v>
      </c>
      <c r="C327" s="2550" t="s">
        <v>1131</v>
      </c>
      <c r="D327" s="2550"/>
      <c r="E327" s="2550"/>
      <c r="F327" s="2550"/>
      <c r="G327" s="2550"/>
      <c r="H327" s="2550"/>
      <c r="I327" s="1261"/>
      <c r="J327" s="1261"/>
      <c r="K327" s="1261"/>
      <c r="L327" s="1261"/>
      <c r="N327" s="1261"/>
      <c r="O327" s="1395"/>
      <c r="P327" s="1395"/>
    </row>
    <row r="328" spans="1:17" ht="57" customHeight="1">
      <c r="A328" s="559"/>
      <c r="B328" s="432"/>
      <c r="C328" s="2551" t="s">
        <v>1132</v>
      </c>
      <c r="D328" s="2551"/>
      <c r="E328" s="2551"/>
      <c r="F328" s="2551"/>
      <c r="G328" s="2551"/>
      <c r="H328" s="2551"/>
      <c r="I328" s="1262"/>
      <c r="J328" s="1262"/>
      <c r="K328" s="1262"/>
      <c r="L328" s="1262"/>
      <c r="N328" s="1262"/>
      <c r="O328" s="1396"/>
      <c r="P328" s="1396"/>
    </row>
    <row r="329" spans="1:17" ht="21" customHeight="1">
      <c r="A329" s="559"/>
      <c r="B329" s="432"/>
      <c r="C329" s="2551" t="s">
        <v>1130</v>
      </c>
      <c r="D329" s="2551"/>
      <c r="E329" s="2551"/>
      <c r="F329" s="2551"/>
      <c r="G329" s="2551"/>
      <c r="H329" s="2551"/>
      <c r="I329" s="1262"/>
      <c r="J329" s="1262"/>
      <c r="K329" s="1262"/>
      <c r="L329" s="1262"/>
      <c r="N329" s="1262"/>
      <c r="O329" s="1396"/>
      <c r="P329" s="1396"/>
    </row>
    <row r="330" spans="1:17" s="349" customFormat="1" ht="39.75" customHeight="1">
      <c r="A330" s="559"/>
      <c r="B330" s="432"/>
      <c r="C330" s="2551" t="s">
        <v>1204</v>
      </c>
      <c r="D330" s="2551"/>
      <c r="E330" s="2551"/>
      <c r="F330" s="2551"/>
      <c r="G330" s="2551"/>
      <c r="H330" s="2551"/>
      <c r="I330" s="1262"/>
      <c r="J330" s="1262"/>
      <c r="K330" s="1262"/>
      <c r="L330" s="1262"/>
      <c r="N330" s="1262"/>
      <c r="O330" s="1396"/>
      <c r="P330" s="1396"/>
    </row>
    <row r="331" spans="1:17" ht="20.25">
      <c r="A331" s="559"/>
      <c r="B331" s="432" t="s">
        <v>307</v>
      </c>
      <c r="C331" s="278" t="s">
        <v>883</v>
      </c>
      <c r="D331" s="279"/>
      <c r="E331" s="432"/>
      <c r="F331" s="278"/>
      <c r="G331" s="278"/>
      <c r="H331" s="278"/>
      <c r="I331" s="278"/>
      <c r="J331" s="278"/>
      <c r="K331" s="278"/>
      <c r="L331" s="278"/>
      <c r="N331" s="278"/>
      <c r="O331" s="278"/>
      <c r="P331" s="278"/>
    </row>
    <row r="332" spans="1:17" ht="21" thickBot="1">
      <c r="A332" s="562"/>
      <c r="B332" s="563"/>
      <c r="C332" s="564"/>
      <c r="D332" s="563"/>
      <c r="E332" s="565"/>
      <c r="F332" s="566"/>
      <c r="G332" s="564"/>
      <c r="H332" s="564"/>
      <c r="I332" s="1266"/>
      <c r="J332" s="1266"/>
      <c r="K332" s="1266"/>
      <c r="L332" s="1266"/>
      <c r="N332" s="1266"/>
      <c r="O332" s="1266"/>
      <c r="P332" s="1266"/>
    </row>
    <row r="333" spans="1:17" ht="20.25">
      <c r="A333" s="559"/>
      <c r="B333" s="279"/>
      <c r="C333" s="431"/>
      <c r="D333" s="279"/>
      <c r="E333" s="432"/>
      <c r="F333" s="278"/>
      <c r="G333" s="431"/>
      <c r="H333" s="431"/>
      <c r="I333" s="431"/>
      <c r="J333" s="431"/>
      <c r="K333" s="431"/>
      <c r="L333" s="431"/>
      <c r="N333" s="431"/>
      <c r="O333" s="431"/>
      <c r="P333" s="431"/>
    </row>
    <row r="334" spans="1:17" ht="20.25">
      <c r="A334" s="559"/>
      <c r="B334" s="279"/>
      <c r="C334" s="431"/>
      <c r="D334" s="279"/>
      <c r="E334" s="432"/>
      <c r="F334" s="278"/>
      <c r="G334" s="431"/>
      <c r="H334" s="431"/>
      <c r="I334" s="431"/>
      <c r="J334" s="431"/>
      <c r="K334" s="431"/>
      <c r="L334" s="431"/>
      <c r="N334" s="431"/>
      <c r="O334" s="431"/>
      <c r="P334" s="431"/>
    </row>
    <row r="335" spans="1:17" ht="20.25">
      <c r="A335" s="559"/>
      <c r="B335" s="279"/>
      <c r="C335" s="279"/>
      <c r="D335" s="279"/>
      <c r="E335" s="432"/>
      <c r="F335" s="278"/>
      <c r="G335" s="431"/>
      <c r="H335" s="431"/>
      <c r="I335" s="431"/>
      <c r="J335" s="431"/>
      <c r="K335" s="431"/>
      <c r="L335" s="431"/>
      <c r="N335" s="431"/>
      <c r="O335" s="431"/>
      <c r="P335" s="431"/>
    </row>
    <row r="336" spans="1:17" ht="20.25">
      <c r="A336" s="559"/>
      <c r="B336" s="279"/>
      <c r="C336" s="279"/>
      <c r="D336" s="279"/>
      <c r="E336" s="432"/>
      <c r="F336" s="278"/>
      <c r="G336" s="431"/>
      <c r="H336" s="431"/>
      <c r="I336" s="431"/>
      <c r="J336" s="431"/>
      <c r="K336" s="431"/>
      <c r="L336" s="431"/>
      <c r="N336" s="431"/>
      <c r="O336" s="431"/>
      <c r="P336" s="431"/>
    </row>
    <row r="337" spans="1:16" ht="20.25">
      <c r="A337" s="559"/>
      <c r="B337" s="279"/>
      <c r="C337" s="279"/>
      <c r="D337" s="279"/>
      <c r="E337" s="432"/>
      <c r="F337" s="278"/>
      <c r="G337" s="431"/>
      <c r="H337" s="431"/>
      <c r="I337" s="431"/>
      <c r="J337" s="431"/>
      <c r="K337" s="431"/>
      <c r="L337" s="431"/>
      <c r="N337" s="431"/>
      <c r="O337" s="431"/>
      <c r="P337" s="431"/>
    </row>
    <row r="338" spans="1:16" ht="20.25">
      <c r="A338" s="559"/>
      <c r="B338" s="279"/>
      <c r="C338" s="279"/>
      <c r="D338" s="279"/>
      <c r="E338" s="432"/>
      <c r="F338" s="278"/>
      <c r="G338" s="431"/>
      <c r="H338" s="431"/>
      <c r="I338" s="431"/>
      <c r="J338" s="431"/>
      <c r="K338" s="431"/>
      <c r="L338" s="431"/>
      <c r="N338" s="431"/>
      <c r="O338" s="431"/>
      <c r="P338" s="431"/>
    </row>
    <row r="339" spans="1:16" ht="20.25">
      <c r="A339" s="559"/>
      <c r="B339" s="279"/>
      <c r="C339" s="279"/>
      <c r="D339" s="279"/>
      <c r="E339" s="432"/>
      <c r="F339" s="278"/>
      <c r="G339" s="431"/>
      <c r="H339" s="431"/>
      <c r="I339" s="431"/>
      <c r="J339" s="431"/>
      <c r="K339" s="431"/>
      <c r="L339" s="431"/>
      <c r="N339" s="431"/>
      <c r="O339" s="431"/>
      <c r="P339" s="431"/>
    </row>
    <row r="340" spans="1:16" ht="20.25">
      <c r="A340" s="559"/>
      <c r="B340" s="279"/>
      <c r="C340" s="279"/>
      <c r="D340" s="279"/>
      <c r="E340" s="432"/>
      <c r="F340" s="278"/>
      <c r="G340" s="431"/>
      <c r="H340" s="431"/>
      <c r="I340" s="431"/>
      <c r="J340" s="431"/>
      <c r="K340" s="431"/>
      <c r="L340" s="431"/>
      <c r="N340" s="431"/>
      <c r="O340" s="431"/>
      <c r="P340" s="431"/>
    </row>
    <row r="341" spans="1:16" ht="20.25">
      <c r="A341" s="559"/>
      <c r="B341" s="279"/>
      <c r="C341" s="279"/>
      <c r="D341" s="279"/>
      <c r="E341" s="432"/>
      <c r="F341" s="278"/>
      <c r="G341" s="431"/>
      <c r="H341" s="431"/>
      <c r="I341" s="431"/>
      <c r="J341" s="431"/>
      <c r="K341" s="431"/>
      <c r="L341" s="431"/>
      <c r="N341" s="431"/>
      <c r="O341" s="431"/>
      <c r="P341" s="431"/>
    </row>
    <row r="342" spans="1:16" ht="20.25">
      <c r="A342" s="559"/>
      <c r="B342" s="279"/>
      <c r="C342" s="279"/>
      <c r="D342" s="279"/>
      <c r="E342" s="432"/>
      <c r="F342" s="278"/>
      <c r="G342" s="431"/>
      <c r="H342" s="431"/>
      <c r="I342" s="431"/>
      <c r="J342" s="431"/>
      <c r="K342" s="431"/>
      <c r="L342" s="431"/>
      <c r="N342" s="431"/>
      <c r="O342" s="431"/>
      <c r="P342" s="431"/>
    </row>
    <row r="343" spans="1:16" ht="20.25">
      <c r="A343" s="559"/>
      <c r="B343" s="279"/>
      <c r="C343" s="279"/>
      <c r="D343" s="279"/>
      <c r="E343" s="432"/>
      <c r="F343" s="278"/>
      <c r="G343" s="431"/>
      <c r="H343" s="431"/>
      <c r="I343" s="431"/>
      <c r="J343" s="431"/>
      <c r="K343" s="431"/>
      <c r="L343" s="431"/>
      <c r="N343" s="431"/>
      <c r="O343" s="431"/>
      <c r="P343" s="431"/>
    </row>
    <row r="344" spans="1:16" ht="20.25">
      <c r="A344" s="559"/>
      <c r="B344" s="279"/>
      <c r="C344" s="279"/>
      <c r="D344" s="279"/>
      <c r="E344" s="432"/>
      <c r="F344" s="278"/>
      <c r="G344" s="431"/>
      <c r="H344" s="431"/>
      <c r="I344" s="431"/>
      <c r="J344" s="431"/>
      <c r="K344" s="431"/>
      <c r="L344" s="431"/>
      <c r="N344" s="431"/>
      <c r="O344" s="431"/>
      <c r="P344" s="431"/>
    </row>
    <row r="345" spans="1:16" ht="20.25">
      <c r="A345" s="559"/>
      <c r="B345" s="279"/>
      <c r="C345" s="279"/>
      <c r="D345" s="279"/>
      <c r="E345" s="432"/>
      <c r="F345" s="278"/>
      <c r="G345" s="431"/>
      <c r="H345" s="431"/>
      <c r="I345" s="431"/>
      <c r="J345" s="431"/>
      <c r="K345" s="431"/>
      <c r="L345" s="431"/>
      <c r="N345" s="431"/>
      <c r="O345" s="431"/>
      <c r="P345" s="431"/>
    </row>
    <row r="346" spans="1:16" ht="20.25">
      <c r="A346" s="207"/>
      <c r="B346" s="205"/>
      <c r="C346" s="205"/>
      <c r="D346" s="205"/>
      <c r="E346" s="208"/>
      <c r="F346" s="206"/>
    </row>
    <row r="347" spans="1:16" ht="20.25">
      <c r="A347" s="207"/>
      <c r="B347" s="205"/>
      <c r="C347" s="205"/>
      <c r="D347" s="205"/>
      <c r="E347" s="208"/>
      <c r="F347" s="206"/>
    </row>
    <row r="348" spans="1:16" ht="20.25">
      <c r="A348" s="207"/>
      <c r="B348" s="205"/>
      <c r="C348" s="205"/>
      <c r="D348" s="205"/>
      <c r="E348" s="208"/>
      <c r="F348" s="206"/>
    </row>
    <row r="349" spans="1:16" ht="20.25">
      <c r="A349" s="207"/>
      <c r="B349" s="205"/>
      <c r="C349" s="205"/>
      <c r="D349" s="205"/>
      <c r="E349" s="208"/>
      <c r="F349" s="206"/>
    </row>
    <row r="350" spans="1:16" ht="20.25">
      <c r="A350" s="207"/>
      <c r="B350" s="205"/>
      <c r="C350" s="205"/>
      <c r="D350" s="205"/>
      <c r="E350" s="208"/>
      <c r="F350" s="206"/>
    </row>
    <row r="351" spans="1:16" ht="20.25">
      <c r="A351" s="207"/>
      <c r="B351" s="205"/>
      <c r="C351" s="205"/>
      <c r="D351" s="205"/>
      <c r="E351" s="208"/>
      <c r="F351" s="206"/>
    </row>
    <row r="352" spans="1:16" ht="20.25">
      <c r="A352" s="207"/>
      <c r="B352" s="205"/>
      <c r="C352" s="205"/>
      <c r="D352" s="205"/>
      <c r="E352" s="208"/>
      <c r="F352" s="206"/>
    </row>
    <row r="353" spans="1:6" ht="20.25">
      <c r="A353" s="207"/>
      <c r="B353" s="205"/>
      <c r="C353" s="205"/>
      <c r="D353" s="205"/>
      <c r="E353" s="208"/>
      <c r="F353" s="206"/>
    </row>
    <row r="354" spans="1:6" ht="20.25">
      <c r="A354" s="207"/>
      <c r="B354" s="205"/>
      <c r="C354" s="205"/>
      <c r="D354" s="205"/>
      <c r="E354" s="208"/>
      <c r="F354" s="206"/>
    </row>
    <row r="355" spans="1:6" ht="20.25">
      <c r="A355" s="207"/>
      <c r="B355" s="205"/>
      <c r="C355" s="205"/>
      <c r="D355" s="205"/>
      <c r="E355" s="208"/>
      <c r="F355" s="206"/>
    </row>
    <row r="356" spans="1:6" ht="20.25">
      <c r="A356" s="207"/>
      <c r="B356" s="205"/>
      <c r="C356" s="205"/>
      <c r="D356" s="205"/>
      <c r="E356" s="208"/>
      <c r="F356" s="206"/>
    </row>
    <row r="357" spans="1:6" ht="20.25">
      <c r="A357" s="207"/>
      <c r="B357" s="205"/>
      <c r="C357" s="205"/>
      <c r="D357" s="205"/>
      <c r="E357" s="208"/>
      <c r="F357" s="206"/>
    </row>
    <row r="358" spans="1:6" ht="20.25">
      <c r="A358" s="207"/>
      <c r="B358" s="205"/>
      <c r="C358" s="205"/>
      <c r="D358" s="205"/>
      <c r="E358" s="208"/>
      <c r="F358" s="206"/>
    </row>
    <row r="359" spans="1:6" ht="20.25">
      <c r="A359" s="207"/>
      <c r="B359" s="205"/>
      <c r="C359" s="205"/>
      <c r="D359" s="205"/>
      <c r="E359" s="208"/>
      <c r="F359" s="206"/>
    </row>
    <row r="360" spans="1:6" ht="20.25">
      <c r="A360" s="207"/>
      <c r="B360" s="205"/>
      <c r="C360" s="205"/>
      <c r="D360" s="205"/>
      <c r="E360" s="208"/>
      <c r="F360" s="206"/>
    </row>
    <row r="361" spans="1:6" ht="20.25">
      <c r="A361" s="207"/>
      <c r="B361" s="205"/>
      <c r="C361" s="205"/>
      <c r="D361" s="205"/>
      <c r="E361" s="208"/>
      <c r="F361" s="206"/>
    </row>
    <row r="362" spans="1:6" ht="20.25">
      <c r="A362" s="207"/>
      <c r="B362" s="205"/>
      <c r="C362" s="205"/>
      <c r="D362" s="205"/>
      <c r="E362" s="208"/>
      <c r="F362" s="206"/>
    </row>
    <row r="363" spans="1:6" ht="20.25">
      <c r="A363" s="207"/>
      <c r="B363" s="205"/>
      <c r="C363" s="205"/>
      <c r="D363" s="205"/>
      <c r="E363" s="208"/>
      <c r="F363" s="206"/>
    </row>
    <row r="364" spans="1:6" ht="20.25">
      <c r="A364" s="207"/>
      <c r="B364" s="205"/>
      <c r="C364" s="205"/>
      <c r="D364" s="205"/>
      <c r="E364" s="208"/>
      <c r="F364" s="206"/>
    </row>
    <row r="365" spans="1:6" ht="20.25">
      <c r="A365" s="207"/>
      <c r="B365" s="205"/>
      <c r="C365" s="205"/>
      <c r="D365" s="205"/>
      <c r="E365" s="208"/>
      <c r="F365" s="206"/>
    </row>
    <row r="366" spans="1:6" ht="20.25">
      <c r="A366" s="207"/>
      <c r="B366" s="205"/>
      <c r="C366" s="205"/>
      <c r="D366" s="205"/>
      <c r="E366" s="208"/>
      <c r="F366" s="206"/>
    </row>
    <row r="367" spans="1:6" ht="20.25">
      <c r="A367" s="207"/>
      <c r="B367" s="205"/>
      <c r="C367" s="205"/>
      <c r="D367" s="205"/>
      <c r="E367" s="208"/>
      <c r="F367" s="206"/>
    </row>
    <row r="368" spans="1:6"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1">
    <mergeCell ref="C327:H327"/>
    <mergeCell ref="C328:H328"/>
    <mergeCell ref="C329:H329"/>
    <mergeCell ref="C330:H330"/>
    <mergeCell ref="C325:H326"/>
    <mergeCell ref="C322:H323"/>
    <mergeCell ref="C324:H324"/>
    <mergeCell ref="E6:E7"/>
    <mergeCell ref="A6:D7"/>
    <mergeCell ref="F6:G7"/>
    <mergeCell ref="C311:H311"/>
  </mergeCells>
  <phoneticPr fontId="0" type="noConversion"/>
  <dataValidations disablePrompts="1" count="2">
    <dataValidation type="list" allowBlank="1" showInputMessage="1" showErrorMessage="1" sqref="N8:P8 H8:L8">
      <formula1>Toggle.list</formula1>
    </dataValidation>
    <dataValidation type="list" allowBlank="1" showDropDown="1" showInputMessage="1" showErrorMessage="1" sqref="H7">
      <formula1>Toggle.list</formula1>
    </dataValidation>
  </dataValidations>
  <pageMargins left="0.5" right="0.5" top="0.5" bottom="0.5" header="0.18" footer="0.5"/>
  <pageSetup paperSize="17" scale="64" fitToHeight="0" orientation="landscape" r:id="rId9"/>
  <headerFooter alignWithMargins="0"/>
  <rowBreaks count="6" manualBreakCount="6">
    <brk id="50" max="15" man="1"/>
    <brk id="106" max="15" man="1"/>
    <brk id="160" max="15" man="1"/>
    <brk id="204" max="15" man="1"/>
    <brk id="239" max="15" man="1"/>
    <brk id="293" max="15"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zoomScale="70" zoomScaleNormal="70" workbookViewId="0">
      <selection activeCell="O10" sqref="O10"/>
    </sheetView>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954"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365"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5" t="s">
        <v>1014</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3" t="s">
        <v>139</v>
      </c>
      <c r="B7" s="743" t="s">
        <v>140</v>
      </c>
      <c r="C7" s="743" t="s">
        <v>141</v>
      </c>
      <c r="D7" s="744"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517</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518</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519</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520</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1063</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521</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5" t="s">
        <v>1015</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3" t="s">
        <v>139</v>
      </c>
      <c r="B21" s="743" t="s">
        <v>140</v>
      </c>
      <c r="C21" s="743" t="s">
        <v>141</v>
      </c>
      <c r="D21" s="744"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9" t="s">
        <v>1205</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693</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533</v>
      </c>
      <c r="F27" s="416" t="s">
        <v>114</v>
      </c>
      <c r="G27" s="416" t="s">
        <v>115</v>
      </c>
      <c r="H27" s="416" t="s">
        <v>116</v>
      </c>
      <c r="I27" s="416" t="s">
        <v>117</v>
      </c>
      <c r="J27" s="416" t="s">
        <v>118</v>
      </c>
      <c r="K27" s="416" t="s">
        <v>119</v>
      </c>
      <c r="L27" s="1644" t="s">
        <v>120</v>
      </c>
      <c r="N27" s="413" t="s">
        <v>121</v>
      </c>
      <c r="O27" s="283" t="s">
        <v>122</v>
      </c>
      <c r="P27" s="419" t="s">
        <v>123</v>
      </c>
      <c r="Q27" s="420" t="s">
        <v>126</v>
      </c>
      <c r="R27" s="1173" t="s">
        <v>66</v>
      </c>
      <c r="S27" s="1174"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8" t="str">
        <f>+C29</f>
        <v>Other Transmission PIS</v>
      </c>
      <c r="Q28" s="929">
        <f>+D29</f>
        <v>0</v>
      </c>
      <c r="R28" s="928" t="str">
        <f>+C29</f>
        <v>Other Transmission PIS</v>
      </c>
      <c r="S28" s="930">
        <f>+D29</f>
        <v>0</v>
      </c>
      <c r="T28" s="283"/>
      <c r="U28" s="417" t="str">
        <f>+N29</f>
        <v>Transmission CWIP</v>
      </c>
      <c r="V28" s="418" t="str">
        <f>+N29</f>
        <v>Transmission CWIP</v>
      </c>
      <c r="W28" s="283" t="s">
        <v>1062</v>
      </c>
      <c r="Y28" s="284"/>
      <c r="Z28" s="284"/>
      <c r="AA28" s="284"/>
      <c r="AB28" s="284"/>
      <c r="AC28" s="284"/>
      <c r="AD28" s="284"/>
      <c r="AE28" s="284"/>
      <c r="AF28" s="284"/>
      <c r="AG28" s="284"/>
      <c r="AH28" s="285"/>
    </row>
    <row r="29" spans="1:34" ht="13.5">
      <c r="A29" s="286"/>
      <c r="B29" s="284"/>
      <c r="C29" s="928" t="s">
        <v>429</v>
      </c>
      <c r="D29" s="929"/>
      <c r="E29" s="929" t="s">
        <v>362</v>
      </c>
      <c r="F29" s="929" t="s">
        <v>362</v>
      </c>
      <c r="G29" s="929" t="s">
        <v>362</v>
      </c>
      <c r="H29" s="929" t="s">
        <v>362</v>
      </c>
      <c r="I29" s="929" t="s">
        <v>362</v>
      </c>
      <c r="J29" s="929" t="s">
        <v>362</v>
      </c>
      <c r="K29" s="929" t="s">
        <v>362</v>
      </c>
      <c r="L29" s="931" t="s">
        <v>362</v>
      </c>
      <c r="N29" s="931" t="s">
        <v>346</v>
      </c>
      <c r="O29" s="283" t="s">
        <v>146</v>
      </c>
      <c r="P29" s="417" t="s">
        <v>554</v>
      </c>
      <c r="Q29" s="296" t="s">
        <v>553</v>
      </c>
      <c r="R29" s="1192" t="s">
        <v>1183</v>
      </c>
      <c r="S29" s="1193" t="s">
        <v>1184</v>
      </c>
      <c r="T29" s="283"/>
      <c r="U29" s="417" t="s">
        <v>552</v>
      </c>
      <c r="V29" s="1193" t="s">
        <v>1185</v>
      </c>
      <c r="Y29" s="284"/>
      <c r="Z29" s="284"/>
      <c r="AA29" s="284"/>
      <c r="AB29" s="284"/>
      <c r="AC29" s="284"/>
      <c r="AD29" s="284"/>
      <c r="AE29" s="284"/>
      <c r="AF29" s="284"/>
      <c r="AG29" s="284"/>
      <c r="AH29" s="285"/>
    </row>
    <row r="30" spans="1:34" ht="13.5">
      <c r="A30" s="286"/>
      <c r="B30" s="284"/>
      <c r="C30" s="928" t="s">
        <v>1745</v>
      </c>
      <c r="D30" s="929"/>
      <c r="E30" s="929" t="s">
        <v>544</v>
      </c>
      <c r="F30" s="929" t="s">
        <v>545</v>
      </c>
      <c r="G30" s="929" t="s">
        <v>546</v>
      </c>
      <c r="H30" s="929" t="s">
        <v>547</v>
      </c>
      <c r="I30" s="929" t="s">
        <v>548</v>
      </c>
      <c r="J30" s="929" t="s">
        <v>549</v>
      </c>
      <c r="K30" s="929" t="s">
        <v>550</v>
      </c>
      <c r="L30" s="931" t="s">
        <v>1462</v>
      </c>
      <c r="N30" s="931" t="s">
        <v>376</v>
      </c>
      <c r="O30" s="283"/>
      <c r="P30" s="928"/>
      <c r="Q30" s="929"/>
      <c r="R30" s="928"/>
      <c r="S30" s="930"/>
      <c r="T30" s="284"/>
      <c r="U30" s="928"/>
      <c r="V30" s="930"/>
      <c r="Y30" s="284"/>
      <c r="Z30" s="284"/>
      <c r="AA30" s="284"/>
      <c r="AB30" s="284"/>
      <c r="AC30" s="284"/>
      <c r="AD30" s="284"/>
      <c r="AE30" s="284"/>
      <c r="AF30" s="284"/>
      <c r="AG30" s="284"/>
      <c r="AH30" s="285"/>
    </row>
    <row r="31" spans="1:34" ht="27">
      <c r="A31" s="286"/>
      <c r="B31" s="742" t="s">
        <v>1013</v>
      </c>
      <c r="C31" s="1172">
        <v>0</v>
      </c>
      <c r="D31" s="746">
        <v>0</v>
      </c>
      <c r="E31" s="746">
        <v>0</v>
      </c>
      <c r="F31" s="746">
        <v>0</v>
      </c>
      <c r="G31" s="746">
        <v>0</v>
      </c>
      <c r="H31" s="746">
        <v>0</v>
      </c>
      <c r="I31" s="746">
        <v>0</v>
      </c>
      <c r="J31" s="746">
        <v>0</v>
      </c>
      <c r="K31" s="746">
        <v>0</v>
      </c>
      <c r="L31" s="747">
        <f t="shared" ref="L31:L43" si="0">SUM(D31:K31)</f>
        <v>0</v>
      </c>
      <c r="N31" s="1631">
        <v>0</v>
      </c>
      <c r="O31" s="1119">
        <v>13</v>
      </c>
      <c r="P31" s="422">
        <f>+O31*C31</f>
        <v>0</v>
      </c>
      <c r="Q31" s="423">
        <f>+O31*L31</f>
        <v>0</v>
      </c>
      <c r="R31" s="1194">
        <f>P31/13</f>
        <v>0</v>
      </c>
      <c r="S31" s="1195">
        <f>Q31/13</f>
        <v>0</v>
      </c>
      <c r="T31" s="284"/>
      <c r="U31" s="422">
        <f>+O31*N31</f>
        <v>0</v>
      </c>
      <c r="V31" s="1195">
        <f>U31/13</f>
        <v>0</v>
      </c>
      <c r="Y31" s="284"/>
      <c r="Z31" s="284"/>
      <c r="AA31" s="284"/>
      <c r="AB31" s="284"/>
      <c r="AC31" s="284"/>
      <c r="AD31" s="284"/>
      <c r="AE31" s="284"/>
      <c r="AF31" s="284"/>
      <c r="AG31" s="284"/>
      <c r="AH31" s="285"/>
    </row>
    <row r="32" spans="1:34" ht="13.5">
      <c r="A32" s="286"/>
      <c r="B32" s="284" t="s">
        <v>147</v>
      </c>
      <c r="C32" s="1638">
        <f>IF(Toggle=Projection,'PIS projection'!C5-SUM(D32:K32),IF(Toggle=True_up,0,"Set Toggle!"))</f>
        <v>5127419.7799999993</v>
      </c>
      <c r="D32" s="1604">
        <f>IF(Toggle=Projection,'PIS projection'!D25,IF(Toggle=True_up,0,"Set Toggle!"))</f>
        <v>0</v>
      </c>
      <c r="E32" s="1604">
        <f>IF(Toggle=Projection,'PIS projection'!E25,IF(Toggle=True_up,0,"Set Toggle!"))</f>
        <v>1731.349999999944</v>
      </c>
      <c r="F32" s="1604">
        <f>IF(Toggle=Projection,'PIS projection'!F25,IF(Toggle=True_up,0,"Set Toggle!"))</f>
        <v>1193.92</v>
      </c>
      <c r="G32" s="1604">
        <f>IF(Toggle=Projection,'PIS projection'!G25,IF(Toggle=True_up,0,"Set Toggle!"))</f>
        <v>0</v>
      </c>
      <c r="H32" s="1604">
        <f>IF(Toggle=Projection,'PIS projection'!H25,IF(Toggle=True_up,0,"Set Toggle!"))</f>
        <v>0</v>
      </c>
      <c r="I32" s="1604">
        <f>IF(Toggle=Projection,'PIS projection'!I25,IF(Toggle=True_up,0,"Set Toggle!"))</f>
        <v>0</v>
      </c>
      <c r="J32" s="1604">
        <f>IF(Toggle=Projection,'PIS projection'!J25,IF(Toggle=True_up,0,"Set Toggle!"))</f>
        <v>121836.66000000061</v>
      </c>
      <c r="K32" s="1604">
        <f>IF(Toggle=Projection,'PIS projection'!K25,IF(Toggle=True_up,0,"Set Toggle!"))</f>
        <v>0</v>
      </c>
      <c r="L32" s="1624">
        <f t="shared" si="0"/>
        <v>124761.93000000056</v>
      </c>
      <c r="N32" s="747">
        <v>0</v>
      </c>
      <c r="O32" s="1119">
        <v>12</v>
      </c>
      <c r="P32" s="422">
        <f>+O32*C32</f>
        <v>61529037.359999992</v>
      </c>
      <c r="Q32" s="423">
        <f t="shared" ref="Q32:Q43" si="1">+O32*L32</f>
        <v>1497143.1600000067</v>
      </c>
      <c r="R32" s="1194">
        <f>P32/13</f>
        <v>4733002.8738461528</v>
      </c>
      <c r="S32" s="1195">
        <f>Q32/13</f>
        <v>115164.85846153897</v>
      </c>
      <c r="T32" s="284"/>
      <c r="U32" s="422">
        <f t="shared" ref="U32:U43" si="2">+O32*N32</f>
        <v>0</v>
      </c>
      <c r="V32" s="1195">
        <f t="shared" ref="V32:V43" si="3">U32/13</f>
        <v>0</v>
      </c>
      <c r="Y32" s="284"/>
      <c r="Z32" s="284"/>
      <c r="AA32" s="284"/>
      <c r="AB32" s="284"/>
      <c r="AC32" s="284"/>
      <c r="AD32" s="284"/>
      <c r="AE32" s="284"/>
      <c r="AF32" s="284"/>
      <c r="AG32" s="284"/>
      <c r="AH32" s="285"/>
    </row>
    <row r="33" spans="1:34" ht="13.5">
      <c r="A33" s="286"/>
      <c r="B33" s="284" t="s">
        <v>148</v>
      </c>
      <c r="C33" s="1100">
        <f>IF(Toggle=Projection,'PIS projection'!C6-SUM(D33:K33),IF(Toggle=True_up,0,"Set Toggle!"))</f>
        <v>1060761.399999999</v>
      </c>
      <c r="D33" s="1604">
        <f>IF(Toggle=Projection,'PIS projection'!D26,IF(Toggle=True_up,0,"Set Toggle!"))</f>
        <v>0</v>
      </c>
      <c r="E33" s="1604">
        <f>IF(Toggle=Projection,'PIS projection'!E26,IF(Toggle=True_up,0,"Set Toggle!"))</f>
        <v>2434.3800000000092</v>
      </c>
      <c r="F33" s="1604">
        <f>IF(Toggle=Projection,'PIS projection'!F26,IF(Toggle=True_up,0,"Set Toggle!"))</f>
        <v>0</v>
      </c>
      <c r="G33" s="1604">
        <f>IF(Toggle=Projection,'PIS projection'!G26,IF(Toggle=True_up,0,"Set Toggle!"))</f>
        <v>0</v>
      </c>
      <c r="H33" s="1604">
        <f>IF(Toggle=Projection,'PIS projection'!H26,IF(Toggle=True_up,0,"Set Toggle!"))</f>
        <v>0</v>
      </c>
      <c r="I33" s="1604">
        <f>IF(Toggle=Projection,'PIS projection'!I26,IF(Toggle=True_up,0,"Set Toggle!"))</f>
        <v>0</v>
      </c>
      <c r="J33" s="1604">
        <f>IF(Toggle=Projection,'PIS projection'!J26,IF(Toggle=True_up,0,"Set Toggle!"))</f>
        <v>140451.12000000029</v>
      </c>
      <c r="K33" s="1604">
        <f>IF(Toggle=Projection,'PIS projection'!K26,IF(Toggle=True_up,0,"Set Toggle!"))</f>
        <v>0</v>
      </c>
      <c r="L33" s="1624">
        <f t="shared" si="0"/>
        <v>142885.50000000029</v>
      </c>
      <c r="N33" s="747">
        <v>0</v>
      </c>
      <c r="O33" s="932">
        <f t="shared" ref="O33:O43" si="4">+O32-1</f>
        <v>11</v>
      </c>
      <c r="P33" s="422">
        <f t="shared" ref="P33:P43" si="5">+O33*C33</f>
        <v>11668375.399999989</v>
      </c>
      <c r="Q33" s="423">
        <f t="shared" si="1"/>
        <v>1571740.5000000033</v>
      </c>
      <c r="R33" s="1196">
        <f t="shared" ref="R33:R43" si="6">P33/13</f>
        <v>897567.33846153761</v>
      </c>
      <c r="S33" s="1195">
        <f t="shared" ref="S33:S43" si="7">Q33/13</f>
        <v>120903.11538461564</v>
      </c>
      <c r="T33" s="284"/>
      <c r="U33" s="422">
        <f t="shared" si="2"/>
        <v>0</v>
      </c>
      <c r="V33" s="1195">
        <f t="shared" si="3"/>
        <v>0</v>
      </c>
      <c r="Y33" s="284"/>
      <c r="Z33" s="284"/>
      <c r="AA33" s="284"/>
      <c r="AB33" s="284"/>
      <c r="AC33" s="284"/>
      <c r="AD33" s="284"/>
      <c r="AE33" s="284"/>
      <c r="AF33" s="284"/>
      <c r="AG33" s="284"/>
      <c r="AH33" s="285"/>
    </row>
    <row r="34" spans="1:34" ht="13.5">
      <c r="A34" s="286"/>
      <c r="B34" s="284" t="s">
        <v>149</v>
      </c>
      <c r="C34" s="1100">
        <f>IF(Toggle=Projection,'PIS projection'!C7-SUM(D34:K34),IF(Toggle=True_up,0,"Set Toggle!"))</f>
        <v>3782993.3799999971</v>
      </c>
      <c r="D34" s="1604">
        <f>IF(Toggle=Projection,'PIS projection'!D27,IF(Toggle=True_up,0,"Set Toggle!"))</f>
        <v>0</v>
      </c>
      <c r="E34" s="1604">
        <f>IF(Toggle=Projection,'PIS projection'!E27,IF(Toggle=True_up,0,"Set Toggle!"))</f>
        <v>384.91000000006045</v>
      </c>
      <c r="F34" s="1604">
        <f>IF(Toggle=Projection,'PIS projection'!F27,IF(Toggle=True_up,0,"Set Toggle!"))</f>
        <v>0</v>
      </c>
      <c r="G34" s="1604">
        <f>IF(Toggle=Projection,'PIS projection'!G27,IF(Toggle=True_up,0,"Set Toggle!"))</f>
        <v>0</v>
      </c>
      <c r="H34" s="1604">
        <f>IF(Toggle=Projection,'PIS projection'!H27,IF(Toggle=True_up,0,"Set Toggle!"))</f>
        <v>0</v>
      </c>
      <c r="I34" s="1604">
        <f>IF(Toggle=Projection,'PIS projection'!I27,IF(Toggle=True_up,0,"Set Toggle!"))</f>
        <v>0</v>
      </c>
      <c r="J34" s="1604">
        <f>IF(Toggle=Projection,'PIS projection'!J27,IF(Toggle=True_up,0,"Set Toggle!"))</f>
        <v>10354869.670000006</v>
      </c>
      <c r="K34" s="1604">
        <f>IF(Toggle=Projection,'PIS projection'!K27,IF(Toggle=True_up,0,"Set Toggle!"))</f>
        <v>0</v>
      </c>
      <c r="L34" s="1624">
        <f t="shared" si="0"/>
        <v>10355254.580000006</v>
      </c>
      <c r="N34" s="747">
        <v>0</v>
      </c>
      <c r="O34" s="932">
        <f t="shared" si="4"/>
        <v>10</v>
      </c>
      <c r="P34" s="422">
        <f t="shared" si="5"/>
        <v>37829933.799999967</v>
      </c>
      <c r="Q34" s="423">
        <f t="shared" si="1"/>
        <v>103552545.80000006</v>
      </c>
      <c r="R34" s="1196">
        <f t="shared" si="6"/>
        <v>2909994.9076923053</v>
      </c>
      <c r="S34" s="1195">
        <f t="shared" si="7"/>
        <v>7965580.4461538503</v>
      </c>
      <c r="T34" s="284"/>
      <c r="U34" s="422">
        <f t="shared" si="2"/>
        <v>0</v>
      </c>
      <c r="V34" s="1195">
        <f t="shared" si="3"/>
        <v>0</v>
      </c>
      <c r="Y34" s="284"/>
      <c r="Z34" s="284"/>
      <c r="AA34" s="284"/>
      <c r="AB34" s="284"/>
      <c r="AC34" s="284"/>
      <c r="AD34" s="284"/>
      <c r="AE34" s="284"/>
      <c r="AF34" s="284"/>
      <c r="AG34" s="284"/>
      <c r="AH34" s="285"/>
    </row>
    <row r="35" spans="1:34" ht="13.5">
      <c r="A35" s="286"/>
      <c r="B35" s="284" t="s">
        <v>150</v>
      </c>
      <c r="C35" s="1100">
        <f>IF(Toggle=Projection,'PIS projection'!C8-SUM(D35:K35),IF(Toggle=True_up,0,"Set Toggle!"))</f>
        <v>23666623.508659523</v>
      </c>
      <c r="D35" s="1604">
        <f>IF(Toggle=Projection,'PIS projection'!D28,IF(Toggle=True_up,0,"Set Toggle!"))</f>
        <v>0</v>
      </c>
      <c r="E35" s="1604">
        <f>IF(Toggle=Projection,'PIS projection'!E28,IF(Toggle=True_up,0,"Set Toggle!"))</f>
        <v>949</v>
      </c>
      <c r="F35" s="1604">
        <f>IF(Toggle=Projection,'PIS projection'!F28,IF(Toggle=True_up,0,"Set Toggle!"))</f>
        <v>0</v>
      </c>
      <c r="G35" s="1604">
        <f>IF(Toggle=Projection,'PIS projection'!G28,IF(Toggle=True_up,0,"Set Toggle!"))</f>
        <v>0</v>
      </c>
      <c r="H35" s="1604">
        <f>IF(Toggle=Projection,'PIS projection'!H28,IF(Toggle=True_up,0,"Set Toggle!"))</f>
        <v>0</v>
      </c>
      <c r="I35" s="1604">
        <f>IF(Toggle=Projection,'PIS projection'!I28,IF(Toggle=True_up,0,"Set Toggle!"))</f>
        <v>0</v>
      </c>
      <c r="J35" s="1604">
        <f>IF(Toggle=Projection,'PIS projection'!J28,IF(Toggle=True_up,0,"Set Toggle!"))</f>
        <v>66673.899399999995</v>
      </c>
      <c r="K35" s="1604">
        <f>IF(Toggle=Projection,'PIS projection'!K28,IF(Toggle=True_up,0,"Set Toggle!"))</f>
        <v>0</v>
      </c>
      <c r="L35" s="1624">
        <f t="shared" si="0"/>
        <v>67622.899399999995</v>
      </c>
      <c r="N35" s="747">
        <v>0</v>
      </c>
      <c r="O35" s="932">
        <f t="shared" si="4"/>
        <v>9</v>
      </c>
      <c r="P35" s="422">
        <f t="shared" si="5"/>
        <v>212999611.5779357</v>
      </c>
      <c r="Q35" s="423">
        <f t="shared" si="1"/>
        <v>608606.09459999995</v>
      </c>
      <c r="R35" s="1196">
        <f t="shared" si="6"/>
        <v>16384585.505995054</v>
      </c>
      <c r="S35" s="1195">
        <f t="shared" si="7"/>
        <v>46815.853430769224</v>
      </c>
      <c r="T35" s="284"/>
      <c r="U35" s="422">
        <f t="shared" si="2"/>
        <v>0</v>
      </c>
      <c r="V35" s="1195">
        <f t="shared" si="3"/>
        <v>0</v>
      </c>
      <c r="Y35" s="284"/>
      <c r="Z35" s="284"/>
      <c r="AA35" s="284"/>
      <c r="AB35" s="284"/>
      <c r="AC35" s="284"/>
      <c r="AD35" s="284"/>
      <c r="AE35" s="284"/>
      <c r="AF35" s="284"/>
      <c r="AG35" s="284"/>
      <c r="AH35" s="285"/>
    </row>
    <row r="36" spans="1:34" ht="13.5">
      <c r="A36" s="286"/>
      <c r="B36" s="284" t="s">
        <v>144</v>
      </c>
      <c r="C36" s="1100">
        <f>IF(Toggle=Projection,'PIS projection'!C9-SUM(D36:K36),IF(Toggle=True_up,0,"Set Toggle!"))</f>
        <v>55456822.232436515</v>
      </c>
      <c r="D36" s="1604">
        <f>IF(Toggle=Projection,'PIS projection'!D29,IF(Toggle=True_up,0,"Set Toggle!"))</f>
        <v>0</v>
      </c>
      <c r="E36" s="1604">
        <f>IF(Toggle=Projection,'PIS projection'!E29,IF(Toggle=True_up,0,"Set Toggle!"))</f>
        <v>51510</v>
      </c>
      <c r="F36" s="1604">
        <f>IF(Toggle=Projection,'PIS projection'!F29,IF(Toggle=True_up,0,"Set Toggle!"))</f>
        <v>0</v>
      </c>
      <c r="G36" s="1604">
        <f>IF(Toggle=Projection,'PIS projection'!G29,IF(Toggle=True_up,0,"Set Toggle!"))</f>
        <v>0</v>
      </c>
      <c r="H36" s="1604">
        <f>IF(Toggle=Projection,'PIS projection'!H29,IF(Toggle=True_up,0,"Set Toggle!"))</f>
        <v>0</v>
      </c>
      <c r="I36" s="1604">
        <f>IF(Toggle=Projection,'PIS projection'!I29,IF(Toggle=True_up,0,"Set Toggle!"))</f>
        <v>0</v>
      </c>
      <c r="J36" s="1604">
        <f>IF(Toggle=Projection,'PIS projection'!J29,IF(Toggle=True_up,0,"Set Toggle!"))</f>
        <v>431815.03539999999</v>
      </c>
      <c r="K36" s="1604">
        <f>IF(Toggle=Projection,'PIS projection'!K29,IF(Toggle=True_up,0,"Set Toggle!"))</f>
        <v>0</v>
      </c>
      <c r="L36" s="1624">
        <f t="shared" si="0"/>
        <v>483325.03539999999</v>
      </c>
      <c r="N36" s="747">
        <v>0</v>
      </c>
      <c r="O36" s="932">
        <f t="shared" si="4"/>
        <v>8</v>
      </c>
      <c r="P36" s="422">
        <f t="shared" si="5"/>
        <v>443654577.85949212</v>
      </c>
      <c r="Q36" s="423">
        <f t="shared" si="1"/>
        <v>3866600.2831999999</v>
      </c>
      <c r="R36" s="1196">
        <f t="shared" si="6"/>
        <v>34127275.219960935</v>
      </c>
      <c r="S36" s="1195">
        <f t="shared" si="7"/>
        <v>297430.7910153846</v>
      </c>
      <c r="T36" s="284"/>
      <c r="U36" s="422">
        <f t="shared" si="2"/>
        <v>0</v>
      </c>
      <c r="V36" s="1195">
        <f t="shared" si="3"/>
        <v>0</v>
      </c>
      <c r="Y36" s="284"/>
      <c r="Z36" s="284"/>
      <c r="AA36" s="284"/>
      <c r="AB36" s="284"/>
      <c r="AC36" s="284"/>
      <c r="AD36" s="284"/>
      <c r="AE36" s="284"/>
      <c r="AF36" s="284"/>
      <c r="AG36" s="284"/>
      <c r="AH36" s="285"/>
    </row>
    <row r="37" spans="1:34" ht="13.5">
      <c r="A37" s="286"/>
      <c r="B37" s="284" t="s">
        <v>151</v>
      </c>
      <c r="C37" s="1100">
        <f>IF(Toggle=Projection,'PIS projection'!C10-SUM(D37:K37),IF(Toggle=True_up,0,"Set Toggle!"))</f>
        <v>3533990.461249033</v>
      </c>
      <c r="D37" s="1604">
        <f>IF(Toggle=Projection,'PIS projection'!D30,IF(Toggle=True_up,0,"Set Toggle!"))</f>
        <v>0</v>
      </c>
      <c r="E37" s="1604">
        <f>IF(Toggle=Projection,'PIS projection'!E30,IF(Toggle=True_up,0,"Set Toggle!"))</f>
        <v>30300</v>
      </c>
      <c r="F37" s="1604">
        <f>IF(Toggle=Projection,'PIS projection'!F30,IF(Toggle=True_up,0,"Set Toggle!"))</f>
        <v>0</v>
      </c>
      <c r="G37" s="1604">
        <f>IF(Toggle=Projection,'PIS projection'!G30,IF(Toggle=True_up,0,"Set Toggle!"))</f>
        <v>0</v>
      </c>
      <c r="H37" s="1604">
        <f>IF(Toggle=Projection,'PIS projection'!H30,IF(Toggle=True_up,0,"Set Toggle!"))</f>
        <v>0</v>
      </c>
      <c r="I37" s="1604">
        <f>IF(Toggle=Projection,'PIS projection'!I30,IF(Toggle=True_up,0,"Set Toggle!"))</f>
        <v>0</v>
      </c>
      <c r="J37" s="1604">
        <f>IF(Toggle=Projection,'PIS projection'!J30,IF(Toggle=True_up,0,"Set Toggle!"))</f>
        <v>-135980.74709999998</v>
      </c>
      <c r="K37" s="1604">
        <f>IF(Toggle=Projection,'PIS projection'!K30,IF(Toggle=True_up,0,"Set Toggle!"))</f>
        <v>0</v>
      </c>
      <c r="L37" s="1624">
        <f t="shared" si="0"/>
        <v>-105680.74709999998</v>
      </c>
      <c r="N37" s="747">
        <v>0</v>
      </c>
      <c r="O37" s="932">
        <f t="shared" si="4"/>
        <v>7</v>
      </c>
      <c r="P37" s="422">
        <f t="shared" si="5"/>
        <v>24737933.228743233</v>
      </c>
      <c r="Q37" s="423">
        <f t="shared" si="1"/>
        <v>-739765.22969999979</v>
      </c>
      <c r="R37" s="1196">
        <f t="shared" si="6"/>
        <v>1902917.9406725564</v>
      </c>
      <c r="S37" s="1195">
        <f t="shared" si="7"/>
        <v>-56905.01766923075</v>
      </c>
      <c r="T37" s="284"/>
      <c r="U37" s="422">
        <f t="shared" si="2"/>
        <v>0</v>
      </c>
      <c r="V37" s="1195">
        <f t="shared" si="3"/>
        <v>0</v>
      </c>
      <c r="Y37" s="284"/>
      <c r="Z37" s="284"/>
      <c r="AA37" s="284"/>
      <c r="AB37" s="284"/>
      <c r="AC37" s="284"/>
      <c r="AD37" s="284"/>
      <c r="AE37" s="284"/>
      <c r="AF37" s="284"/>
      <c r="AG37" s="284"/>
      <c r="AH37" s="285"/>
    </row>
    <row r="38" spans="1:34" ht="13.5">
      <c r="A38" s="286"/>
      <c r="B38" s="284" t="s">
        <v>152</v>
      </c>
      <c r="C38" s="1100">
        <f>IF(Toggle=Projection,'PIS projection'!C11-SUM(D38:K38),IF(Toggle=True_up,0,"Set Toggle!"))</f>
        <v>7002605.7595856702</v>
      </c>
      <c r="D38" s="1604">
        <f>IF(Toggle=Projection,'PIS projection'!D31,IF(Toggle=True_up,0,"Set Toggle!"))</f>
        <v>0</v>
      </c>
      <c r="E38" s="1604">
        <f>IF(Toggle=Projection,'PIS projection'!E31,IF(Toggle=True_up,0,"Set Toggle!"))</f>
        <v>30300</v>
      </c>
      <c r="F38" s="1604">
        <f>IF(Toggle=Projection,'PIS projection'!F31,IF(Toggle=True_up,0,"Set Toggle!"))</f>
        <v>0</v>
      </c>
      <c r="G38" s="1604">
        <f>IF(Toggle=Projection,'PIS projection'!G31,IF(Toggle=True_up,0,"Set Toggle!"))</f>
        <v>0</v>
      </c>
      <c r="H38" s="1604">
        <f>IF(Toggle=Projection,'PIS projection'!H31,IF(Toggle=True_up,0,"Set Toggle!"))</f>
        <v>0</v>
      </c>
      <c r="I38" s="1604">
        <f>IF(Toggle=Projection,'PIS projection'!I31,IF(Toggle=True_up,0,"Set Toggle!"))</f>
        <v>0</v>
      </c>
      <c r="J38" s="1604">
        <f>IF(Toggle=Projection,'PIS projection'!J31,IF(Toggle=True_up,0,"Set Toggle!"))</f>
        <v>53336.853199999998</v>
      </c>
      <c r="K38" s="1604">
        <f>IF(Toggle=Projection,'PIS projection'!K31,IF(Toggle=True_up,0,"Set Toggle!"))</f>
        <v>0</v>
      </c>
      <c r="L38" s="1624">
        <f t="shared" si="0"/>
        <v>83636.853199999998</v>
      </c>
      <c r="N38" s="747">
        <v>0</v>
      </c>
      <c r="O38" s="932">
        <f t="shared" si="4"/>
        <v>6</v>
      </c>
      <c r="P38" s="422">
        <f t="shared" si="5"/>
        <v>42015634.557514019</v>
      </c>
      <c r="Q38" s="423">
        <f t="shared" si="1"/>
        <v>501821.11919999996</v>
      </c>
      <c r="R38" s="1196">
        <f t="shared" si="6"/>
        <v>3231971.8890395397</v>
      </c>
      <c r="S38" s="1195">
        <f t="shared" si="7"/>
        <v>38601.624553846152</v>
      </c>
      <c r="T38" s="284"/>
      <c r="U38" s="422">
        <f t="shared" si="2"/>
        <v>0</v>
      </c>
      <c r="V38" s="1195">
        <f t="shared" si="3"/>
        <v>0</v>
      </c>
      <c r="Y38" s="284"/>
      <c r="Z38" s="284"/>
      <c r="AA38" s="284"/>
      <c r="AB38" s="284"/>
      <c r="AC38" s="284"/>
      <c r="AD38" s="284"/>
      <c r="AE38" s="284"/>
      <c r="AF38" s="284"/>
      <c r="AG38" s="284"/>
      <c r="AH38" s="285"/>
    </row>
    <row r="39" spans="1:34" ht="13.5">
      <c r="A39" s="286"/>
      <c r="B39" s="284" t="s">
        <v>153</v>
      </c>
      <c r="C39" s="1100">
        <f>IF(Toggle=Projection,'PIS projection'!C12-SUM(D39:K39),IF(Toggle=True_up,0,"Set Toggle!"))</f>
        <v>3956513.9450285272</v>
      </c>
      <c r="D39" s="1604">
        <f>IF(Toggle=Projection,'PIS projection'!D32,IF(Toggle=True_up,0,"Set Toggle!"))</f>
        <v>0</v>
      </c>
      <c r="E39" s="1604">
        <f>IF(Toggle=Projection,'PIS projection'!E32,IF(Toggle=True_up,0,"Set Toggle!"))</f>
        <v>0</v>
      </c>
      <c r="F39" s="1604">
        <f>IF(Toggle=Projection,'PIS projection'!F32,IF(Toggle=True_up,0,"Set Toggle!"))</f>
        <v>0</v>
      </c>
      <c r="G39" s="1604">
        <f>IF(Toggle=Projection,'PIS projection'!G32,IF(Toggle=True_up,0,"Set Toggle!"))</f>
        <v>0</v>
      </c>
      <c r="H39" s="1604">
        <f>IF(Toggle=Projection,'PIS projection'!H32,IF(Toggle=True_up,0,"Set Toggle!"))</f>
        <v>0</v>
      </c>
      <c r="I39" s="1604">
        <f>IF(Toggle=Projection,'PIS projection'!I32,IF(Toggle=True_up,0,"Set Toggle!"))</f>
        <v>0</v>
      </c>
      <c r="J39" s="1604">
        <f>IF(Toggle=Projection,'PIS projection'!J32,IF(Toggle=True_up,0,"Set Toggle!"))</f>
        <v>221967.976</v>
      </c>
      <c r="K39" s="1604">
        <f>IF(Toggle=Projection,'PIS projection'!K32,IF(Toggle=True_up,0,"Set Toggle!"))</f>
        <v>0</v>
      </c>
      <c r="L39" s="1624">
        <f t="shared" si="0"/>
        <v>221967.976</v>
      </c>
      <c r="N39" s="747">
        <v>0</v>
      </c>
      <c r="O39" s="932">
        <f t="shared" si="4"/>
        <v>5</v>
      </c>
      <c r="P39" s="422">
        <f t="shared" si="5"/>
        <v>19782569.725142635</v>
      </c>
      <c r="Q39" s="423">
        <f t="shared" si="1"/>
        <v>1109839.8799999999</v>
      </c>
      <c r="R39" s="1196">
        <f t="shared" si="6"/>
        <v>1521736.1327032796</v>
      </c>
      <c r="S39" s="1195">
        <f t="shared" si="7"/>
        <v>85372.298461538448</v>
      </c>
      <c r="T39" s="284"/>
      <c r="U39" s="422">
        <f t="shared" si="2"/>
        <v>0</v>
      </c>
      <c r="V39" s="1195">
        <f t="shared" si="3"/>
        <v>0</v>
      </c>
      <c r="Y39" s="284"/>
      <c r="Z39" s="284"/>
      <c r="AA39" s="284"/>
      <c r="AB39" s="284"/>
      <c r="AC39" s="284"/>
      <c r="AD39" s="284"/>
      <c r="AE39" s="284"/>
      <c r="AF39" s="284"/>
      <c r="AG39" s="284"/>
      <c r="AH39" s="285"/>
    </row>
    <row r="40" spans="1:34" ht="13.5">
      <c r="A40" s="286"/>
      <c r="B40" s="284" t="s">
        <v>154</v>
      </c>
      <c r="C40" s="1100">
        <f>IF(Toggle=Projection,'PIS projection'!C13-SUM(D40:K40),IF(Toggle=True_up,0,"Set Toggle!"))</f>
        <v>5220572.5032282025</v>
      </c>
      <c r="D40" s="1604">
        <f>IF(Toggle=Projection,'PIS projection'!D33,IF(Toggle=True_up,0,"Set Toggle!"))</f>
        <v>0</v>
      </c>
      <c r="E40" s="1604">
        <f>IF(Toggle=Projection,'PIS projection'!E33,IF(Toggle=True_up,0,"Set Toggle!"))</f>
        <v>0</v>
      </c>
      <c r="F40" s="1604">
        <f>IF(Toggle=Projection,'PIS projection'!F33,IF(Toggle=True_up,0,"Set Toggle!"))</f>
        <v>0</v>
      </c>
      <c r="G40" s="1604">
        <f>IF(Toggle=Projection,'PIS projection'!G33,IF(Toggle=True_up,0,"Set Toggle!"))</f>
        <v>0</v>
      </c>
      <c r="H40" s="1604">
        <f>IF(Toggle=Projection,'PIS projection'!H33,IF(Toggle=True_up,0,"Set Toggle!"))</f>
        <v>0</v>
      </c>
      <c r="I40" s="1604">
        <f>IF(Toggle=Projection,'PIS projection'!I33,IF(Toggle=True_up,0,"Set Toggle!"))</f>
        <v>0</v>
      </c>
      <c r="J40" s="1604">
        <f>IF(Toggle=Projection,'PIS projection'!J33,IF(Toggle=True_up,0,"Set Toggle!"))</f>
        <v>28202.7893</v>
      </c>
      <c r="K40" s="1604">
        <f>IF(Toggle=Projection,'PIS projection'!K33,IF(Toggle=True_up,0,"Set Toggle!"))</f>
        <v>0</v>
      </c>
      <c r="L40" s="1624">
        <f t="shared" si="0"/>
        <v>28202.7893</v>
      </c>
      <c r="N40" s="747">
        <v>0</v>
      </c>
      <c r="O40" s="932">
        <f t="shared" si="4"/>
        <v>4</v>
      </c>
      <c r="P40" s="422">
        <f t="shared" si="5"/>
        <v>20882290.01291281</v>
      </c>
      <c r="Q40" s="423">
        <f t="shared" si="1"/>
        <v>112811.1572</v>
      </c>
      <c r="R40" s="1196">
        <f t="shared" si="6"/>
        <v>1606330.000993293</v>
      </c>
      <c r="S40" s="1195">
        <f t="shared" si="7"/>
        <v>8677.7813230769225</v>
      </c>
      <c r="T40" s="284"/>
      <c r="U40" s="422">
        <f t="shared" si="2"/>
        <v>0</v>
      </c>
      <c r="V40" s="1195">
        <f t="shared" si="3"/>
        <v>0</v>
      </c>
      <c r="Y40" s="284"/>
      <c r="Z40" s="284"/>
      <c r="AA40" s="284"/>
      <c r="AB40" s="284"/>
      <c r="AC40" s="284"/>
      <c r="AD40" s="284"/>
      <c r="AE40" s="284"/>
      <c r="AF40" s="284"/>
      <c r="AG40" s="284"/>
      <c r="AH40" s="285"/>
    </row>
    <row r="41" spans="1:34" ht="13.5">
      <c r="A41" s="286"/>
      <c r="B41" s="284" t="s">
        <v>155</v>
      </c>
      <c r="C41" s="1100">
        <f>IF(Toggle=Projection,'PIS projection'!C14-SUM(D41:K41),IF(Toggle=True_up,0,"Set Toggle!"))</f>
        <v>5201059.1445732927</v>
      </c>
      <c r="D41" s="1604">
        <f>IF(Toggle=Projection,'PIS projection'!D34,IF(Toggle=True_up,0,"Set Toggle!"))</f>
        <v>0</v>
      </c>
      <c r="E41" s="1604">
        <f>IF(Toggle=Projection,'PIS projection'!E34,IF(Toggle=True_up,0,"Set Toggle!"))</f>
        <v>0</v>
      </c>
      <c r="F41" s="1604">
        <f>IF(Toggle=Projection,'PIS projection'!F34,IF(Toggle=True_up,0,"Set Toggle!"))</f>
        <v>0</v>
      </c>
      <c r="G41" s="1604">
        <f>IF(Toggle=Projection,'PIS projection'!G34,IF(Toggle=True_up,0,"Set Toggle!"))</f>
        <v>0</v>
      </c>
      <c r="H41" s="1604">
        <f>IF(Toggle=Projection,'PIS projection'!H34,IF(Toggle=True_up,0,"Set Toggle!"))</f>
        <v>0</v>
      </c>
      <c r="I41" s="1604">
        <f>IF(Toggle=Projection,'PIS projection'!I34,IF(Toggle=True_up,0,"Set Toggle!"))</f>
        <v>0</v>
      </c>
      <c r="J41" s="1604">
        <f>IF(Toggle=Projection,'PIS projection'!J34,IF(Toggle=True_up,0,"Set Toggle!"))</f>
        <v>30585.613800000003</v>
      </c>
      <c r="K41" s="1604">
        <f>IF(Toggle=Projection,'PIS projection'!K34,IF(Toggle=True_up,0,"Set Toggle!"))</f>
        <v>0</v>
      </c>
      <c r="L41" s="1624">
        <f t="shared" si="0"/>
        <v>30585.613800000003</v>
      </c>
      <c r="N41" s="747">
        <v>0</v>
      </c>
      <c r="O41" s="932">
        <f t="shared" si="4"/>
        <v>3</v>
      </c>
      <c r="P41" s="422">
        <f t="shared" si="5"/>
        <v>15603177.433719877</v>
      </c>
      <c r="Q41" s="423">
        <f t="shared" si="1"/>
        <v>91756.841400000005</v>
      </c>
      <c r="R41" s="1196">
        <f t="shared" si="6"/>
        <v>1200244.4179784521</v>
      </c>
      <c r="S41" s="1195">
        <f t="shared" si="7"/>
        <v>7058.2185692307694</v>
      </c>
      <c r="T41" s="284"/>
      <c r="U41" s="422">
        <f t="shared" si="2"/>
        <v>0</v>
      </c>
      <c r="V41" s="1195">
        <f t="shared" si="3"/>
        <v>0</v>
      </c>
      <c r="Y41" s="284"/>
      <c r="Z41" s="284"/>
      <c r="AA41" s="284"/>
      <c r="AB41" s="284"/>
      <c r="AC41" s="284"/>
      <c r="AD41" s="284"/>
      <c r="AE41" s="284"/>
      <c r="AF41" s="284"/>
      <c r="AG41" s="284"/>
      <c r="AH41" s="285"/>
    </row>
    <row r="42" spans="1:34" ht="13.5">
      <c r="A42" s="286"/>
      <c r="B42" s="284" t="s">
        <v>156</v>
      </c>
      <c r="C42" s="1100">
        <f>IF(Toggle=Projection,'PIS projection'!C15-SUM(D42:K42),IF(Toggle=True_up,0,"Set Toggle!"))</f>
        <v>4987971.255096823</v>
      </c>
      <c r="D42" s="1604">
        <f>IF(Toggle=Projection,'PIS projection'!D35,IF(Toggle=True_up,0,"Set Toggle!"))</f>
        <v>0</v>
      </c>
      <c r="E42" s="1604">
        <f>IF(Toggle=Projection,'PIS projection'!E35,IF(Toggle=True_up,0,"Set Toggle!"))</f>
        <v>0</v>
      </c>
      <c r="F42" s="1604">
        <f>IF(Toggle=Projection,'PIS projection'!F35,IF(Toggle=True_up,0,"Set Toggle!"))</f>
        <v>0</v>
      </c>
      <c r="G42" s="1604">
        <f>IF(Toggle=Projection,'PIS projection'!G35,IF(Toggle=True_up,0,"Set Toggle!"))</f>
        <v>0</v>
      </c>
      <c r="H42" s="1604">
        <f>IF(Toggle=Projection,'PIS projection'!H35,IF(Toggle=True_up,0,"Set Toggle!"))</f>
        <v>0</v>
      </c>
      <c r="I42" s="1604">
        <f>IF(Toggle=Projection,'PIS projection'!I35,IF(Toggle=True_up,0,"Set Toggle!"))</f>
        <v>0</v>
      </c>
      <c r="J42" s="1604">
        <f>IF(Toggle=Projection,'PIS projection'!J35,IF(Toggle=True_up,0,"Set Toggle!"))</f>
        <v>28841.663800000002</v>
      </c>
      <c r="K42" s="1604">
        <f>IF(Toggle=Projection,'PIS projection'!K35,IF(Toggle=True_up,0,"Set Toggle!"))</f>
        <v>0</v>
      </c>
      <c r="L42" s="1624">
        <f t="shared" si="0"/>
        <v>28841.663800000002</v>
      </c>
      <c r="N42" s="747">
        <v>0</v>
      </c>
      <c r="O42" s="932">
        <f t="shared" si="4"/>
        <v>2</v>
      </c>
      <c r="P42" s="422">
        <f t="shared" si="5"/>
        <v>9975942.510193646</v>
      </c>
      <c r="Q42" s="423">
        <f t="shared" si="1"/>
        <v>57683.327600000004</v>
      </c>
      <c r="R42" s="1196">
        <f t="shared" si="6"/>
        <v>767380.19309181895</v>
      </c>
      <c r="S42" s="1195">
        <f t="shared" si="7"/>
        <v>4437.1790461538467</v>
      </c>
      <c r="T42" s="284"/>
      <c r="U42" s="422">
        <f t="shared" si="2"/>
        <v>0</v>
      </c>
      <c r="V42" s="1195">
        <f t="shared" si="3"/>
        <v>0</v>
      </c>
      <c r="Y42" s="284"/>
      <c r="Z42" s="284"/>
      <c r="AA42" s="284"/>
      <c r="AB42" s="284"/>
      <c r="AC42" s="284"/>
      <c r="AD42" s="284"/>
      <c r="AE42" s="284"/>
      <c r="AF42" s="284"/>
      <c r="AG42" s="284"/>
      <c r="AH42" s="285"/>
    </row>
    <row r="43" spans="1:34" ht="13.5">
      <c r="A43" s="286"/>
      <c r="B43" s="284" t="s">
        <v>157</v>
      </c>
      <c r="C43" s="1101">
        <f>IF(Toggle=Projection,'PIS projection'!C16-SUM(D43:K43),IF(Toggle=True_up,0,"Set Toggle!"))</f>
        <v>5891850.5981543828</v>
      </c>
      <c r="D43" s="1601">
        <f>IF(Toggle=Projection,'PIS projection'!D36,IF(Toggle=True_up,0,"Set Toggle!"))</f>
        <v>0</v>
      </c>
      <c r="E43" s="1601">
        <f>IF(Toggle=Projection,'PIS projection'!E36,IF(Toggle=True_up,0,"Set Toggle!"))</f>
        <v>0</v>
      </c>
      <c r="F43" s="1601">
        <f>IF(Toggle=Projection,'PIS projection'!F36,IF(Toggle=True_up,0,"Set Toggle!"))</f>
        <v>0</v>
      </c>
      <c r="G43" s="1601">
        <f>IF(Toggle=Projection,'PIS projection'!G36,IF(Toggle=True_up,0,"Set Toggle!"))</f>
        <v>0</v>
      </c>
      <c r="H43" s="1601">
        <f>IF(Toggle=Projection,'PIS projection'!H36,IF(Toggle=True_up,0,"Set Toggle!"))</f>
        <v>0</v>
      </c>
      <c r="I43" s="1601">
        <f>IF(Toggle=Projection,'PIS projection'!I36,IF(Toggle=True_up,0,"Set Toggle!"))</f>
        <v>0</v>
      </c>
      <c r="J43" s="1601">
        <f>IF(Toggle=Projection,'PIS projection'!J36,IF(Toggle=True_up,0,"Set Toggle!"))</f>
        <v>26473.944599999999</v>
      </c>
      <c r="K43" s="1601">
        <f>IF(Toggle=Projection,'PIS projection'!K36,IF(Toggle=True_up,0,"Set Toggle!"))</f>
        <v>0</v>
      </c>
      <c r="L43" s="1653">
        <f t="shared" si="0"/>
        <v>26473.944599999999</v>
      </c>
      <c r="N43" s="747">
        <v>0</v>
      </c>
      <c r="O43" s="932">
        <f t="shared" si="4"/>
        <v>1</v>
      </c>
      <c r="P43" s="750">
        <f t="shared" si="5"/>
        <v>5891850.5981543828</v>
      </c>
      <c r="Q43" s="751">
        <f t="shared" si="1"/>
        <v>26473.944599999999</v>
      </c>
      <c r="R43" s="1197">
        <f t="shared" si="6"/>
        <v>453219.27678110637</v>
      </c>
      <c r="S43" s="1198">
        <f t="shared" si="7"/>
        <v>2036.4572769230767</v>
      </c>
      <c r="T43" s="284"/>
      <c r="U43" s="422">
        <f t="shared" si="2"/>
        <v>0</v>
      </c>
      <c r="V43" s="1195">
        <f t="shared" si="3"/>
        <v>0</v>
      </c>
      <c r="Y43" s="284"/>
      <c r="Z43" s="284"/>
      <c r="AA43" s="284"/>
      <c r="AB43" s="284"/>
      <c r="AC43" s="284"/>
      <c r="AD43" s="284"/>
      <c r="AE43" s="284"/>
      <c r="AF43" s="284"/>
      <c r="AG43" s="284"/>
      <c r="AH43" s="285"/>
    </row>
    <row r="44" spans="1:34" ht="13.5">
      <c r="A44" s="283"/>
      <c r="B44" s="284" t="s">
        <v>282</v>
      </c>
      <c r="C44" s="292">
        <f>SUM(C31:C43)</f>
        <v>124889183.96801195</v>
      </c>
      <c r="D44" s="292">
        <f t="shared" ref="D44:K44" si="8">SUM(D31:D43)</f>
        <v>0</v>
      </c>
      <c r="E44" s="292">
        <f>SUM(E31:E43)</f>
        <v>117609.64000000001</v>
      </c>
      <c r="F44" s="292">
        <f>SUM(F31:F43)</f>
        <v>1193.92</v>
      </c>
      <c r="G44" s="292">
        <f t="shared" si="8"/>
        <v>0</v>
      </c>
      <c r="H44" s="292">
        <f t="shared" si="8"/>
        <v>0</v>
      </c>
      <c r="I44" s="292">
        <f t="shared" si="8"/>
        <v>0</v>
      </c>
      <c r="J44" s="292">
        <f t="shared" si="8"/>
        <v>11369074.478400005</v>
      </c>
      <c r="K44" s="292">
        <f t="shared" si="8"/>
        <v>0</v>
      </c>
      <c r="L44" s="292">
        <f>SUM(L31:L43)</f>
        <v>11487878.038400006</v>
      </c>
      <c r="N44" s="748">
        <f>SUM(N31:N43)</f>
        <v>0</v>
      </c>
      <c r="O44" s="284"/>
      <c r="P44" s="748">
        <f>SUM(P31:P43)</f>
        <v>906570934.06380832</v>
      </c>
      <c r="Q44" s="748">
        <f>SUM(Q31:Q43)</f>
        <v>112257256.87810007</v>
      </c>
      <c r="R44" s="1199">
        <f>SUM(R31:R43)</f>
        <v>69736225.697216034</v>
      </c>
      <c r="S44" s="1200">
        <f>SUM(S32:S43)</f>
        <v>8635173.6060076971</v>
      </c>
      <c r="T44"/>
      <c r="U44" s="748">
        <f>SUM(U31:U43)</f>
        <v>0</v>
      </c>
      <c r="V44" s="1200">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3" t="str">
        <f>"Input to Line "&amp;'Appendix A'!A39&amp;" of Appendix A"</f>
        <v>Input to Line 16 of Appendix A</v>
      </c>
      <c r="Q46" s="363"/>
      <c r="R46" s="303"/>
      <c r="S46" s="303"/>
      <c r="T46" s="363"/>
      <c r="U46" s="303"/>
      <c r="V46" s="363"/>
      <c r="W46" s="955">
        <f>IF(Toggle=True_up,"Not for true-up",SUM(R44:S44))</f>
        <v>78371399.303223729</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40" t="str">
        <f>"Input to Line "&amp;'Appendix A'!$A$72&amp;" of Appendix A"</f>
        <v>Input to Line 34 of Appendix A</v>
      </c>
      <c r="Q47" s="363"/>
      <c r="R47" s="301"/>
      <c r="S47" s="301"/>
      <c r="T47" s="363"/>
      <c r="U47" s="363"/>
      <c r="V47" s="2"/>
      <c r="W47" s="984">
        <f>IF(Toggle=True_up,"Not for true-up",SUM(V31:V43))</f>
        <v>0</v>
      </c>
      <c r="X47" s="284"/>
      <c r="Y47" s="284"/>
      <c r="Z47" s="284"/>
      <c r="AA47" s="284"/>
      <c r="AB47" s="284"/>
      <c r="AC47" s="284"/>
      <c r="AD47" s="284"/>
      <c r="AE47" s="284"/>
      <c r="AF47" s="284"/>
      <c r="AG47" s="284"/>
      <c r="AH47" s="285"/>
    </row>
    <row r="48" spans="1:34" ht="13.5" customHeight="1">
      <c r="A48" s="743" t="s">
        <v>139</v>
      </c>
      <c r="B48" s="743" t="s">
        <v>140</v>
      </c>
      <c r="C48" s="743" t="s">
        <v>141</v>
      </c>
      <c r="D48" s="744" t="s">
        <v>142</v>
      </c>
      <c r="E48" s="284"/>
      <c r="L48" s="284"/>
      <c r="M48" s="284"/>
      <c r="N48" s="284"/>
      <c r="O48" s="292"/>
      <c r="P48"/>
      <c r="Q48"/>
      <c r="R48"/>
      <c r="S48"/>
      <c r="T48" s="939"/>
      <c r="U48" s="363"/>
      <c r="V48" s="363"/>
      <c r="W48" s="939"/>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9" t="s">
        <v>1188</v>
      </c>
      <c r="Q49" s="1180"/>
      <c r="R49" s="1181"/>
      <c r="S49" s="1191">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4" t="s">
        <v>1194</v>
      </c>
      <c r="Q50" s="1181"/>
      <c r="R50" s="1181"/>
      <c r="S50" s="1185"/>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6" t="s">
        <v>147</v>
      </c>
      <c r="Q51" s="1188">
        <v>11.5</v>
      </c>
      <c r="R51" s="1175"/>
      <c r="S51" s="1182">
        <f t="shared" ref="S51:S62" si="9">+$L32/S$49/12*$Q51</f>
        <v>2061.4399353448366</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6" t="s">
        <v>148</v>
      </c>
      <c r="Q52" s="1188">
        <f>+Q51-1</f>
        <v>10.5</v>
      </c>
      <c r="R52" s="1175"/>
      <c r="S52" s="1182">
        <f t="shared" si="9"/>
        <v>2155.6002155172459</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6" t="s">
        <v>149</v>
      </c>
      <c r="Q53" s="1188">
        <f t="shared" ref="Q53:Q62" si="10">+Q52-1</f>
        <v>9.5</v>
      </c>
      <c r="R53" s="1175"/>
      <c r="S53" s="1182">
        <f t="shared" si="9"/>
        <v>141343.27372126444</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6" t="s">
        <v>150</v>
      </c>
      <c r="Q54" s="1188">
        <f t="shared" si="10"/>
        <v>8.5</v>
      </c>
      <c r="R54" s="1175"/>
      <c r="S54" s="1182">
        <f t="shared" si="9"/>
        <v>825.85437485632178</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6" t="s">
        <v>144</v>
      </c>
      <c r="Q55" s="1188">
        <f t="shared" si="10"/>
        <v>7.5</v>
      </c>
      <c r="R55" s="1175"/>
      <c r="S55" s="1182">
        <f t="shared" si="9"/>
        <v>5208.2439159482756</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6" t="s">
        <v>151</v>
      </c>
      <c r="Q56" s="1188">
        <f t="shared" si="10"/>
        <v>6.5</v>
      </c>
      <c r="R56" s="1175"/>
      <c r="S56" s="1182">
        <f t="shared" si="9"/>
        <v>-986.96100021551706</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6" t="s">
        <v>152</v>
      </c>
      <c r="Q57" s="1188">
        <f t="shared" si="10"/>
        <v>5.5</v>
      </c>
      <c r="R57" s="1175"/>
      <c r="S57" s="1182">
        <f t="shared" si="9"/>
        <v>660.92340890804599</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6" t="s">
        <v>153</v>
      </c>
      <c r="Q58" s="1188">
        <f t="shared" si="10"/>
        <v>4.5</v>
      </c>
      <c r="R58" s="1175"/>
      <c r="S58" s="1182">
        <f t="shared" si="9"/>
        <v>1435.137775862069</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6" t="s">
        <v>154</v>
      </c>
      <c r="Q59" s="1188">
        <f t="shared" si="10"/>
        <v>3.5</v>
      </c>
      <c r="R59" s="1175"/>
      <c r="S59" s="1182">
        <f t="shared" si="9"/>
        <v>141.82437147988506</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6" t="s">
        <v>155</v>
      </c>
      <c r="Q60" s="1188">
        <f t="shared" si="10"/>
        <v>2.5</v>
      </c>
      <c r="R60" s="1175"/>
      <c r="S60" s="1182">
        <f t="shared" si="9"/>
        <v>109.86211853448276</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6" t="s">
        <v>156</v>
      </c>
      <c r="Q61" s="1188">
        <f t="shared" si="10"/>
        <v>1.5</v>
      </c>
      <c r="R61" s="1175"/>
      <c r="S61" s="1182">
        <f t="shared" si="9"/>
        <v>62.158758189655174</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7" t="s">
        <v>157</v>
      </c>
      <c r="Q62" s="1189">
        <f t="shared" si="10"/>
        <v>0.5</v>
      </c>
      <c r="R62" s="1183"/>
      <c r="S62" s="1186">
        <f t="shared" si="9"/>
        <v>19.018638362068966</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90" t="s">
        <v>1189</v>
      </c>
      <c r="Q63" s="1177"/>
      <c r="R63" s="1177"/>
      <c r="S63" s="1178">
        <f>SUM(S51:S62)</f>
        <v>153036.37623405177</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9">
        <v>0</v>
      </c>
      <c r="E69" s="357" t="s">
        <v>648</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5"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zoomScaleNormal="100" workbookViewId="0">
      <selection activeCell="O10" sqref="O10"/>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8">
      <c r="A1" s="676" t="s">
        <v>365</v>
      </c>
      <c r="B1" s="1215"/>
      <c r="C1" s="1215"/>
      <c r="D1" s="1215"/>
      <c r="E1" s="1215"/>
      <c r="F1" s="1215"/>
      <c r="G1" s="1215"/>
      <c r="H1" s="1215"/>
      <c r="I1" s="1215"/>
      <c r="J1" s="1215"/>
      <c r="K1" s="1215"/>
      <c r="L1" s="1215"/>
      <c r="M1" s="1216"/>
      <c r="N1" s="1215"/>
      <c r="O1" s="1215"/>
      <c r="P1" s="1215"/>
      <c r="Q1" s="1215"/>
      <c r="R1" s="1215"/>
      <c r="S1" s="1215"/>
      <c r="T1" s="2"/>
      <c r="U1" s="2"/>
    </row>
    <row r="2" spans="1:21" ht="18">
      <c r="A2" s="676" t="s">
        <v>175</v>
      </c>
      <c r="B2" s="1215"/>
      <c r="C2" s="1215"/>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2" t="s">
        <v>1051</v>
      </c>
    </row>
    <row r="8" spans="1:21">
      <c r="C8" s="123"/>
      <c r="D8" s="112" t="s">
        <v>98</v>
      </c>
    </row>
    <row r="9" spans="1:21">
      <c r="A9" s="112">
        <v>3</v>
      </c>
      <c r="C9" s="112" t="s">
        <v>227</v>
      </c>
      <c r="D9" s="112">
        <f>+'Appendix A'!A272</f>
        <v>157</v>
      </c>
      <c r="F9" s="161" t="str">
        <f>'Appendix A'!C272</f>
        <v>Net Plant Carrying Charge without Depreciation</v>
      </c>
      <c r="M9" s="166">
        <f>+'Appendix A'!$H$272</f>
        <v>0.1068067483012004</v>
      </c>
    </row>
    <row r="10" spans="1:21">
      <c r="A10" s="112">
        <v>4</v>
      </c>
      <c r="C10" s="112" t="s">
        <v>283</v>
      </c>
      <c r="D10" s="112">
        <f>+'Appendix A'!A281</f>
        <v>164</v>
      </c>
      <c r="F10" s="161" t="str">
        <f>+'Appendix A'!C281</f>
        <v>Net Plant Carrying Charge per 100 Basis Point in ROE without Depreciation</v>
      </c>
      <c r="M10" s="885">
        <f>+'Appendix A'!$H$281</f>
        <v>0.11319340386459803</v>
      </c>
    </row>
    <row r="11" spans="1:21">
      <c r="A11" s="112">
        <v>5</v>
      </c>
      <c r="B11" s="112"/>
      <c r="C11" s="112" t="s">
        <v>215</v>
      </c>
      <c r="F11" t="s">
        <v>86</v>
      </c>
      <c r="M11" s="166">
        <f>+M10-M9</f>
        <v>6.3866555633976252E-3</v>
      </c>
    </row>
    <row r="12" spans="1:21">
      <c r="A12"/>
      <c r="B12" s="112"/>
      <c r="M12" s="166"/>
    </row>
    <row r="13" spans="1:21">
      <c r="A13" s="112">
        <v>6</v>
      </c>
      <c r="B13" s="112"/>
      <c r="C13" s="123" t="s">
        <v>1052</v>
      </c>
      <c r="M13" s="166"/>
    </row>
    <row r="14" spans="1:21">
      <c r="A14" s="112">
        <v>7</v>
      </c>
      <c r="C14" s="112" t="s">
        <v>228</v>
      </c>
      <c r="D14" s="112">
        <f>+'Appendix A'!A273</f>
        <v>158</v>
      </c>
      <c r="F14" s="161" t="str">
        <f>+'Appendix A'!C273</f>
        <v>Net Plant Carrying Charge without Depreciation, Return, nor Income Taxes</v>
      </c>
      <c r="M14" s="166">
        <f>+'Appendix A'!$H$273</f>
        <v>2.4946327635462836E-2</v>
      </c>
    </row>
    <row r="15" spans="1:21">
      <c r="C15" s="900"/>
    </row>
    <row r="16" spans="1:21">
      <c r="C16" s="159" t="s">
        <v>197</v>
      </c>
      <c r="J16" s="165"/>
      <c r="M16" s="411"/>
      <c r="N16" s="2"/>
      <c r="O16" s="2"/>
      <c r="P16" s="2"/>
      <c r="Q16" s="460"/>
    </row>
    <row r="17" spans="1:32">
      <c r="C17" s="1043" t="s">
        <v>171</v>
      </c>
    </row>
    <row r="18" spans="1:32" s="462" customFormat="1">
      <c r="A18" s="112"/>
      <c r="B18" s="161"/>
      <c r="C18" s="1209" t="s">
        <v>1195</v>
      </c>
      <c r="D18" s="112"/>
      <c r="E18" s="112"/>
      <c r="M18" s="165"/>
    </row>
    <row r="19" spans="1:32" ht="13.5" thickBot="1">
      <c r="C19" s="901" t="s">
        <v>1019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578" t="s">
        <v>1115</v>
      </c>
      <c r="F20" s="2579"/>
      <c r="G20" s="2579"/>
      <c r="H20" s="2578" t="s">
        <v>1446</v>
      </c>
      <c r="I20" s="2580"/>
      <c r="J20" s="2581"/>
      <c r="K20" s="2578" t="s">
        <v>1447</v>
      </c>
      <c r="L20" s="2580"/>
      <c r="M20" s="2581"/>
      <c r="N20" s="2582"/>
      <c r="O20" s="2579"/>
      <c r="P20" s="2579"/>
      <c r="Q20" s="127"/>
      <c r="R20" s="116"/>
      <c r="S20" s="116"/>
      <c r="T20" s="461"/>
    </row>
    <row r="21" spans="1:32">
      <c r="A21" s="112">
        <f>A14+1</f>
        <v>8</v>
      </c>
      <c r="B21" s="1205" t="s">
        <v>162</v>
      </c>
      <c r="C21" s="151" t="s">
        <v>81</v>
      </c>
      <c r="D21" s="132"/>
      <c r="E21" s="1040"/>
      <c r="F21" s="177"/>
      <c r="G21" s="134"/>
      <c r="H21" s="1204">
        <v>58</v>
      </c>
      <c r="I21" s="136"/>
      <c r="J21" s="134"/>
      <c r="K21" s="1204">
        <v>58</v>
      </c>
      <c r="L21" s="177"/>
      <c r="M21" s="133"/>
      <c r="N21" s="1040"/>
      <c r="O21" s="177"/>
      <c r="P21" s="133"/>
      <c r="Q21" s="127"/>
      <c r="R21" s="116"/>
      <c r="S21" s="116"/>
    </row>
    <row r="22" spans="1:32" ht="38.25">
      <c r="A22" s="112">
        <f t="shared" ref="A22:A50" si="0">+A21+1</f>
        <v>9</v>
      </c>
      <c r="B22" s="1205" t="s">
        <v>163</v>
      </c>
      <c r="C22" s="151" t="s">
        <v>82</v>
      </c>
      <c r="D22" s="132" t="s">
        <v>222</v>
      </c>
      <c r="E22" s="1041" t="s">
        <v>31</v>
      </c>
      <c r="F22" s="122"/>
      <c r="G22" s="315"/>
      <c r="H22" s="1041" t="s">
        <v>31</v>
      </c>
      <c r="I22" s="132"/>
      <c r="J22" s="317"/>
      <c r="K22" s="1041" t="s">
        <v>31</v>
      </c>
      <c r="L22" s="132"/>
      <c r="M22" s="315"/>
      <c r="N22" s="1041"/>
      <c r="O22" s="132"/>
      <c r="P22" s="315"/>
      <c r="Q22" s="127"/>
      <c r="R22" s="116"/>
      <c r="S22" s="896"/>
    </row>
    <row r="23" spans="1:32" ht="13.5">
      <c r="A23" s="112">
        <f t="shared" si="0"/>
        <v>10</v>
      </c>
      <c r="B23" s="1205" t="s">
        <v>164</v>
      </c>
      <c r="C23" s="151" t="s">
        <v>1160</v>
      </c>
      <c r="D23" s="132"/>
      <c r="E23" s="1211">
        <v>0</v>
      </c>
      <c r="F23" s="221"/>
      <c r="G23" s="316"/>
      <c r="H23" s="1102">
        <f>Inputs!$E$8</f>
        <v>50</v>
      </c>
      <c r="I23" s="180"/>
      <c r="J23" s="316"/>
      <c r="K23" s="1102">
        <f>Inputs!$E$8</f>
        <v>50</v>
      </c>
      <c r="L23" s="222"/>
      <c r="M23" s="316"/>
      <c r="N23" s="1041"/>
      <c r="O23" s="222"/>
      <c r="P23" s="316"/>
      <c r="Q23" s="127"/>
      <c r="R23" s="117"/>
      <c r="S23" s="897"/>
      <c r="V23" s="2374" t="s">
        <v>1962</v>
      </c>
    </row>
    <row r="24" spans="1:32" ht="25.5">
      <c r="A24" s="112">
        <f t="shared" si="0"/>
        <v>11</v>
      </c>
      <c r="B24" s="1205" t="s">
        <v>43</v>
      </c>
      <c r="C24" s="151" t="str">
        <f>'Appendix A'!H213*100&amp;"% ROE"</f>
        <v>9.8% ROE</v>
      </c>
      <c r="D24" s="130"/>
      <c r="E24" s="223">
        <f>$M$9</f>
        <v>0.1068067483012004</v>
      </c>
      <c r="F24" s="122"/>
      <c r="G24" s="317"/>
      <c r="H24" s="223">
        <f>$M$9</f>
        <v>0.1068067483012004</v>
      </c>
      <c r="I24" s="132"/>
      <c r="J24" s="317"/>
      <c r="K24" s="223">
        <f>$M$9</f>
        <v>0.1068067483012004</v>
      </c>
      <c r="L24" s="116"/>
      <c r="M24" s="317"/>
      <c r="N24" s="223">
        <f>$M$9</f>
        <v>0.1068067483012004</v>
      </c>
      <c r="O24" s="116"/>
      <c r="P24" s="317"/>
      <c r="Q24" s="127"/>
      <c r="R24" s="117"/>
      <c r="S24" s="358"/>
    </row>
    <row r="25" spans="1:32">
      <c r="A25" s="112">
        <f t="shared" si="0"/>
        <v>12</v>
      </c>
      <c r="B25" s="571" t="s">
        <v>666</v>
      </c>
      <c r="C25" s="189" t="s">
        <v>85</v>
      </c>
      <c r="D25" s="130"/>
      <c r="E25" s="223">
        <f>(E$23/100*$M$11)+E$24</f>
        <v>0.1068067483012004</v>
      </c>
      <c r="F25" s="122"/>
      <c r="G25" s="314"/>
      <c r="H25" s="223">
        <f>(H$23/100*$M$11)+H$24</f>
        <v>0.11000007608289922</v>
      </c>
      <c r="I25" s="116"/>
      <c r="J25" s="314"/>
      <c r="K25" s="223">
        <f>(K$23/100*$M$11)+K$24</f>
        <v>0.11000007608289922</v>
      </c>
      <c r="L25" s="348"/>
      <c r="M25" s="314"/>
      <c r="N25" s="223">
        <f>(N$23/100*$M$11)+N$24</f>
        <v>0.1068067483012004</v>
      </c>
      <c r="O25" s="348"/>
      <c r="P25" s="314"/>
      <c r="Q25" s="127"/>
      <c r="R25" s="117"/>
      <c r="S25" s="898"/>
    </row>
    <row r="26" spans="1:32">
      <c r="A26" s="112">
        <f t="shared" si="0"/>
        <v>13</v>
      </c>
      <c r="B26" s="571" t="s">
        <v>1187</v>
      </c>
      <c r="C26" s="151" t="s">
        <v>165</v>
      </c>
      <c r="D26" s="132"/>
      <c r="E26" s="1203">
        <v>0</v>
      </c>
      <c r="F26" s="136"/>
      <c r="G26" s="135"/>
      <c r="H26" s="1203">
        <f>'Gateway PIS Monthly'!M106</f>
        <v>1456099145.813354</v>
      </c>
      <c r="I26" s="1633"/>
      <c r="J26" s="135"/>
      <c r="K26" s="1042">
        <f>'Att 6 - Est &amp; Reconcile WS'!S44-('Att 6 - Est &amp; Reconcile WS'!S63*0.5)</f>
        <v>8558655.4178906716</v>
      </c>
      <c r="L26" s="136">
        <f>K36-0.5*L36</f>
        <v>0</v>
      </c>
      <c r="M26" s="135"/>
      <c r="N26" s="1042">
        <v>0</v>
      </c>
      <c r="O26" s="136"/>
      <c r="P26" s="135"/>
      <c r="Q26" s="127"/>
      <c r="R26" s="116"/>
      <c r="S26" s="116"/>
    </row>
    <row r="27" spans="1:32">
      <c r="A27" s="112">
        <f t="shared" si="0"/>
        <v>14</v>
      </c>
      <c r="B27" s="571" t="s">
        <v>1186</v>
      </c>
      <c r="C27" s="127" t="s">
        <v>1190</v>
      </c>
      <c r="D27" s="132"/>
      <c r="E27" s="1042">
        <f>IF(E21=0,0,E26/E21)</f>
        <v>0</v>
      </c>
      <c r="F27" s="122"/>
      <c r="G27" s="135"/>
      <c r="H27" s="1042">
        <f>IF(H26=0,0,H26/H21)</f>
        <v>25105157.686437137</v>
      </c>
      <c r="I27" s="1635"/>
      <c r="J27" s="135"/>
      <c r="K27" s="1042">
        <f>'Att 6 - Est &amp; Reconcile WS'!S63</f>
        <v>153036.37623405177</v>
      </c>
      <c r="L27" s="136"/>
      <c r="M27" s="135"/>
      <c r="N27" s="1042">
        <f>IF(N26=0,0,N26/N21)</f>
        <v>0</v>
      </c>
      <c r="O27" s="136"/>
      <c r="P27" s="135"/>
      <c r="Q27" s="127"/>
      <c r="R27" s="116"/>
      <c r="S27" s="116"/>
    </row>
    <row r="28" spans="1:32" s="2" customFormat="1" ht="13.5" thickBot="1">
      <c r="A28" s="112"/>
      <c r="B28" s="1205"/>
      <c r="C28" s="151"/>
      <c r="D28" s="130"/>
      <c r="E28" s="1168"/>
      <c r="F28" s="156"/>
      <c r="G28" s="153"/>
      <c r="H28" s="1168"/>
      <c r="I28" s="152"/>
      <c r="J28" s="153"/>
      <c r="K28" s="1168"/>
      <c r="L28" s="152"/>
      <c r="M28" s="153"/>
      <c r="N28" s="1168"/>
      <c r="O28" s="152"/>
      <c r="P28" s="153"/>
      <c r="Q28" s="215"/>
      <c r="R28" s="899"/>
      <c r="S28" s="899"/>
      <c r="T28"/>
    </row>
    <row r="29" spans="1:32" ht="54" customHeight="1" thickBot="1">
      <c r="B29" s="168"/>
      <c r="C29" s="895"/>
      <c r="D29" s="890" t="s">
        <v>84</v>
      </c>
      <c r="E29" s="1169" t="s">
        <v>1187</v>
      </c>
      <c r="F29" s="1170" t="s">
        <v>94</v>
      </c>
      <c r="G29" s="891" t="s">
        <v>93</v>
      </c>
      <c r="H29" s="1169" t="s">
        <v>1187</v>
      </c>
      <c r="I29" s="1170" t="s">
        <v>94</v>
      </c>
      <c r="J29" s="1171" t="s">
        <v>93</v>
      </c>
      <c r="K29" s="1169" t="s">
        <v>1187</v>
      </c>
      <c r="L29" s="1170" t="s">
        <v>94</v>
      </c>
      <c r="M29" s="1171" t="s">
        <v>93</v>
      </c>
      <c r="N29" s="1169" t="s">
        <v>1187</v>
      </c>
      <c r="O29" s="1170" t="s">
        <v>94</v>
      </c>
      <c r="P29" s="1171" t="s">
        <v>93</v>
      </c>
      <c r="Q29" s="892" t="s">
        <v>282</v>
      </c>
      <c r="R29" s="893" t="s">
        <v>97</v>
      </c>
      <c r="S29" s="894" t="s">
        <v>606</v>
      </c>
      <c r="T29" s="1212" t="s">
        <v>1196</v>
      </c>
    </row>
    <row r="30" spans="1:32">
      <c r="A30" s="112">
        <f>+A27+1</f>
        <v>15</v>
      </c>
      <c r="B30" s="1285" t="str">
        <f>D30&amp;C30</f>
        <v>2010W  9.8 % ROE</v>
      </c>
      <c r="C30" s="201" t="str">
        <f>"W  "&amp;'Appendix A'!H213*100&amp;" % ROE"</f>
        <v>W  9.8 % ROE</v>
      </c>
      <c r="D30" s="1210">
        <v>2010</v>
      </c>
      <c r="E30" s="140">
        <f>E$26</f>
        <v>0</v>
      </c>
      <c r="F30" s="152">
        <f>+$E$27</f>
        <v>0</v>
      </c>
      <c r="G30" s="152">
        <f>+E30*E$24+F30</f>
        <v>0</v>
      </c>
      <c r="H30" s="1620">
        <f>+'Gateway PIS Monthly'!M34</f>
        <v>287225424.6045447</v>
      </c>
      <c r="I30" s="1646">
        <f>SUM('Gateway PIS Monthly'!J22:J34)</f>
        <v>4836782.9695761502</v>
      </c>
      <c r="J30" s="152">
        <f>+H30*H$24+I30</f>
        <v>35514396.601019174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35514396.601019174</v>
      </c>
      <c r="R30" s="127"/>
      <c r="S30" s="139">
        <f>+Q30</f>
        <v>35514396.601019174</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603">
        <f>H30</f>
        <v>287225424.6045447</v>
      </c>
      <c r="I31" s="152">
        <f>I30</f>
        <v>4836782.9695761502</v>
      </c>
      <c r="J31" s="152">
        <f>+H31*H$25+I31</f>
        <v>36431601.529019102</v>
      </c>
      <c r="K31" s="140">
        <f t="shared" si="1"/>
        <v>0</v>
      </c>
      <c r="L31" s="136">
        <f t="shared" si="2"/>
        <v>0</v>
      </c>
      <c r="M31" s="152">
        <f>+K31*K$25+L31</f>
        <v>0</v>
      </c>
      <c r="N31" s="140">
        <f>+N30</f>
        <v>0</v>
      </c>
      <c r="O31" s="136">
        <f>+O30</f>
        <v>0</v>
      </c>
      <c r="P31" s="152">
        <f>+N31*N$25+O31</f>
        <v>0</v>
      </c>
      <c r="Q31" s="149">
        <f t="shared" si="3"/>
        <v>36431601.529019102</v>
      </c>
      <c r="R31" s="216">
        <f>+Q31</f>
        <v>36431601.529019102</v>
      </c>
      <c r="S31" s="126"/>
      <c r="T31" s="1213">
        <f>R31-S30</f>
        <v>917204.92799992859</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611">
        <f>+'Gateway PIS Monthly'!M46</f>
        <v>784113653.19373691</v>
      </c>
      <c r="I32" s="1646">
        <f>SUM('Gateway PIS Monthly'!J35:J46)</f>
        <v>13727953.751135059</v>
      </c>
      <c r="J32" s="152">
        <f>+H32*H$24+I32</f>
        <v>97476583.347333252</v>
      </c>
      <c r="K32" s="140">
        <f t="shared" si="1"/>
        <v>0</v>
      </c>
      <c r="L32" s="138">
        <f t="shared" si="2"/>
        <v>0</v>
      </c>
      <c r="M32" s="152">
        <f>+K32*K$24+L32</f>
        <v>0</v>
      </c>
      <c r="N32" s="140">
        <f>+N$26</f>
        <v>0</v>
      </c>
      <c r="O32" s="138">
        <f>+N$27</f>
        <v>0</v>
      </c>
      <c r="P32" s="152">
        <f>+N32*N$24+O32</f>
        <v>0</v>
      </c>
      <c r="Q32" s="149">
        <f t="shared" si="3"/>
        <v>97476583.347333252</v>
      </c>
      <c r="R32" s="127"/>
      <c r="S32" s="139">
        <f>+Q32</f>
        <v>97476583.347333252</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603">
        <f>H32</f>
        <v>784113653.19373691</v>
      </c>
      <c r="I33" s="898">
        <f t="shared" ref="I33:I69" si="9">I32</f>
        <v>13727953.751135059</v>
      </c>
      <c r="J33" s="152">
        <f>+H33*H$25+I33</f>
        <v>99980515.260086179</v>
      </c>
      <c r="K33" s="140">
        <f t="shared" si="1"/>
        <v>0</v>
      </c>
      <c r="L33" s="138">
        <f t="shared" si="2"/>
        <v>0</v>
      </c>
      <c r="M33" s="152">
        <f>+K33*K$25+L33</f>
        <v>0</v>
      </c>
      <c r="N33" s="140">
        <v>0</v>
      </c>
      <c r="O33" s="138">
        <f>+O32</f>
        <v>0</v>
      </c>
      <c r="P33" s="152">
        <f>+N33*N$25+O33</f>
        <v>0</v>
      </c>
      <c r="Q33" s="149">
        <f t="shared" si="3"/>
        <v>99980515.260086179</v>
      </c>
      <c r="R33" s="216">
        <f>+Q33</f>
        <v>99980515.260086179</v>
      </c>
      <c r="S33" s="126"/>
      <c r="T33" s="1213">
        <f>R33-S32</f>
        <v>2503931.9127529263</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620">
        <f>+'Gateway PIS Monthly'!M58</f>
        <v>785864996.70524514</v>
      </c>
      <c r="I34" s="1670">
        <f>SUM('Gateway PIS Monthly'!J47:J58)</f>
        <v>13960854.81519396</v>
      </c>
      <c r="J34" s="152">
        <f>+H34*H$24+I34</f>
        <v>97896539.717014775</v>
      </c>
      <c r="K34" s="140">
        <f t="shared" si="1"/>
        <v>0</v>
      </c>
      <c r="L34" s="138">
        <f t="shared" si="2"/>
        <v>0</v>
      </c>
      <c r="M34" s="152">
        <f>+K34*K$24+L34</f>
        <v>0</v>
      </c>
      <c r="N34" s="140">
        <v>0</v>
      </c>
      <c r="O34" s="138">
        <f t="shared" ref="O34:O70" si="10">+O33</f>
        <v>0</v>
      </c>
      <c r="P34" s="152">
        <f>+N34*N$24+O34</f>
        <v>0</v>
      </c>
      <c r="Q34" s="149">
        <f t="shared" si="3"/>
        <v>97896539.717014775</v>
      </c>
      <c r="R34" s="127"/>
      <c r="S34" s="139">
        <f>+Q34</f>
        <v>97896539.717014775</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603">
        <f>H34</f>
        <v>785864996.70524514</v>
      </c>
      <c r="I35" s="898">
        <f t="shared" si="9"/>
        <v>13960854.81519396</v>
      </c>
      <c r="J35" s="152">
        <f>+H35*H$25+I35</f>
        <v>100406064.24365827</v>
      </c>
      <c r="K35" s="140">
        <f t="shared" si="1"/>
        <v>0</v>
      </c>
      <c r="L35" s="138">
        <f t="shared" si="2"/>
        <v>0</v>
      </c>
      <c r="M35" s="152">
        <f>+K35*K$25+L35</f>
        <v>0</v>
      </c>
      <c r="N35" s="140">
        <v>0</v>
      </c>
      <c r="O35" s="138">
        <f t="shared" si="10"/>
        <v>0</v>
      </c>
      <c r="P35" s="152">
        <f>+N35*N$25+O35</f>
        <v>0</v>
      </c>
      <c r="Q35" s="149">
        <f t="shared" si="3"/>
        <v>100406064.24365827</v>
      </c>
      <c r="R35" s="216">
        <f>+Q35</f>
        <v>100406064.24365827</v>
      </c>
      <c r="S35" s="126"/>
      <c r="T35" s="1213">
        <f>R35-S34</f>
        <v>2509524.5266434997</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620">
        <f>+'Gateway PIS Monthly'!M70</f>
        <v>1039140448.7705153</v>
      </c>
      <c r="I36" s="1670">
        <f>SUM('Gateway PIS Monthly'!J59:J70)</f>
        <v>18682868.780114934</v>
      </c>
      <c r="J36" s="152">
        <f>+H36*H$24+I36</f>
        <v>129670081.14154379</v>
      </c>
      <c r="K36" s="1603">
        <f t="shared" si="1"/>
        <v>0</v>
      </c>
      <c r="L36" s="898">
        <f t="shared" si="2"/>
        <v>0</v>
      </c>
      <c r="M36" s="1635">
        <f>+K36*K$24+L36</f>
        <v>0</v>
      </c>
      <c r="N36" s="140">
        <v>0</v>
      </c>
      <c r="O36" s="138">
        <f t="shared" si="10"/>
        <v>0</v>
      </c>
      <c r="P36" s="152">
        <f>+N36*N$24+O36</f>
        <v>0</v>
      </c>
      <c r="Q36" s="149">
        <f t="shared" si="3"/>
        <v>129670081.14154379</v>
      </c>
      <c r="R36" s="127"/>
      <c r="S36" s="139">
        <f>+Q36</f>
        <v>129670081.14154379</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132988397.20568965</v>
      </c>
      <c r="K37" s="1603">
        <f t="shared" si="1"/>
        <v>0</v>
      </c>
      <c r="L37" s="898">
        <f t="shared" si="2"/>
        <v>0</v>
      </c>
      <c r="M37" s="1635">
        <f>+K37*K$25+L37</f>
        <v>0</v>
      </c>
      <c r="N37" s="140">
        <v>0</v>
      </c>
      <c r="O37" s="138">
        <f t="shared" si="10"/>
        <v>0</v>
      </c>
      <c r="P37" s="152">
        <f>+N37*N$25+O37</f>
        <v>0</v>
      </c>
      <c r="Q37" s="149">
        <f t="shared" si="3"/>
        <v>132988397.20568965</v>
      </c>
      <c r="R37" s="216">
        <f>+Q37</f>
        <v>132988397.20568965</v>
      </c>
      <c r="S37" s="126"/>
      <c r="T37" s="1213">
        <f>R37-S36</f>
        <v>3318316.0641458631</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620">
        <f>'Gateway PIS Monthly'!M82</f>
        <v>1164054967.550472</v>
      </c>
      <c r="I38" s="1670">
        <f>SUM('Gateway PIS Monthly'!J71:J82)</f>
        <v>21135829.272040218</v>
      </c>
      <c r="J38" s="152">
        <f>+H38*H$24+I38</f>
        <v>145464755.19996548</v>
      </c>
      <c r="K38" s="140">
        <f t="shared" si="1"/>
        <v>0</v>
      </c>
      <c r="L38" s="138">
        <f t="shared" si="2"/>
        <v>0</v>
      </c>
      <c r="M38" s="152">
        <f>+K38*K$24+L38</f>
        <v>0</v>
      </c>
      <c r="N38" s="140">
        <v>0</v>
      </c>
      <c r="O38" s="138">
        <f t="shared" si="10"/>
        <v>0</v>
      </c>
      <c r="P38" s="152">
        <f>+N38*N$24+O38</f>
        <v>0</v>
      </c>
      <c r="Q38" s="149">
        <f t="shared" si="3"/>
        <v>145464755.19996548</v>
      </c>
      <c r="R38" s="127"/>
      <c r="S38" s="139">
        <f>+Q38</f>
        <v>145464755.19996548</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149181964.26726893</v>
      </c>
      <c r="K39" s="140">
        <f t="shared" si="1"/>
        <v>0</v>
      </c>
      <c r="L39" s="138">
        <f t="shared" si="2"/>
        <v>0</v>
      </c>
      <c r="M39" s="152">
        <f>+K39*K$25+L39</f>
        <v>0</v>
      </c>
      <c r="N39" s="140">
        <v>0</v>
      </c>
      <c r="O39" s="138">
        <f t="shared" si="10"/>
        <v>0</v>
      </c>
      <c r="P39" s="152">
        <f>+N39*N$25+O39</f>
        <v>0</v>
      </c>
      <c r="Q39" s="149">
        <f t="shared" si="3"/>
        <v>149181964.26726893</v>
      </c>
      <c r="R39" s="216">
        <f>+Q39</f>
        <v>149181964.26726893</v>
      </c>
      <c r="S39" s="126"/>
      <c r="T39" s="1213">
        <f>R39-S38</f>
        <v>3717209.0673034489</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620">
        <f>'Gateway PIS Monthly'!M94</f>
        <v>1350166903.3483121</v>
      </c>
      <c r="I40" s="1670">
        <f>SUM('Gateway PIS Monthly'!J83:J94)</f>
        <v>24782099.925739925</v>
      </c>
      <c r="J40" s="152">
        <f>+H40*H$24+I40</f>
        <v>168989036.53627425</v>
      </c>
      <c r="K40" s="2339">
        <f>$K$26*(IF($D40=data_year+1,1,0))</f>
        <v>0</v>
      </c>
      <c r="L40" s="2340">
        <f t="shared" si="2"/>
        <v>0</v>
      </c>
      <c r="M40" s="2341">
        <f>+K40*K$24+L40</f>
        <v>0</v>
      </c>
      <c r="N40" s="140">
        <v>0</v>
      </c>
      <c r="O40" s="138">
        <f t="shared" si="10"/>
        <v>0</v>
      </c>
      <c r="P40" s="152">
        <f>+N40*N$24+O40</f>
        <v>0</v>
      </c>
      <c r="Q40" s="149">
        <f t="shared" si="3"/>
        <v>168989036.53627425</v>
      </c>
      <c r="R40" s="127"/>
      <c r="S40" s="139">
        <f>+Q40</f>
        <v>168989036.53627425</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173300562.01866668</v>
      </c>
      <c r="K41" s="2339">
        <f t="shared" si="1"/>
        <v>0</v>
      </c>
      <c r="L41" s="2340">
        <f t="shared" si="2"/>
        <v>0</v>
      </c>
      <c r="M41" s="2341">
        <f>+K41*K$25+L41</f>
        <v>0</v>
      </c>
      <c r="N41" s="140">
        <v>0</v>
      </c>
      <c r="O41" s="138">
        <f t="shared" si="10"/>
        <v>0</v>
      </c>
      <c r="P41" s="152">
        <f>+N41*N$25+O41</f>
        <v>0</v>
      </c>
      <c r="Q41" s="149">
        <f t="shared" si="3"/>
        <v>173300562.01866668</v>
      </c>
      <c r="R41" s="216">
        <f>+Q41</f>
        <v>173300562.01866668</v>
      </c>
      <c r="S41" s="126"/>
      <c r="T41" s="1213">
        <f>R41-S40</f>
        <v>4311525.4823924303</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620">
        <f>'Gateway PIS Monthly'!M106</f>
        <v>1456099145.813354</v>
      </c>
      <c r="I42" s="1670">
        <f>SUM('Gateway PIS Monthly'!J94:J106)</f>
        <v>29262101.167722683</v>
      </c>
      <c r="J42" s="152">
        <f>+H42*H$24+I42</f>
        <v>184783316.13620248</v>
      </c>
      <c r="K42" s="140">
        <f t="shared" si="1"/>
        <v>8558655.4178906716</v>
      </c>
      <c r="L42" s="138">
        <f t="shared" si="2"/>
        <v>153036.37623405177</v>
      </c>
      <c r="M42" s="1635">
        <f>+K42*K$24+L42</f>
        <v>1067158.5312494058</v>
      </c>
      <c r="N42" s="140">
        <v>0</v>
      </c>
      <c r="O42" s="138">
        <f t="shared" si="10"/>
        <v>0</v>
      </c>
      <c r="P42" s="152">
        <f>+N42*N$24+O42</f>
        <v>0</v>
      </c>
      <c r="Q42" s="149">
        <f t="shared" si="3"/>
        <v>185850474.66745189</v>
      </c>
      <c r="R42" s="127"/>
      <c r="S42" s="139">
        <f>+Q42</f>
        <v>185850474.66745189</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1456099145.813354</v>
      </c>
      <c r="I43" s="138">
        <f>I42</f>
        <v>29262101.167722683</v>
      </c>
      <c r="J43" s="152">
        <f>+H43*H$25+I43</f>
        <v>189433117.99143618</v>
      </c>
      <c r="K43" s="140">
        <f t="shared" si="1"/>
        <v>8558655.4178906716</v>
      </c>
      <c r="L43" s="138">
        <f t="shared" si="2"/>
        <v>153036.37623405177</v>
      </c>
      <c r="M43" s="152">
        <f>+K43*K$25+L43</f>
        <v>1094489.1233693431</v>
      </c>
      <c r="N43" s="140">
        <v>0</v>
      </c>
      <c r="O43" s="138">
        <f t="shared" si="10"/>
        <v>0</v>
      </c>
      <c r="P43" s="152">
        <f>+N43*N$25+O43</f>
        <v>0</v>
      </c>
      <c r="Q43" s="149">
        <f t="shared" si="3"/>
        <v>190527607.11480552</v>
      </c>
      <c r="R43" s="216">
        <f>+Q43</f>
        <v>190527607.11480552</v>
      </c>
      <c r="S43" s="126"/>
      <c r="T43" s="1213">
        <f>R43-S42</f>
        <v>4677132.4473536313</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40">
        <v>0</v>
      </c>
      <c r="I44" s="138">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13">
        <f>R45-S44</f>
        <v>0</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13">
        <f>R47-S46</f>
        <v>0</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3">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3">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3">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3">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3">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3">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3">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3">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3">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3">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3">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01"/>
      <c r="G71" s="1201"/>
      <c r="H71" s="1202">
        <v>0</v>
      </c>
      <c r="I71" s="1201" t="s">
        <v>96</v>
      </c>
      <c r="J71" s="428"/>
      <c r="K71" s="1202">
        <v>0</v>
      </c>
      <c r="L71" s="1201" t="s">
        <v>96</v>
      </c>
      <c r="M71" s="145" t="s">
        <v>95</v>
      </c>
      <c r="N71" s="1202">
        <v>0</v>
      </c>
      <c r="O71" s="1201" t="s">
        <v>96</v>
      </c>
      <c r="P71" s="428"/>
      <c r="Q71" s="150"/>
      <c r="R71" s="217">
        <f>+Q71</f>
        <v>0</v>
      </c>
      <c r="S71" s="128"/>
      <c r="T71" s="1214">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2"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zoomScale="85" zoomScaleNormal="85" workbookViewId="0">
      <selection activeCell="O10" sqref="O10"/>
    </sheetView>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7"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7"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7">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7" ht="15.75">
      <c r="A4" s="369" t="s">
        <v>1967</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7">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7" s="350" customFormat="1" ht="13.5" thickBot="1">
      <c r="A6" s="412"/>
      <c r="B6" s="1526"/>
      <c r="C6" s="1526"/>
      <c r="D6" s="1526"/>
      <c r="E6" s="412"/>
      <c r="F6" s="412"/>
      <c r="G6" s="412"/>
      <c r="H6" s="412"/>
      <c r="I6" s="412"/>
      <c r="J6" s="412"/>
      <c r="K6" s="412"/>
      <c r="L6" s="412"/>
      <c r="M6" s="412"/>
      <c r="N6" s="412"/>
      <c r="O6" s="412"/>
      <c r="P6" s="412"/>
      <c r="Q6" s="412"/>
      <c r="R6" s="412"/>
      <c r="S6" s="412"/>
      <c r="T6" s="412"/>
      <c r="U6" s="412"/>
      <c r="V6" s="412"/>
      <c r="W6" s="412"/>
      <c r="X6" s="412"/>
      <c r="Y6" s="412"/>
      <c r="Z6" s="412"/>
    </row>
    <row r="7" spans="1:27" s="350" customFormat="1" ht="13.5" thickBot="1">
      <c r="B7" s="1516"/>
      <c r="C7" s="1516"/>
      <c r="D7" s="1516"/>
      <c r="E7" s="2588" t="s">
        <v>458</v>
      </c>
      <c r="F7" s="2589"/>
      <c r="H7" s="2584" t="s">
        <v>459</v>
      </c>
      <c r="I7" s="2585"/>
      <c r="K7" s="2584" t="s">
        <v>460</v>
      </c>
      <c r="L7" s="2585"/>
      <c r="N7" s="2584" t="s">
        <v>461</v>
      </c>
      <c r="O7" s="2585"/>
      <c r="Q7" s="2584" t="s">
        <v>683</v>
      </c>
      <c r="R7" s="2585"/>
      <c r="T7" s="2584" t="s">
        <v>684</v>
      </c>
      <c r="U7" s="2585"/>
      <c r="W7" s="2584" t="s">
        <v>462</v>
      </c>
      <c r="X7" s="2585"/>
      <c r="Z7" s="663" t="s">
        <v>537</v>
      </c>
    </row>
    <row r="8" spans="1:27" s="350" customFormat="1" ht="13.5" thickBot="1">
      <c r="B8" s="666" t="s">
        <v>694</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7" s="350" customFormat="1" ht="13.5" thickBot="1">
      <c r="B9" s="672"/>
      <c r="C9" s="673"/>
      <c r="D9" s="674"/>
      <c r="E9" s="1528" t="s">
        <v>444</v>
      </c>
      <c r="F9" s="1529" t="s">
        <v>445</v>
      </c>
      <c r="G9" s="670"/>
      <c r="H9" s="1528" t="s">
        <v>446</v>
      </c>
      <c r="I9" s="1529" t="s">
        <v>447</v>
      </c>
      <c r="J9" s="670"/>
      <c r="K9" s="1528" t="s">
        <v>448</v>
      </c>
      <c r="L9" s="1529" t="s">
        <v>449</v>
      </c>
      <c r="M9" s="670"/>
      <c r="N9" s="1528" t="s">
        <v>475</v>
      </c>
      <c r="O9" s="1529" t="s">
        <v>476</v>
      </c>
      <c r="P9" s="670"/>
      <c r="Q9" s="1528" t="s">
        <v>450</v>
      </c>
      <c r="R9" s="1529" t="s">
        <v>477</v>
      </c>
      <c r="S9" s="670"/>
      <c r="T9" s="1530" t="s">
        <v>478</v>
      </c>
      <c r="U9" s="1531" t="s">
        <v>479</v>
      </c>
      <c r="V9" s="675"/>
      <c r="W9" s="1530" t="s">
        <v>480</v>
      </c>
      <c r="X9" s="1531" t="s">
        <v>481</v>
      </c>
      <c r="Y9" s="675"/>
      <c r="Z9" s="1532" t="s">
        <v>670</v>
      </c>
      <c r="AA9" s="1525"/>
    </row>
    <row r="10" spans="1:27" s="350" customFormat="1" ht="14.25" customHeight="1">
      <c r="B10" s="731">
        <v>1</v>
      </c>
      <c r="C10" s="732">
        <v>350.2</v>
      </c>
      <c r="D10" s="669" t="s">
        <v>186</v>
      </c>
      <c r="E10" s="820"/>
      <c r="F10" s="733"/>
      <c r="G10" s="734"/>
      <c r="H10" s="820"/>
      <c r="I10" s="733"/>
      <c r="J10" s="734"/>
      <c r="K10" s="820"/>
      <c r="L10" s="733"/>
      <c r="M10" s="734"/>
      <c r="N10" s="820"/>
      <c r="O10" s="733"/>
      <c r="P10" s="734"/>
      <c r="Q10" s="820"/>
      <c r="R10" s="733"/>
      <c r="S10" s="734"/>
      <c r="T10" s="820"/>
      <c r="U10" s="733"/>
      <c r="V10" s="734"/>
      <c r="W10" s="820"/>
      <c r="X10" s="729"/>
      <c r="Y10" s="730"/>
      <c r="Z10" s="1527">
        <v>1.2699999999999999E-2</v>
      </c>
    </row>
    <row r="11" spans="1:27" s="350" customFormat="1" ht="14.25" customHeight="1">
      <c r="B11" s="735">
        <v>2</v>
      </c>
      <c r="C11" s="736">
        <v>352</v>
      </c>
      <c r="D11" s="737" t="s">
        <v>92</v>
      </c>
      <c r="E11" s="821"/>
      <c r="F11" s="1523"/>
      <c r="G11" s="1518"/>
      <c r="H11" s="821"/>
      <c r="I11" s="1523"/>
      <c r="J11" s="1518"/>
      <c r="K11" s="821"/>
      <c r="L11" s="1523"/>
      <c r="M11" s="1518"/>
      <c r="N11" s="821"/>
      <c r="O11" s="1523"/>
      <c r="P11" s="1518"/>
      <c r="Q11" s="821"/>
      <c r="R11" s="1523"/>
      <c r="S11" s="1518"/>
      <c r="T11" s="821"/>
      <c r="U11" s="1523"/>
      <c r="V11" s="1518"/>
      <c r="W11" s="821"/>
      <c r="X11" s="1523"/>
      <c r="Y11" s="1518"/>
      <c r="Z11" s="1522">
        <v>1.4200000000000001E-2</v>
      </c>
    </row>
    <row r="12" spans="1:27" s="350" customFormat="1" ht="14.25" customHeight="1">
      <c r="B12" s="735">
        <v>3</v>
      </c>
      <c r="C12" s="736">
        <v>353</v>
      </c>
      <c r="D12" s="737" t="s">
        <v>180</v>
      </c>
      <c r="E12" s="821"/>
      <c r="F12" s="1523"/>
      <c r="G12" s="1518"/>
      <c r="H12" s="821"/>
      <c r="I12" s="1523"/>
      <c r="J12" s="1518"/>
      <c r="K12" s="821"/>
      <c r="L12" s="1523"/>
      <c r="M12" s="1518"/>
      <c r="N12" s="821"/>
      <c r="O12" s="1523"/>
      <c r="P12" s="1518"/>
      <c r="Q12" s="821"/>
      <c r="R12" s="1523"/>
      <c r="S12" s="1518"/>
      <c r="T12" s="821"/>
      <c r="U12" s="1523"/>
      <c r="V12" s="1518"/>
      <c r="W12" s="821"/>
      <c r="X12" s="1523"/>
      <c r="Y12" s="1518"/>
      <c r="Z12" s="1522">
        <v>1.7399999999999999E-2</v>
      </c>
    </row>
    <row r="13" spans="1:27" s="350" customFormat="1" ht="14.25" customHeight="1">
      <c r="B13" s="735">
        <v>4</v>
      </c>
      <c r="C13" s="736">
        <v>353.7</v>
      </c>
      <c r="D13" s="737" t="s">
        <v>430</v>
      </c>
      <c r="E13" s="821"/>
      <c r="F13" s="1523"/>
      <c r="G13" s="1518"/>
      <c r="H13" s="821"/>
      <c r="I13" s="1523"/>
      <c r="J13" s="1518"/>
      <c r="K13" s="821"/>
      <c r="L13" s="1523"/>
      <c r="M13" s="1518"/>
      <c r="N13" s="821"/>
      <c r="O13" s="1523"/>
      <c r="P13" s="1518"/>
      <c r="Q13" s="821"/>
      <c r="R13" s="1523"/>
      <c r="S13" s="1518"/>
      <c r="T13" s="821"/>
      <c r="U13" s="1523"/>
      <c r="V13" s="1518"/>
      <c r="W13" s="821"/>
      <c r="X13" s="1523"/>
      <c r="Y13" s="1518"/>
      <c r="Z13" s="1522">
        <v>1.7399999999999999E-2</v>
      </c>
    </row>
    <row r="14" spans="1:27" s="350" customFormat="1" ht="14.25" customHeight="1">
      <c r="B14" s="735">
        <v>5</v>
      </c>
      <c r="C14" s="736">
        <v>354</v>
      </c>
      <c r="D14" s="737" t="s">
        <v>181</v>
      </c>
      <c r="E14" s="821"/>
      <c r="F14" s="1523"/>
      <c r="G14" s="1518"/>
      <c r="H14" s="821"/>
      <c r="I14" s="1523"/>
      <c r="J14" s="1518"/>
      <c r="K14" s="821"/>
      <c r="L14" s="1523"/>
      <c r="M14" s="1518"/>
      <c r="N14" s="821"/>
      <c r="O14" s="1523"/>
      <c r="P14" s="1518"/>
      <c r="Q14" s="821"/>
      <c r="R14" s="1523"/>
      <c r="S14" s="1518"/>
      <c r="T14" s="821"/>
      <c r="U14" s="1523"/>
      <c r="V14" s="1518"/>
      <c r="W14" s="821"/>
      <c r="X14" s="1523"/>
      <c r="Y14" s="1518"/>
      <c r="Z14" s="1522">
        <v>1.5299999999999999E-2</v>
      </c>
    </row>
    <row r="15" spans="1:27" s="350" customFormat="1" ht="14.25" customHeight="1">
      <c r="B15" s="735">
        <v>6</v>
      </c>
      <c r="C15" s="736">
        <v>355</v>
      </c>
      <c r="D15" s="737" t="s">
        <v>182</v>
      </c>
      <c r="E15" s="821"/>
      <c r="F15" s="1523"/>
      <c r="G15" s="1518"/>
      <c r="H15" s="821"/>
      <c r="I15" s="1523"/>
      <c r="J15" s="1518"/>
      <c r="K15" s="821"/>
      <c r="L15" s="1523"/>
      <c r="M15" s="1518"/>
      <c r="N15" s="821"/>
      <c r="O15" s="1523"/>
      <c r="P15" s="1518"/>
      <c r="Q15" s="821"/>
      <c r="R15" s="1523"/>
      <c r="S15" s="1518"/>
      <c r="T15" s="821"/>
      <c r="U15" s="1523"/>
      <c r="V15" s="1518"/>
      <c r="W15" s="821"/>
      <c r="X15" s="1523"/>
      <c r="Y15" s="1518"/>
      <c r="Z15" s="1522">
        <v>2.18E-2</v>
      </c>
    </row>
    <row r="16" spans="1:27" s="350" customFormat="1" ht="14.25" customHeight="1">
      <c r="B16" s="735">
        <v>7</v>
      </c>
      <c r="C16" s="736">
        <v>356</v>
      </c>
      <c r="D16" s="737" t="s">
        <v>183</v>
      </c>
      <c r="E16" s="821"/>
      <c r="F16" s="1523"/>
      <c r="G16" s="1518"/>
      <c r="H16" s="821"/>
      <c r="I16" s="1523"/>
      <c r="J16" s="1518"/>
      <c r="K16" s="821"/>
      <c r="L16" s="1523"/>
      <c r="M16" s="1518"/>
      <c r="N16" s="821"/>
      <c r="O16" s="1523"/>
      <c r="P16" s="1518"/>
      <c r="Q16" s="821"/>
      <c r="R16" s="1523"/>
      <c r="S16" s="1518"/>
      <c r="T16" s="821"/>
      <c r="U16" s="1523"/>
      <c r="V16" s="1518"/>
      <c r="W16" s="821"/>
      <c r="X16" s="1523"/>
      <c r="Y16" s="1518"/>
      <c r="Z16" s="1522">
        <v>1.8800000000000001E-2</v>
      </c>
    </row>
    <row r="17" spans="2:26" s="350" customFormat="1" ht="14.25" customHeight="1">
      <c r="B17" s="735">
        <v>8</v>
      </c>
      <c r="C17" s="736">
        <v>356.2</v>
      </c>
      <c r="D17" s="737" t="s">
        <v>431</v>
      </c>
      <c r="E17" s="821"/>
      <c r="F17" s="1523"/>
      <c r="G17" s="1518"/>
      <c r="H17" s="821"/>
      <c r="I17" s="1523"/>
      <c r="J17" s="1518"/>
      <c r="K17" s="821"/>
      <c r="L17" s="1523"/>
      <c r="M17" s="1518"/>
      <c r="N17" s="821"/>
      <c r="O17" s="1523"/>
      <c r="P17" s="1518"/>
      <c r="Q17" s="821"/>
      <c r="R17" s="1523"/>
      <c r="S17" s="1518"/>
      <c r="T17" s="821"/>
      <c r="U17" s="1523"/>
      <c r="V17" s="1518"/>
      <c r="W17" s="821"/>
      <c r="X17" s="1523"/>
      <c r="Y17" s="1518"/>
      <c r="Z17" s="1522">
        <v>1.8800000000000001E-2</v>
      </c>
    </row>
    <row r="18" spans="2:26" s="350" customFormat="1" ht="14.25" customHeight="1">
      <c r="B18" s="735">
        <v>9</v>
      </c>
      <c r="C18" s="736">
        <v>357</v>
      </c>
      <c r="D18" s="737" t="s">
        <v>184</v>
      </c>
      <c r="E18" s="821"/>
      <c r="F18" s="1523"/>
      <c r="G18" s="1518"/>
      <c r="H18" s="821"/>
      <c r="I18" s="1523"/>
      <c r="J18" s="1518"/>
      <c r="K18" s="821"/>
      <c r="L18" s="1523"/>
      <c r="M18" s="1518"/>
      <c r="N18" s="821"/>
      <c r="O18" s="1523"/>
      <c r="P18" s="1518"/>
      <c r="Q18" s="821"/>
      <c r="R18" s="1523"/>
      <c r="S18" s="1518"/>
      <c r="T18" s="821"/>
      <c r="U18" s="1523"/>
      <c r="V18" s="1518"/>
      <c r="W18" s="821"/>
      <c r="X18" s="1523"/>
      <c r="Y18" s="1518"/>
      <c r="Z18" s="1522">
        <v>1.6E-2</v>
      </c>
    </row>
    <row r="19" spans="2:26" s="350" customFormat="1" ht="14.25" customHeight="1">
      <c r="B19" s="735">
        <v>10</v>
      </c>
      <c r="C19" s="736">
        <v>358</v>
      </c>
      <c r="D19" s="737" t="s">
        <v>185</v>
      </c>
      <c r="E19" s="821"/>
      <c r="F19" s="1523"/>
      <c r="G19" s="1518"/>
      <c r="H19" s="821"/>
      <c r="I19" s="1523"/>
      <c r="J19" s="1518"/>
      <c r="K19" s="821"/>
      <c r="L19" s="1523"/>
      <c r="M19" s="1518"/>
      <c r="N19" s="821"/>
      <c r="O19" s="1523"/>
      <c r="P19" s="1518"/>
      <c r="Q19" s="821"/>
      <c r="R19" s="1523"/>
      <c r="S19" s="1518"/>
      <c r="T19" s="821"/>
      <c r="U19" s="1523"/>
      <c r="V19" s="1518"/>
      <c r="W19" s="821"/>
      <c r="X19" s="1523"/>
      <c r="Y19" s="1518"/>
      <c r="Z19" s="1522">
        <v>1.66E-2</v>
      </c>
    </row>
    <row r="20" spans="2:26" s="350" customFormat="1" ht="14.25" customHeight="1">
      <c r="B20" s="735">
        <v>11</v>
      </c>
      <c r="C20" s="736">
        <v>359</v>
      </c>
      <c r="D20" s="737" t="s">
        <v>440</v>
      </c>
      <c r="E20" s="821"/>
      <c r="F20" s="1523"/>
      <c r="G20" s="1518"/>
      <c r="H20" s="821"/>
      <c r="I20" s="1523"/>
      <c r="J20" s="1518"/>
      <c r="K20" s="821"/>
      <c r="L20" s="1523"/>
      <c r="M20" s="1518"/>
      <c r="N20" s="821"/>
      <c r="O20" s="1523"/>
      <c r="P20" s="1518"/>
      <c r="Q20" s="821"/>
      <c r="R20" s="1523"/>
      <c r="S20" s="1518"/>
      <c r="T20" s="821"/>
      <c r="U20" s="1523"/>
      <c r="V20" s="1518"/>
      <c r="W20" s="821"/>
      <c r="X20" s="1523"/>
      <c r="Y20" s="1518"/>
      <c r="Z20" s="1522">
        <v>1.32E-2</v>
      </c>
    </row>
    <row r="21" spans="2:26" s="350" customFormat="1" ht="14.25" customHeight="1">
      <c r="B21" s="735">
        <v>12</v>
      </c>
      <c r="C21" s="736"/>
      <c r="D21" s="737" t="s">
        <v>695</v>
      </c>
      <c r="E21" s="821"/>
      <c r="F21" s="1523"/>
      <c r="G21" s="1518"/>
      <c r="H21" s="821"/>
      <c r="I21" s="1523"/>
      <c r="J21" s="1518"/>
      <c r="K21" s="821"/>
      <c r="L21" s="1523"/>
      <c r="M21" s="1518"/>
      <c r="N21" s="821"/>
      <c r="O21" s="1523"/>
      <c r="P21" s="1518"/>
      <c r="Q21" s="821"/>
      <c r="R21" s="1523"/>
      <c r="S21" s="1518"/>
      <c r="T21" s="821"/>
      <c r="U21" s="1523"/>
      <c r="V21" s="1518"/>
      <c r="W21" s="821"/>
      <c r="X21" s="1523"/>
      <c r="Y21" s="1518"/>
      <c r="Z21" s="1522">
        <v>1.7600000000000001E-2</v>
      </c>
    </row>
    <row r="22" spans="2:26" s="350" customFormat="1" ht="14.25" customHeight="1">
      <c r="B22" s="735"/>
      <c r="C22" s="736"/>
      <c r="D22" s="737"/>
      <c r="E22" s="738"/>
      <c r="F22" s="1533"/>
      <c r="G22" s="1534"/>
      <c r="H22" s="738"/>
      <c r="I22" s="1535"/>
      <c r="J22" s="1534"/>
      <c r="K22" s="738"/>
      <c r="L22" s="1535"/>
      <c r="M22" s="1534"/>
      <c r="N22" s="738"/>
      <c r="O22" s="1535"/>
      <c r="P22" s="1534"/>
      <c r="Q22" s="738"/>
      <c r="R22" s="1535"/>
      <c r="S22" s="1534"/>
      <c r="T22" s="738"/>
      <c r="U22" s="1535"/>
      <c r="V22" s="1534"/>
      <c r="W22" s="738"/>
      <c r="X22" s="1535"/>
      <c r="Y22" s="1534"/>
      <c r="Z22" s="1522"/>
    </row>
    <row r="23" spans="2:26" s="350" customFormat="1" ht="14.25" customHeight="1">
      <c r="B23" s="735">
        <v>13</v>
      </c>
      <c r="C23" s="736">
        <v>389.2</v>
      </c>
      <c r="D23" s="737" t="s">
        <v>186</v>
      </c>
      <c r="E23" s="2355"/>
      <c r="F23" s="1523">
        <v>0</v>
      </c>
      <c r="G23" s="1518"/>
      <c r="H23" s="2355"/>
      <c r="I23" s="1523">
        <v>0</v>
      </c>
      <c r="J23" s="1518"/>
      <c r="K23" s="2355"/>
      <c r="L23" s="1523">
        <v>0</v>
      </c>
      <c r="M23" s="1518"/>
      <c r="N23" s="2355">
        <v>85283.36</v>
      </c>
      <c r="O23" s="1523">
        <v>2.0299999999999999E-2</v>
      </c>
      <c r="P23" s="1518"/>
      <c r="Q23" s="2355">
        <v>74314.75</v>
      </c>
      <c r="R23" s="1523">
        <v>1.9800000000000002E-2</v>
      </c>
      <c r="S23" s="1518"/>
      <c r="T23" s="2355"/>
      <c r="U23" s="1523">
        <v>0</v>
      </c>
      <c r="V23" s="1518"/>
      <c r="W23" s="2355">
        <v>4867.6400000000003</v>
      </c>
      <c r="X23" s="1523">
        <v>1.17E-2</v>
      </c>
      <c r="Y23" s="1518"/>
      <c r="Z23" s="1522"/>
    </row>
    <row r="24" spans="2:26" s="350" customFormat="1" ht="14.25" customHeight="1">
      <c r="B24" s="735">
        <v>14</v>
      </c>
      <c r="C24" s="736">
        <v>390</v>
      </c>
      <c r="D24" s="737" t="s">
        <v>92</v>
      </c>
      <c r="E24" s="2355">
        <v>79400430.780000001</v>
      </c>
      <c r="F24" s="1523">
        <v>1.8599999999999998E-2</v>
      </c>
      <c r="G24" s="1518"/>
      <c r="H24" s="2355">
        <v>12923250.279999999</v>
      </c>
      <c r="I24" s="1523">
        <v>2.52E-2</v>
      </c>
      <c r="J24" s="1518"/>
      <c r="K24" s="2355">
        <v>3309074.45</v>
      </c>
      <c r="L24" s="1523">
        <v>1.7100000000000001E-2</v>
      </c>
      <c r="M24" s="1518"/>
      <c r="N24" s="2355">
        <v>92078077.879999995</v>
      </c>
      <c r="O24" s="1523">
        <v>1.5299999999999999E-2</v>
      </c>
      <c r="P24" s="1518"/>
      <c r="Q24" s="2355">
        <v>10793098.9</v>
      </c>
      <c r="R24" s="1523">
        <v>1.95E-2</v>
      </c>
      <c r="S24" s="1518"/>
      <c r="T24" s="2355">
        <v>385400.84</v>
      </c>
      <c r="U24" s="1523">
        <v>1.5100000000000001E-2</v>
      </c>
      <c r="V24" s="1518"/>
      <c r="W24" s="2355">
        <v>12577503.43</v>
      </c>
      <c r="X24" s="1523">
        <v>1.6500000000000001E-2</v>
      </c>
      <c r="Y24" s="1518"/>
      <c r="Z24" s="1522"/>
    </row>
    <row r="25" spans="2:26" s="350" customFormat="1" ht="14.25" customHeight="1">
      <c r="B25" s="735">
        <v>15</v>
      </c>
      <c r="C25" s="736">
        <v>390.3</v>
      </c>
      <c r="D25" s="737" t="s">
        <v>432</v>
      </c>
      <c r="E25" s="2355"/>
      <c r="F25" s="1523"/>
      <c r="G25" s="1518"/>
      <c r="H25" s="2355"/>
      <c r="I25" s="1523"/>
      <c r="J25" s="1518"/>
      <c r="K25" s="2355"/>
      <c r="L25" s="1523"/>
      <c r="M25" s="1518"/>
      <c r="N25" s="2355"/>
      <c r="O25" s="1523"/>
      <c r="P25" s="1518"/>
      <c r="Q25" s="2355"/>
      <c r="R25" s="1523"/>
      <c r="S25" s="1518"/>
      <c r="T25" s="2355"/>
      <c r="U25" s="1523"/>
      <c r="V25" s="1518"/>
      <c r="W25" s="2355"/>
      <c r="X25" s="1523"/>
      <c r="Y25" s="1518"/>
      <c r="Z25" s="1524">
        <v>6.6699999999999995E-2</v>
      </c>
    </row>
    <row r="26" spans="2:26" s="350" customFormat="1" ht="14.25" customHeight="1">
      <c r="B26" s="735">
        <v>16</v>
      </c>
      <c r="C26" s="736">
        <v>391</v>
      </c>
      <c r="D26" s="737" t="s">
        <v>433</v>
      </c>
      <c r="E26" s="2355"/>
      <c r="F26" s="1523"/>
      <c r="G26" s="1518"/>
      <c r="H26" s="2355"/>
      <c r="I26" s="1523"/>
      <c r="J26" s="1518"/>
      <c r="K26" s="2355"/>
      <c r="L26" s="1523"/>
      <c r="M26" s="1518"/>
      <c r="N26" s="2355"/>
      <c r="O26" s="1523"/>
      <c r="P26" s="1518"/>
      <c r="Q26" s="2355"/>
      <c r="R26" s="1523"/>
      <c r="S26" s="1518"/>
      <c r="T26" s="2355"/>
      <c r="U26" s="1523"/>
      <c r="V26" s="1518"/>
      <c r="W26" s="2355"/>
      <c r="X26" s="1523"/>
      <c r="Y26" s="1518"/>
      <c r="Z26" s="1524">
        <v>0.05</v>
      </c>
    </row>
    <row r="27" spans="2:26" s="350" customFormat="1" ht="14.25" customHeight="1">
      <c r="B27" s="735">
        <v>17</v>
      </c>
      <c r="C27" s="736">
        <v>391.2</v>
      </c>
      <c r="D27" s="737" t="s">
        <v>434</v>
      </c>
      <c r="E27" s="2355"/>
      <c r="F27" s="1523"/>
      <c r="G27" s="1518"/>
      <c r="H27" s="2355"/>
      <c r="I27" s="1523"/>
      <c r="J27" s="1518"/>
      <c r="K27" s="2355"/>
      <c r="L27" s="1523"/>
      <c r="M27" s="1518"/>
      <c r="N27" s="2355"/>
      <c r="O27" s="1523"/>
      <c r="P27" s="1518"/>
      <c r="Q27" s="2355"/>
      <c r="R27" s="1523"/>
      <c r="S27" s="1518"/>
      <c r="T27" s="2355"/>
      <c r="U27" s="1523"/>
      <c r="V27" s="1518"/>
      <c r="W27" s="2355"/>
      <c r="X27" s="1523"/>
      <c r="Y27" s="1518"/>
      <c r="Z27" s="1524">
        <v>0.2</v>
      </c>
    </row>
    <row r="28" spans="2:26" s="350" customFormat="1" ht="14.25" customHeight="1">
      <c r="B28" s="735">
        <v>18</v>
      </c>
      <c r="C28" s="736">
        <v>393</v>
      </c>
      <c r="D28" s="737" t="s">
        <v>187</v>
      </c>
      <c r="E28" s="2355"/>
      <c r="F28" s="1523"/>
      <c r="G28" s="1518"/>
      <c r="H28" s="2355"/>
      <c r="I28" s="1523"/>
      <c r="J28" s="1518"/>
      <c r="K28" s="2355"/>
      <c r="L28" s="1523"/>
      <c r="M28" s="1518"/>
      <c r="N28" s="2355"/>
      <c r="O28" s="1523"/>
      <c r="P28" s="1518"/>
      <c r="Q28" s="2355"/>
      <c r="R28" s="1523"/>
      <c r="S28" s="1518"/>
      <c r="T28" s="2355"/>
      <c r="U28" s="1523"/>
      <c r="V28" s="1518"/>
      <c r="W28" s="2355"/>
      <c r="X28" s="1523"/>
      <c r="Y28" s="1518"/>
      <c r="Z28" s="1524">
        <v>0.04</v>
      </c>
    </row>
    <row r="29" spans="2:26" s="350" customFormat="1" ht="14.25" customHeight="1">
      <c r="B29" s="735">
        <v>19</v>
      </c>
      <c r="C29" s="736">
        <v>394</v>
      </c>
      <c r="D29" s="737" t="s">
        <v>435</v>
      </c>
      <c r="E29" s="2355"/>
      <c r="F29" s="1523"/>
      <c r="G29" s="1518"/>
      <c r="H29" s="2355"/>
      <c r="I29" s="1523"/>
      <c r="J29" s="1518"/>
      <c r="K29" s="2355"/>
      <c r="L29" s="1523"/>
      <c r="M29" s="1518"/>
      <c r="N29" s="2355"/>
      <c r="O29" s="1523"/>
      <c r="P29" s="1518"/>
      <c r="Q29" s="2355"/>
      <c r="R29" s="1523"/>
      <c r="S29" s="1518"/>
      <c r="T29" s="2355"/>
      <c r="U29" s="1523"/>
      <c r="V29" s="1518"/>
      <c r="W29" s="2355"/>
      <c r="X29" s="1523"/>
      <c r="Y29" s="1518"/>
      <c r="Z29" s="1524">
        <v>4.1700000000000001E-2</v>
      </c>
    </row>
    <row r="30" spans="2:26" s="350" customFormat="1" ht="14.25" customHeight="1">
      <c r="B30" s="735">
        <v>20</v>
      </c>
      <c r="C30" s="736">
        <v>395</v>
      </c>
      <c r="D30" s="737" t="s">
        <v>188</v>
      </c>
      <c r="E30" s="2355"/>
      <c r="F30" s="1523"/>
      <c r="G30" s="1518"/>
      <c r="H30" s="2355"/>
      <c r="I30" s="1523"/>
      <c r="J30" s="1518"/>
      <c r="K30" s="2355"/>
      <c r="L30" s="1523"/>
      <c r="M30" s="1518"/>
      <c r="N30" s="2355"/>
      <c r="O30" s="1523"/>
      <c r="P30" s="1518"/>
      <c r="Q30" s="2355"/>
      <c r="R30" s="1523"/>
      <c r="S30" s="1518"/>
      <c r="T30" s="2355"/>
      <c r="U30" s="1523"/>
      <c r="V30" s="1518"/>
      <c r="W30" s="2355"/>
      <c r="X30" s="1523"/>
      <c r="Y30" s="1518"/>
      <c r="Z30" s="1524">
        <v>0.05</v>
      </c>
    </row>
    <row r="31" spans="2:26" s="350" customFormat="1" ht="14.25" customHeight="1">
      <c r="B31" s="735">
        <v>21</v>
      </c>
      <c r="C31" s="736">
        <v>397</v>
      </c>
      <c r="D31" s="737" t="s">
        <v>189</v>
      </c>
      <c r="E31" s="2355"/>
      <c r="F31" s="1807"/>
      <c r="G31" s="1518"/>
      <c r="H31" s="2355"/>
      <c r="I31" s="1807"/>
      <c r="J31" s="1518"/>
      <c r="K31" s="2355"/>
      <c r="L31" s="1807"/>
      <c r="M31" s="1518"/>
      <c r="N31" s="2355"/>
      <c r="O31" s="1807"/>
      <c r="P31" s="1518"/>
      <c r="Q31" s="2355"/>
      <c r="R31" s="1807"/>
      <c r="S31" s="1518"/>
      <c r="T31" s="2355"/>
      <c r="U31" s="1807"/>
      <c r="V31" s="1518"/>
      <c r="W31" s="2355"/>
      <c r="X31" s="1807"/>
      <c r="Y31" s="1518"/>
      <c r="Z31" s="1524">
        <v>4.2999999999999997E-2</v>
      </c>
    </row>
    <row r="32" spans="2:26" s="350" customFormat="1" ht="14.25" customHeight="1">
      <c r="B32" s="735">
        <v>22</v>
      </c>
      <c r="C32" s="736">
        <v>397.2</v>
      </c>
      <c r="D32" s="737" t="s">
        <v>436</v>
      </c>
      <c r="E32" s="2355"/>
      <c r="F32" s="1523"/>
      <c r="G32" s="1518"/>
      <c r="H32" s="2355"/>
      <c r="I32" s="1523"/>
      <c r="J32" s="1518"/>
      <c r="K32" s="2355"/>
      <c r="L32" s="1523"/>
      <c r="M32" s="1518"/>
      <c r="N32" s="2355"/>
      <c r="O32" s="1523"/>
      <c r="P32" s="1518"/>
      <c r="Q32" s="2355"/>
      <c r="R32" s="1523"/>
      <c r="S32" s="1518"/>
      <c r="T32" s="2355"/>
      <c r="U32" s="1523"/>
      <c r="V32" s="1518"/>
      <c r="W32" s="2355"/>
      <c r="X32" s="1523"/>
      <c r="Y32" s="1518"/>
      <c r="Z32" s="1524">
        <v>9.0899999999999995E-2</v>
      </c>
    </row>
    <row r="33" spans="1:27" s="350" customFormat="1" ht="14.25" customHeight="1">
      <c r="B33" s="735">
        <v>23</v>
      </c>
      <c r="C33" s="736">
        <v>398</v>
      </c>
      <c r="D33" s="737" t="s">
        <v>190</v>
      </c>
      <c r="E33" s="2355"/>
      <c r="F33" s="1523"/>
      <c r="G33" s="1518"/>
      <c r="H33" s="2355"/>
      <c r="I33" s="1523"/>
      <c r="J33" s="1518"/>
      <c r="K33" s="2355"/>
      <c r="L33" s="1523"/>
      <c r="M33" s="1518"/>
      <c r="N33" s="2355"/>
      <c r="O33" s="1523"/>
      <c r="P33" s="1518"/>
      <c r="Q33" s="2355"/>
      <c r="R33" s="1523"/>
      <c r="S33" s="1518"/>
      <c r="T33" s="2355"/>
      <c r="U33" s="1523"/>
      <c r="V33" s="1518"/>
      <c r="W33" s="2355"/>
      <c r="X33" s="1523"/>
      <c r="Y33" s="1518"/>
      <c r="Z33" s="1524">
        <v>0.05</v>
      </c>
    </row>
    <row r="34" spans="1:27" s="350" customFormat="1" ht="14.25" customHeight="1">
      <c r="B34" s="735">
        <v>24</v>
      </c>
      <c r="C34" s="736"/>
      <c r="D34" s="737" t="s">
        <v>696</v>
      </c>
      <c r="E34" s="2355">
        <v>1990865.02</v>
      </c>
      <c r="F34" s="1523">
        <v>3.5900000000000001E-2</v>
      </c>
      <c r="G34" s="1518"/>
      <c r="H34" s="2355">
        <v>359704.38</v>
      </c>
      <c r="I34" s="1523">
        <v>4.2099999999999999E-2</v>
      </c>
      <c r="J34" s="1518"/>
      <c r="K34" s="2355">
        <v>125902.54</v>
      </c>
      <c r="L34" s="1523">
        <v>3.8300000000000001E-2</v>
      </c>
      <c r="M34" s="1518"/>
      <c r="N34" s="2355">
        <v>3685908.48</v>
      </c>
      <c r="O34" s="1523">
        <v>3.4200000000000001E-2</v>
      </c>
      <c r="P34" s="1518"/>
      <c r="Q34" s="2355">
        <v>1253494.95</v>
      </c>
      <c r="R34" s="1523">
        <v>4.6600000000000003E-2</v>
      </c>
      <c r="S34" s="1518"/>
      <c r="T34" s="2355">
        <v>24006.79</v>
      </c>
      <c r="U34" s="1523">
        <v>1.9300000000000001E-2</v>
      </c>
      <c r="V34" s="1518"/>
      <c r="W34" s="2355">
        <v>239062.53</v>
      </c>
      <c r="X34" s="1523">
        <v>3.1699999999999999E-2</v>
      </c>
      <c r="Y34" s="1518"/>
      <c r="Z34" s="1522"/>
    </row>
    <row r="35" spans="1:27" s="350" customFormat="1" ht="14.25" customHeight="1">
      <c r="B35" s="735"/>
      <c r="C35" s="736"/>
      <c r="D35" s="737"/>
      <c r="E35" s="2356"/>
      <c r="F35" s="1535"/>
      <c r="G35" s="1534"/>
      <c r="H35" s="738"/>
      <c r="I35" s="1535"/>
      <c r="J35" s="1534"/>
      <c r="K35" s="738"/>
      <c r="L35" s="1535"/>
      <c r="M35" s="1534"/>
      <c r="N35" s="738"/>
      <c r="O35" s="1535"/>
      <c r="P35" s="1534"/>
      <c r="Q35" s="738"/>
      <c r="R35" s="1535"/>
      <c r="S35" s="1534"/>
      <c r="T35" s="738"/>
      <c r="U35" s="1535"/>
      <c r="V35" s="1534"/>
      <c r="W35" s="738"/>
      <c r="X35" s="1535"/>
      <c r="Y35" s="1534"/>
      <c r="Z35" s="1522"/>
    </row>
    <row r="36" spans="1:27" s="350" customFormat="1" ht="14.25" customHeight="1">
      <c r="B36" s="735">
        <v>25</v>
      </c>
      <c r="C36" s="736">
        <v>302</v>
      </c>
      <c r="D36" s="737" t="s">
        <v>882</v>
      </c>
      <c r="E36" s="821"/>
      <c r="F36" s="1523"/>
      <c r="G36" s="1518"/>
      <c r="H36" s="821"/>
      <c r="I36" s="1523"/>
      <c r="J36" s="1518"/>
      <c r="K36" s="821"/>
      <c r="L36" s="1523"/>
      <c r="M36" s="1518"/>
      <c r="N36" s="821"/>
      <c r="O36" s="1523"/>
      <c r="P36" s="1518"/>
      <c r="Q36" s="821"/>
      <c r="R36" s="1523"/>
      <c r="S36" s="1518"/>
      <c r="T36" s="821"/>
      <c r="U36" s="1523"/>
      <c r="V36" s="1518"/>
      <c r="W36" s="821"/>
      <c r="X36" s="1523"/>
      <c r="Y36" s="1518"/>
      <c r="Z36" s="1522">
        <v>6.4299999999999996E-2</v>
      </c>
    </row>
    <row r="37" spans="1:27" s="350" customFormat="1" ht="14.25" customHeight="1">
      <c r="B37" s="735">
        <v>26</v>
      </c>
      <c r="C37" s="736">
        <v>303</v>
      </c>
      <c r="D37" s="737" t="s">
        <v>881</v>
      </c>
      <c r="E37" s="821"/>
      <c r="F37" s="1523"/>
      <c r="G37" s="1518"/>
      <c r="H37" s="821"/>
      <c r="I37" s="1523"/>
      <c r="J37" s="1518"/>
      <c r="K37" s="821"/>
      <c r="L37" s="1523"/>
      <c r="M37" s="1518"/>
      <c r="N37" s="821"/>
      <c r="O37" s="1523"/>
      <c r="P37" s="1518"/>
      <c r="Q37" s="821"/>
      <c r="R37" s="1523"/>
      <c r="S37" s="1518"/>
      <c r="T37" s="821"/>
      <c r="U37" s="1523"/>
      <c r="V37" s="1518"/>
      <c r="W37" s="821"/>
      <c r="X37" s="1523"/>
      <c r="Y37" s="1518"/>
      <c r="Z37" s="1522">
        <v>3.5400000000000001E-2</v>
      </c>
    </row>
    <row r="38" spans="1:27" s="350" customFormat="1" ht="14.25" customHeight="1" thickBot="1">
      <c r="B38" s="739">
        <v>27</v>
      </c>
      <c r="C38" s="740">
        <v>390.1</v>
      </c>
      <c r="D38" s="741" t="s">
        <v>697</v>
      </c>
      <c r="E38" s="822"/>
      <c r="F38" s="1521"/>
      <c r="G38" s="1520"/>
      <c r="H38" s="822"/>
      <c r="I38" s="1521"/>
      <c r="J38" s="1520"/>
      <c r="K38" s="822"/>
      <c r="L38" s="1521"/>
      <c r="M38" s="1520"/>
      <c r="N38" s="822"/>
      <c r="O38" s="1521"/>
      <c r="P38" s="1520"/>
      <c r="Q38" s="822"/>
      <c r="R38" s="1521"/>
      <c r="S38" s="1520"/>
      <c r="T38" s="822"/>
      <c r="U38" s="1521"/>
      <c r="V38" s="1520"/>
      <c r="W38" s="822"/>
      <c r="X38" s="1521"/>
      <c r="Y38" s="1520"/>
      <c r="Z38" s="1519">
        <v>5.4600000000000003E-2</v>
      </c>
    </row>
    <row r="39" spans="1:27" s="350" customFormat="1">
      <c r="B39" s="1518"/>
      <c r="C39" s="1518"/>
      <c r="D39" s="1516"/>
      <c r="E39" s="1518"/>
      <c r="F39" s="1516"/>
      <c r="G39" s="1516"/>
      <c r="H39" s="1518"/>
      <c r="I39" s="1516"/>
      <c r="J39" s="1516"/>
      <c r="K39" s="1518"/>
      <c r="L39" s="1516"/>
      <c r="M39" s="1516"/>
      <c r="N39" s="1518"/>
      <c r="O39" s="1516"/>
      <c r="P39" s="1516"/>
      <c r="Q39" s="1518"/>
      <c r="R39" s="1516"/>
      <c r="S39" s="1516"/>
      <c r="T39" s="1518"/>
      <c r="U39" s="1516"/>
      <c r="V39" s="1516"/>
      <c r="W39" s="1518"/>
      <c r="X39" s="1516"/>
      <c r="Y39" s="1516"/>
    </row>
    <row r="40" spans="1:27" s="350" customFormat="1">
      <c r="B40" s="1518"/>
      <c r="C40" s="1518"/>
      <c r="D40" s="1516"/>
      <c r="E40" s="1517"/>
      <c r="F40" s="1516"/>
      <c r="G40" s="1516"/>
      <c r="H40" s="1517"/>
      <c r="I40" s="1516"/>
      <c r="J40" s="1517"/>
      <c r="K40" s="1517"/>
      <c r="L40" s="1516"/>
      <c r="M40" s="1516"/>
      <c r="N40" s="1517"/>
      <c r="O40" s="1516"/>
      <c r="P40" s="1516"/>
      <c r="Q40" s="1517"/>
      <c r="R40" s="1516"/>
      <c r="S40" s="1516"/>
      <c r="T40" s="1517"/>
      <c r="U40" s="1516"/>
      <c r="V40" s="1516"/>
      <c r="W40" s="1517"/>
      <c r="X40" s="1516"/>
      <c r="Y40" s="1516"/>
      <c r="Z40" s="429"/>
    </row>
    <row r="41" spans="1:27" s="350" customFormat="1">
      <c r="B41" s="2586" t="s">
        <v>304</v>
      </c>
      <c r="C41" s="2586"/>
      <c r="D41" s="1516"/>
      <c r="E41" s="1516"/>
      <c r="F41" s="1516"/>
      <c r="G41" s="1516"/>
      <c r="H41" s="1516"/>
      <c r="I41" s="1516"/>
      <c r="J41" s="1516"/>
      <c r="K41" s="1516"/>
      <c r="L41" s="1516"/>
      <c r="M41" s="1516"/>
      <c r="N41" s="1516"/>
      <c r="O41" s="1516"/>
      <c r="P41" s="1516"/>
      <c r="Q41" s="1516"/>
      <c r="R41" s="1516"/>
      <c r="S41" s="1516"/>
      <c r="T41" s="1516"/>
      <c r="U41" s="1516"/>
      <c r="V41" s="1516"/>
      <c r="W41" s="1516"/>
      <c r="X41" s="1516"/>
      <c r="Y41" s="1516"/>
      <c r="Z41" s="429"/>
    </row>
    <row r="42" spans="1:27" s="352" customFormat="1" ht="15" customHeight="1">
      <c r="A42" s="350"/>
      <c r="B42" s="430">
        <v>1</v>
      </c>
      <c r="C42" s="2583" t="s">
        <v>698</v>
      </c>
      <c r="D42" s="2583"/>
      <c r="E42" s="2583"/>
      <c r="F42" s="2583"/>
      <c r="G42" s="2583"/>
      <c r="H42" s="2583"/>
      <c r="I42" s="2583"/>
      <c r="J42" s="2583"/>
      <c r="K42" s="2583"/>
      <c r="L42" s="2583"/>
      <c r="M42" s="2583"/>
      <c r="N42" s="2583"/>
      <c r="O42" s="2583"/>
      <c r="P42" s="2583"/>
      <c r="Q42" s="2583"/>
      <c r="R42" s="2583"/>
      <c r="S42" s="2583"/>
      <c r="T42" s="350"/>
    </row>
    <row r="43" spans="1:27" s="352" customFormat="1" ht="15" customHeight="1">
      <c r="A43" s="350"/>
      <c r="B43" s="430">
        <v>2</v>
      </c>
      <c r="C43" s="2587" t="s">
        <v>685</v>
      </c>
      <c r="D43" s="2587"/>
      <c r="E43" s="2587"/>
      <c r="F43" s="2587"/>
      <c r="G43" s="2587"/>
      <c r="H43" s="2587"/>
      <c r="I43" s="2587"/>
      <c r="J43" s="2587"/>
      <c r="K43" s="2587"/>
      <c r="L43" s="2587"/>
      <c r="M43" s="2587"/>
      <c r="N43" s="2587"/>
      <c r="O43" s="2587"/>
      <c r="P43" s="2587"/>
      <c r="Q43" s="2587"/>
      <c r="R43" s="2587"/>
      <c r="S43" s="2587"/>
      <c r="T43" s="1699"/>
      <c r="U43" s="1699"/>
      <c r="V43" s="1699"/>
      <c r="W43" s="1699"/>
      <c r="X43" s="1699"/>
      <c r="Y43" s="1699"/>
      <c r="Z43" s="350"/>
      <c r="AA43" s="350"/>
    </row>
    <row r="44" spans="1:27" s="352" customFormat="1" ht="15" customHeight="1">
      <c r="A44" s="350"/>
      <c r="B44" s="430">
        <v>3</v>
      </c>
      <c r="C44" s="2587" t="s">
        <v>686</v>
      </c>
      <c r="D44" s="2587"/>
      <c r="E44" s="2587"/>
      <c r="F44" s="2587"/>
      <c r="G44" s="2587"/>
      <c r="H44" s="2587"/>
      <c r="I44" s="2587"/>
      <c r="J44" s="2587"/>
      <c r="K44" s="2587"/>
      <c r="L44" s="2587"/>
      <c r="M44" s="2587"/>
      <c r="N44" s="2587"/>
      <c r="O44" s="2587"/>
      <c r="P44" s="2587"/>
      <c r="Q44" s="2587"/>
      <c r="R44" s="2587"/>
      <c r="S44" s="2587"/>
      <c r="T44" s="1700"/>
      <c r="U44" s="1700"/>
      <c r="V44" s="1700"/>
      <c r="W44" s="1700"/>
      <c r="X44" s="1700"/>
      <c r="Y44" s="1700"/>
      <c r="Z44" s="350"/>
      <c r="AA44" s="350"/>
    </row>
    <row r="45" spans="1:27" s="352" customFormat="1" ht="15" customHeight="1">
      <c r="A45" s="350"/>
      <c r="B45" s="430">
        <v>4</v>
      </c>
      <c r="C45" s="2587" t="s">
        <v>687</v>
      </c>
      <c r="D45" s="2587"/>
      <c r="E45" s="2587"/>
      <c r="F45" s="2587"/>
      <c r="G45" s="2587"/>
      <c r="H45" s="2587"/>
      <c r="I45" s="2587"/>
      <c r="J45" s="2587"/>
      <c r="K45" s="2587"/>
      <c r="L45" s="2587"/>
      <c r="M45" s="2587"/>
      <c r="N45" s="2587"/>
      <c r="O45" s="2587"/>
      <c r="P45" s="2587"/>
      <c r="Q45" s="2587"/>
      <c r="R45" s="2587"/>
      <c r="S45" s="2587"/>
      <c r="T45" s="1700"/>
      <c r="U45" s="1700"/>
      <c r="V45" s="1700"/>
      <c r="W45" s="1700"/>
      <c r="X45" s="1700"/>
      <c r="Y45" s="1700"/>
      <c r="Z45" s="350"/>
      <c r="AA45" s="350"/>
    </row>
    <row r="46" spans="1:27" s="352" customFormat="1" ht="15" customHeight="1">
      <c r="A46" s="350"/>
      <c r="B46" s="430">
        <v>5</v>
      </c>
      <c r="C46" s="2583" t="s">
        <v>699</v>
      </c>
      <c r="D46" s="2583"/>
      <c r="E46" s="2583"/>
      <c r="F46" s="2583"/>
      <c r="G46" s="2583"/>
      <c r="H46" s="2583"/>
      <c r="I46" s="2583"/>
      <c r="J46" s="2583"/>
      <c r="K46" s="2583"/>
      <c r="L46" s="2583"/>
      <c r="M46" s="2583"/>
      <c r="N46" s="2583"/>
      <c r="O46" s="2583"/>
      <c r="P46" s="2583"/>
      <c r="Q46" s="2583"/>
      <c r="R46" s="2583"/>
      <c r="S46" s="2583"/>
      <c r="T46" s="1699"/>
    </row>
    <row r="47" spans="1:27" s="352" customFormat="1" ht="28.5" customHeight="1">
      <c r="A47" s="350"/>
      <c r="B47" s="430">
        <v>6</v>
      </c>
      <c r="C47" s="2583" t="s">
        <v>700</v>
      </c>
      <c r="D47" s="2583"/>
      <c r="E47" s="2583"/>
      <c r="F47" s="2583"/>
      <c r="G47" s="2583"/>
      <c r="H47" s="2583"/>
      <c r="I47" s="2583"/>
      <c r="J47" s="2583"/>
      <c r="K47" s="2583"/>
      <c r="L47" s="2583"/>
      <c r="M47" s="2583"/>
      <c r="N47" s="2583"/>
      <c r="O47" s="2583"/>
      <c r="P47" s="2583"/>
      <c r="Q47" s="2583"/>
      <c r="R47" s="2583"/>
      <c r="S47" s="2583"/>
      <c r="T47" s="1699"/>
    </row>
    <row r="48" spans="1:27" s="352" customFormat="1" ht="27.75" customHeight="1">
      <c r="A48" s="350"/>
      <c r="B48" s="430">
        <v>7</v>
      </c>
      <c r="C48" s="2583" t="s">
        <v>701</v>
      </c>
      <c r="D48" s="2583"/>
      <c r="E48" s="2583"/>
      <c r="F48" s="2583"/>
      <c r="G48" s="2583"/>
      <c r="H48" s="2583"/>
      <c r="I48" s="2583"/>
      <c r="J48" s="2583"/>
      <c r="K48" s="2583"/>
      <c r="L48" s="2583"/>
      <c r="M48" s="2583"/>
      <c r="N48" s="2583"/>
      <c r="O48" s="2583"/>
      <c r="P48" s="2583"/>
      <c r="Q48" s="2583"/>
      <c r="R48" s="2583"/>
      <c r="S48" s="2583"/>
      <c r="T48" s="1699"/>
    </row>
    <row r="49" spans="1:25" s="352" customFormat="1" ht="15" customHeight="1">
      <c r="A49" s="350"/>
      <c r="B49" s="430">
        <v>8</v>
      </c>
      <c r="C49" s="2583" t="s">
        <v>702</v>
      </c>
      <c r="D49" s="2583"/>
      <c r="E49" s="2583"/>
      <c r="F49" s="2583"/>
      <c r="G49" s="2583"/>
      <c r="H49" s="2583"/>
      <c r="I49" s="2583"/>
      <c r="J49" s="2583"/>
      <c r="K49" s="2583"/>
      <c r="L49" s="2583"/>
      <c r="M49" s="2583"/>
      <c r="N49" s="2583"/>
      <c r="O49" s="2583"/>
      <c r="P49" s="2583"/>
      <c r="Q49" s="2583"/>
      <c r="R49" s="2583"/>
      <c r="S49" s="2583"/>
      <c r="T49" s="1699"/>
    </row>
    <row r="50" spans="1:25" s="352" customFormat="1" ht="15" customHeight="1">
      <c r="A50" s="350"/>
      <c r="B50" s="430">
        <v>9</v>
      </c>
      <c r="C50" s="2583" t="s">
        <v>703</v>
      </c>
      <c r="D50" s="2583"/>
      <c r="E50" s="2583"/>
      <c r="F50" s="2583"/>
      <c r="G50" s="2583"/>
      <c r="H50" s="2583"/>
      <c r="I50" s="2583"/>
      <c r="J50" s="2583"/>
      <c r="K50" s="2583"/>
      <c r="L50" s="2583"/>
      <c r="M50" s="2583"/>
      <c r="N50" s="2583"/>
      <c r="O50" s="2583"/>
      <c r="P50" s="2583"/>
      <c r="Q50" s="2583"/>
      <c r="R50" s="2583"/>
      <c r="S50" s="2583"/>
      <c r="T50" s="1699"/>
    </row>
    <row r="51" spans="1:25" s="352" customFormat="1" ht="15" customHeight="1">
      <c r="A51" s="350"/>
      <c r="B51" s="430">
        <v>10</v>
      </c>
      <c r="C51" s="2583" t="s">
        <v>1968</v>
      </c>
      <c r="D51" s="2583"/>
      <c r="E51" s="2583"/>
      <c r="F51" s="2583"/>
      <c r="G51" s="2583"/>
      <c r="H51" s="2583"/>
      <c r="I51" s="2583"/>
      <c r="J51" s="2583"/>
      <c r="K51" s="2583"/>
      <c r="L51" s="2583"/>
      <c r="M51" s="2583"/>
      <c r="N51" s="2583"/>
      <c r="O51" s="2583"/>
      <c r="P51" s="2583"/>
      <c r="Q51" s="2583"/>
      <c r="R51" s="2583"/>
      <c r="S51" s="2583"/>
      <c r="T51" s="1699"/>
    </row>
    <row r="52" spans="1:25" s="352" customFormat="1" ht="15" customHeight="1">
      <c r="A52" s="350"/>
      <c r="B52" s="430">
        <v>11</v>
      </c>
      <c r="C52" s="2583" t="s">
        <v>704</v>
      </c>
      <c r="D52" s="2583"/>
      <c r="E52" s="2583"/>
      <c r="F52" s="2583"/>
      <c r="G52" s="2583"/>
      <c r="H52" s="2583"/>
      <c r="I52" s="2583"/>
      <c r="J52" s="2583"/>
      <c r="K52" s="2583"/>
      <c r="L52" s="2583"/>
      <c r="M52" s="2583"/>
      <c r="N52" s="2583"/>
      <c r="O52" s="2583"/>
      <c r="P52" s="2583"/>
      <c r="Q52" s="2583"/>
      <c r="R52" s="2583"/>
      <c r="S52" s="2583"/>
      <c r="T52" s="1699"/>
    </row>
    <row r="53" spans="1:25" s="352" customFormat="1" ht="27.75" customHeight="1">
      <c r="A53" s="350"/>
      <c r="B53" s="430">
        <v>12</v>
      </c>
      <c r="C53" s="2583" t="s">
        <v>1390</v>
      </c>
      <c r="D53" s="2583"/>
      <c r="E53" s="2583"/>
      <c r="F53" s="2583"/>
      <c r="G53" s="2583"/>
      <c r="H53" s="2583"/>
      <c r="I53" s="2583"/>
      <c r="J53" s="2583"/>
      <c r="K53" s="2583"/>
      <c r="L53" s="2583"/>
      <c r="M53" s="2583"/>
      <c r="N53" s="2583"/>
      <c r="O53" s="2583"/>
      <c r="P53" s="2583"/>
      <c r="Q53" s="2583"/>
      <c r="R53" s="2583"/>
      <c r="S53" s="2583"/>
      <c r="T53" s="1699"/>
    </row>
    <row r="54" spans="1:25" s="350" customFormat="1">
      <c r="B54" s="430">
        <v>13</v>
      </c>
      <c r="C54" s="350" t="s">
        <v>1486</v>
      </c>
      <c r="D54" s="1516"/>
      <c r="E54" s="1516"/>
      <c r="F54" s="1516"/>
      <c r="G54" s="1516"/>
      <c r="H54" s="1516"/>
      <c r="I54" s="1516"/>
      <c r="J54" s="1516"/>
      <c r="K54" s="1516"/>
      <c r="L54" s="1516"/>
      <c r="M54" s="1516"/>
      <c r="N54" s="1516"/>
      <c r="O54" s="1516"/>
      <c r="P54" s="1516"/>
      <c r="Q54" s="1516"/>
      <c r="R54" s="1516"/>
      <c r="S54" s="1516"/>
      <c r="T54" s="1516"/>
      <c r="U54" s="1516"/>
      <c r="V54" s="1516"/>
      <c r="W54" s="1516"/>
      <c r="X54" s="1516"/>
      <c r="Y54" s="1516"/>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zoomScaleSheetLayoutView="85" workbookViewId="0">
      <selection activeCell="O10" sqref="O10"/>
    </sheetView>
  </sheetViews>
  <sheetFormatPr defaultRowHeight="15.75"/>
  <cols>
    <col min="1" max="1" width="4.7109375" style="1942" customWidth="1"/>
    <col min="2" max="2" width="14.28515625" style="1942" customWidth="1"/>
    <col min="3" max="23" width="11.5703125" style="1942" customWidth="1"/>
    <col min="24" max="24" width="11.5703125" style="1951" customWidth="1"/>
    <col min="25" max="28" width="11.5703125" style="1942" customWidth="1"/>
    <col min="29" max="29" width="10.85546875" style="1942" customWidth="1"/>
    <col min="30" max="30" width="11.5703125" style="1942" customWidth="1"/>
    <col min="31" max="31" width="3.85546875" style="1942" customWidth="1"/>
    <col min="32" max="32" width="13.28515625" style="1942" customWidth="1"/>
    <col min="33" max="16384" width="9.140625" style="1942"/>
  </cols>
  <sheetData>
    <row r="1" spans="1:29" ht="16.5" customHeight="1">
      <c r="A1" s="1938"/>
      <c r="B1" s="1939" t="s">
        <v>365</v>
      </c>
      <c r="C1" s="1940"/>
      <c r="D1" s="1940"/>
      <c r="E1" s="1940"/>
      <c r="F1" s="1940"/>
      <c r="G1" s="1941"/>
      <c r="H1" s="1941"/>
      <c r="I1" s="1941"/>
      <c r="J1" s="1941"/>
      <c r="K1" s="1941"/>
      <c r="L1" s="1941"/>
      <c r="M1" s="1941"/>
      <c r="N1" s="1941"/>
      <c r="O1" s="1941"/>
      <c r="P1" s="1941"/>
      <c r="Q1" s="1941"/>
      <c r="R1" s="1941"/>
      <c r="S1" s="1941"/>
      <c r="T1" s="1941"/>
      <c r="U1" s="1941"/>
      <c r="V1" s="1941"/>
      <c r="W1" s="1941"/>
      <c r="X1" s="1940"/>
      <c r="Y1" s="1941"/>
      <c r="Z1" s="1941"/>
    </row>
    <row r="2" spans="1:29" ht="16.5" customHeight="1">
      <c r="A2" s="1945"/>
      <c r="B2" s="2595" t="s">
        <v>1069</v>
      </c>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row>
    <row r="3" spans="1:29" ht="16.5" customHeight="1">
      <c r="A3" s="1938"/>
      <c r="B3" s="2480"/>
      <c r="C3" s="1584"/>
      <c r="D3" s="1584"/>
      <c r="E3" s="1584"/>
      <c r="F3" s="1584"/>
      <c r="G3" s="1584"/>
      <c r="H3" s="1944"/>
      <c r="I3" s="1941"/>
      <c r="J3" s="1941"/>
      <c r="K3" s="1941"/>
      <c r="L3" s="1941"/>
      <c r="M3" s="1941"/>
      <c r="N3" s="1941"/>
      <c r="O3" s="1941"/>
      <c r="P3" s="1941"/>
      <c r="Q3" s="1941"/>
      <c r="R3" s="1951"/>
      <c r="S3" s="1941"/>
      <c r="T3" s="1941"/>
      <c r="U3" s="1941"/>
      <c r="V3" s="1941"/>
      <c r="W3" s="1941"/>
      <c r="X3" s="1940"/>
      <c r="Y3" s="1941"/>
      <c r="Z3" s="1941"/>
    </row>
    <row r="4" spans="1:29" ht="16.5" customHeight="1" thickBot="1">
      <c r="R4" s="1951"/>
      <c r="S4" s="1947"/>
      <c r="T4" s="1941"/>
      <c r="U4" s="1947"/>
      <c r="V4" s="1947"/>
      <c r="W4" s="1947"/>
      <c r="X4" s="1948"/>
    </row>
    <row r="5" spans="1:29" ht="16.5" customHeight="1" thickBot="1">
      <c r="B5" s="1949"/>
      <c r="C5" s="2590" t="s">
        <v>1474</v>
      </c>
      <c r="D5" s="2591"/>
      <c r="E5" s="2591"/>
      <c r="F5" s="2591"/>
      <c r="G5" s="2591"/>
      <c r="H5" s="2591"/>
      <c r="I5" s="2591"/>
      <c r="J5" s="2591"/>
      <c r="K5" s="2591"/>
      <c r="L5" s="2591"/>
      <c r="M5" s="2591"/>
      <c r="N5" s="2591"/>
      <c r="O5" s="2591"/>
      <c r="P5" s="2591"/>
      <c r="Q5" s="2591"/>
      <c r="R5" s="2591"/>
      <c r="S5" s="2592"/>
      <c r="T5" s="1941"/>
      <c r="U5" s="2590" t="s">
        <v>822</v>
      </c>
      <c r="V5" s="2591"/>
      <c r="W5" s="2591"/>
      <c r="X5" s="2591"/>
      <c r="Y5" s="2591"/>
      <c r="Z5" s="2592"/>
      <c r="AA5" s="1952"/>
      <c r="AB5" s="1951"/>
      <c r="AC5" s="1951"/>
    </row>
    <row r="6" spans="1:29" ht="16.5" customHeight="1" thickBot="1">
      <c r="B6" s="1953" t="s">
        <v>328</v>
      </c>
      <c r="C6" s="2050" t="s">
        <v>359</v>
      </c>
      <c r="D6" s="1958" t="s">
        <v>821</v>
      </c>
      <c r="E6" s="1959" t="s">
        <v>820</v>
      </c>
      <c r="F6" s="1959" t="s">
        <v>819</v>
      </c>
      <c r="G6" s="1959" t="s">
        <v>818</v>
      </c>
      <c r="H6" s="1959" t="s">
        <v>817</v>
      </c>
      <c r="I6" s="1959" t="s">
        <v>816</v>
      </c>
      <c r="J6" s="1959" t="s">
        <v>815</v>
      </c>
      <c r="K6" s="1959" t="s">
        <v>814</v>
      </c>
      <c r="L6" s="1959" t="s">
        <v>813</v>
      </c>
      <c r="M6" s="1959" t="s">
        <v>812</v>
      </c>
      <c r="N6" s="1959" t="s">
        <v>811</v>
      </c>
      <c r="O6" s="1959" t="s">
        <v>810</v>
      </c>
      <c r="P6" s="1959" t="s">
        <v>1830</v>
      </c>
      <c r="Q6" s="1959" t="s">
        <v>2190</v>
      </c>
      <c r="R6" s="1959" t="s">
        <v>2191</v>
      </c>
      <c r="S6" s="1957" t="s">
        <v>397</v>
      </c>
      <c r="T6" s="1941"/>
      <c r="U6" s="1958" t="s">
        <v>809</v>
      </c>
      <c r="V6" s="1959" t="s">
        <v>808</v>
      </c>
      <c r="W6" s="1959" t="s">
        <v>807</v>
      </c>
      <c r="X6" s="1959" t="s">
        <v>806</v>
      </c>
      <c r="Y6" s="1960" t="s">
        <v>1010</v>
      </c>
      <c r="Z6" s="1957" t="s">
        <v>805</v>
      </c>
      <c r="AA6" s="1952"/>
      <c r="AB6" s="1951"/>
      <c r="AC6" s="1951"/>
    </row>
    <row r="7" spans="1:29" ht="47.25" customHeight="1">
      <c r="B7" s="1961" t="s">
        <v>760</v>
      </c>
      <c r="C7" s="2504" t="s">
        <v>365</v>
      </c>
      <c r="D7" s="1964" t="s">
        <v>804</v>
      </c>
      <c r="E7" s="1964" t="s">
        <v>803</v>
      </c>
      <c r="F7" s="1964" t="s">
        <v>2166</v>
      </c>
      <c r="G7" s="1964" t="s">
        <v>802</v>
      </c>
      <c r="H7" s="1964" t="s">
        <v>801</v>
      </c>
      <c r="I7" s="1964" t="s">
        <v>800</v>
      </c>
      <c r="J7" s="1964" t="s">
        <v>2167</v>
      </c>
      <c r="K7" s="1964" t="s">
        <v>799</v>
      </c>
      <c r="L7" s="1964" t="s">
        <v>798</v>
      </c>
      <c r="M7" s="1964" t="s">
        <v>797</v>
      </c>
      <c r="N7" s="1964" t="s">
        <v>796</v>
      </c>
      <c r="O7" s="1964" t="s">
        <v>757</v>
      </c>
      <c r="P7" s="1964" t="s">
        <v>2192</v>
      </c>
      <c r="Q7" s="1964" t="s">
        <v>2193</v>
      </c>
      <c r="R7" s="2490" t="s">
        <v>2194</v>
      </c>
      <c r="S7" s="2499"/>
      <c r="T7" s="1941"/>
      <c r="U7" s="1963" t="s">
        <v>795</v>
      </c>
      <c r="V7" s="1964" t="s">
        <v>794</v>
      </c>
      <c r="W7" s="1964" t="s">
        <v>793</v>
      </c>
      <c r="X7" s="1964" t="s">
        <v>1945</v>
      </c>
      <c r="Y7" s="1966" t="s">
        <v>1011</v>
      </c>
      <c r="Z7" s="1967"/>
      <c r="AA7" s="1952"/>
      <c r="AB7" s="1951"/>
      <c r="AC7" s="1951"/>
    </row>
    <row r="8" spans="1:29" ht="15.75" customHeight="1">
      <c r="B8" s="1968" t="s">
        <v>468</v>
      </c>
      <c r="C8" s="2505" t="s">
        <v>792</v>
      </c>
      <c r="D8" s="1966" t="s">
        <v>791</v>
      </c>
      <c r="E8" s="1966" t="s">
        <v>791</v>
      </c>
      <c r="F8" s="1966" t="s">
        <v>791</v>
      </c>
      <c r="G8" s="1966" t="s">
        <v>791</v>
      </c>
      <c r="H8" s="1966" t="s">
        <v>791</v>
      </c>
      <c r="I8" s="1966" t="s">
        <v>791</v>
      </c>
      <c r="J8" s="1966" t="s">
        <v>791</v>
      </c>
      <c r="K8" s="1966" t="s">
        <v>791</v>
      </c>
      <c r="L8" s="1966" t="s">
        <v>791</v>
      </c>
      <c r="M8" s="1966" t="s">
        <v>791</v>
      </c>
      <c r="N8" s="1966" t="s">
        <v>791</v>
      </c>
      <c r="O8" s="1966" t="s">
        <v>791</v>
      </c>
      <c r="P8" s="1966" t="s">
        <v>791</v>
      </c>
      <c r="Q8" s="1966" t="s">
        <v>791</v>
      </c>
      <c r="R8" s="2491" t="s">
        <v>791</v>
      </c>
      <c r="S8" s="2500" t="s">
        <v>790</v>
      </c>
      <c r="T8" s="1951"/>
      <c r="U8" s="1970" t="s">
        <v>789</v>
      </c>
      <c r="V8" s="1966" t="s">
        <v>789</v>
      </c>
      <c r="W8" s="1966" t="s">
        <v>789</v>
      </c>
      <c r="X8" s="1966" t="s">
        <v>789</v>
      </c>
      <c r="Y8" s="1966" t="s">
        <v>789</v>
      </c>
      <c r="Z8" s="1967" t="s">
        <v>788</v>
      </c>
      <c r="AA8" s="1951"/>
    </row>
    <row r="9" spans="1:29" ht="16.5" customHeight="1" thickBot="1">
      <c r="B9" s="1972" t="s">
        <v>752</v>
      </c>
      <c r="C9" s="2506" t="s">
        <v>2178</v>
      </c>
      <c r="D9" s="1976" t="s">
        <v>786</v>
      </c>
      <c r="E9" s="1976" t="s">
        <v>785</v>
      </c>
      <c r="F9" s="1976" t="s">
        <v>2169</v>
      </c>
      <c r="G9" s="1976" t="s">
        <v>784</v>
      </c>
      <c r="H9" s="1976" t="s">
        <v>783</v>
      </c>
      <c r="I9" s="1976" t="s">
        <v>782</v>
      </c>
      <c r="J9" s="1976" t="s">
        <v>781</v>
      </c>
      <c r="K9" s="1976" t="s">
        <v>780</v>
      </c>
      <c r="L9" s="1976" t="s">
        <v>779</v>
      </c>
      <c r="M9" s="1976" t="s">
        <v>778</v>
      </c>
      <c r="N9" s="1976" t="s">
        <v>777</v>
      </c>
      <c r="O9" s="1976" t="s">
        <v>1719</v>
      </c>
      <c r="P9" s="1976" t="s">
        <v>2170</v>
      </c>
      <c r="Q9" s="1976" t="s">
        <v>2195</v>
      </c>
      <c r="R9" s="2492" t="s">
        <v>2196</v>
      </c>
      <c r="S9" s="2501"/>
      <c r="T9" s="1951"/>
      <c r="U9" s="1975" t="s">
        <v>776</v>
      </c>
      <c r="V9" s="1976" t="s">
        <v>775</v>
      </c>
      <c r="W9" s="1976" t="s">
        <v>774</v>
      </c>
      <c r="X9" s="1976" t="s">
        <v>2189</v>
      </c>
      <c r="Y9" s="1976" t="s">
        <v>1012</v>
      </c>
      <c r="Z9" s="1978"/>
      <c r="AA9" s="1951"/>
    </row>
    <row r="10" spans="1:29">
      <c r="B10" s="1953" t="s">
        <v>147</v>
      </c>
      <c r="C10" s="2507">
        <v>8529.48</v>
      </c>
      <c r="D10" s="2497">
        <f>ROUND(AVERAGE('Att 9a1-2015 Actual'!F10,'Att 9a2 - 2014 actual'!F10,'Att 9a3 - 2013 actual'!F10),2)</f>
        <v>5.21</v>
      </c>
      <c r="E10" s="2497">
        <f>ROUND(AVERAGE('Att 9a1-2015 Actual'!G10,'Att 9a2 - 2014 actual'!G10,'Att 9a3 - 2013 actual'!G10),2)</f>
        <v>3.37</v>
      </c>
      <c r="F10" s="2497">
        <f>ROUND(AVERAGE('Att 9a1-2015 Actual'!H10,'Att 9a2 - 2014 actual'!H10,'Att 9a3 - 2013 actual'!H10),2)</f>
        <v>26.32</v>
      </c>
      <c r="G10" s="2497">
        <f>ROUND(AVERAGE('Att 9a1-2015 Actual'!I10,'Att 9a2 - 2014 actual'!I10,'Att 9a3 - 2013 actual'!I10),2)</f>
        <v>1.29</v>
      </c>
      <c r="H10" s="2497">
        <f>ROUND(AVERAGE('Att 9a1-2015 Actual'!J10,'Att 9a2 - 2014 actual'!J10,'Att 9a3 - 2013 actual'!J10),2)</f>
        <v>0.21</v>
      </c>
      <c r="I10" s="2497">
        <f>ROUND(AVERAGE('Att 9a1-2015 Actual'!K10,'Att 9a2 - 2014 actual'!K10,'Att 9a3 - 2013 actual'!K10),2)</f>
        <v>8.68</v>
      </c>
      <c r="J10" s="2497">
        <f>ROUND(AVERAGE('Att 9a1-2015 Actual'!L10,'Att 9a2 - 2014 actual'!L10,'Att 9a3 - 2013 actual'!L10),2)</f>
        <v>19.95</v>
      </c>
      <c r="K10" s="2497">
        <f>ROUND(AVERAGE('Att 9a1-2015 Actual'!M10,'Att 9a2 - 2014 actual'!M10,'Att 9a3 - 2013 actual'!M10),2)</f>
        <v>0.27</v>
      </c>
      <c r="L10" s="2497">
        <f>ROUND(AVERAGE('Att 9a1-2015 Actual'!N10,'Att 9a2 - 2014 actual'!N10,'Att 9a3 - 2013 actual'!N10),2)</f>
        <v>49.4</v>
      </c>
      <c r="M10" s="2497">
        <f>ROUND(AVERAGE('Att 9a1-2015 Actual'!O10,'Att 9a2 - 2014 actual'!O10,'Att 9a3 - 2013 actual'!O10),2)</f>
        <v>0</v>
      </c>
      <c r="N10" s="2497">
        <f>ROUND(AVERAGE('Att 9a1-2015 Actual'!P10,'Att 9a2 - 2014 actual'!P10,'Att 9a3 - 2013 actual'!P10),2)</f>
        <v>0</v>
      </c>
      <c r="O10" s="2497">
        <f>ROUND(AVERAGE('Att 9a1-2015 Actual'!Q10,'Att 9a2 - 2014 actual'!Q10),2)</f>
        <v>4.16</v>
      </c>
      <c r="P10" s="2497">
        <f>'Att 9a1-2015 Actual'!R10</f>
        <v>3.0710000000000002</v>
      </c>
      <c r="Q10" s="2497">
        <v>0</v>
      </c>
      <c r="R10" s="2498">
        <v>0</v>
      </c>
      <c r="S10" s="2502">
        <f>SUM(D10:R10)</f>
        <v>121.93099999999998</v>
      </c>
      <c r="T10" s="1951"/>
      <c r="U10" s="1984">
        <f>ROUND(AVERAGE('Att 9a1-2015 Actual'!E31,'Att 9a2 - 2014 actual'!E31,'Att 9a3 - 2013 actual'!E31),2)</f>
        <v>381.02</v>
      </c>
      <c r="V10" s="1980">
        <f>ROUND(AVERAGE('Att 9a1-2015 Actual'!F31,'Att 9a2 - 2014 actual'!F31,'Att 9a3 - 2013 actual'!F31),2)</f>
        <v>99.73</v>
      </c>
      <c r="W10" s="1980">
        <f>ROUND(AVERAGE('Att 9a1-2015 Actual'!G31,'Att 9a2 - 2014 actual'!G31,'Att 9a3 - 2013 actual'!G31),2)</f>
        <v>71.78</v>
      </c>
      <c r="X10" s="1980">
        <f>ROUND(AVERAGE('Att 9a1-2015 Actual'!H31,'Att 9a2 - 2014 actual'!H31,'Att 9a3 - 2013 actual'!H31),2)</f>
        <v>338.67</v>
      </c>
      <c r="Y10" s="1980">
        <f>ROUND(AVERAGE('Att 9a1-2015 Actual'!I31,'Att 9a2 - 2014 actual'!I31,'Att 9a3 - 2013 actual'!I31),2)</f>
        <v>0</v>
      </c>
      <c r="Z10" s="1983">
        <f>SUM(U10:Y10)</f>
        <v>891.2</v>
      </c>
      <c r="AA10" s="1985"/>
    </row>
    <row r="11" spans="1:29">
      <c r="B11" s="1953" t="s">
        <v>148</v>
      </c>
      <c r="C11" s="1986">
        <v>8267.5400000000009</v>
      </c>
      <c r="D11" s="2274">
        <f>ROUND(AVERAGE('Att 9a1-2015 Actual'!F11,'Att 9a2 - 2014 actual'!F11,'Att 9a3 - 2013 actual'!F11),2)</f>
        <v>6.2</v>
      </c>
      <c r="E11" s="2274">
        <f>ROUND(AVERAGE('Att 9a1-2015 Actual'!G11,'Att 9a2 - 2014 actual'!G11,'Att 9a3 - 2013 actual'!G11),2)</f>
        <v>3.33</v>
      </c>
      <c r="F11" s="2274">
        <f>ROUND(AVERAGE('Att 9a1-2015 Actual'!H11,'Att 9a2 - 2014 actual'!H11,'Att 9a3 - 2013 actual'!H11),2)</f>
        <v>28.61</v>
      </c>
      <c r="G11" s="2274">
        <f>ROUND(AVERAGE('Att 9a1-2015 Actual'!I11,'Att 9a2 - 2014 actual'!I11,'Att 9a3 - 2013 actual'!I11),2)</f>
        <v>1.36</v>
      </c>
      <c r="H11" s="2274">
        <f>ROUND(AVERAGE('Att 9a1-2015 Actual'!J11,'Att 9a2 - 2014 actual'!J11,'Att 9a3 - 2013 actual'!J11),2)</f>
        <v>0.25</v>
      </c>
      <c r="I11" s="2274">
        <f>ROUND(AVERAGE('Att 9a1-2015 Actual'!K11,'Att 9a2 - 2014 actual'!K11,'Att 9a3 - 2013 actual'!K11),2)</f>
        <v>21.46</v>
      </c>
      <c r="J11" s="2274">
        <f>ROUND(AVERAGE('Att 9a1-2015 Actual'!L11,'Att 9a2 - 2014 actual'!L11,'Att 9a3 - 2013 actual'!L11),2)</f>
        <v>19.760000000000002</v>
      </c>
      <c r="K11" s="2274">
        <f>ROUND(AVERAGE('Att 9a1-2015 Actual'!M11,'Att 9a2 - 2014 actual'!M11,'Att 9a3 - 2013 actual'!M11),2)</f>
        <v>0.6</v>
      </c>
      <c r="L11" s="2274">
        <f>ROUND(AVERAGE('Att 9a1-2015 Actual'!N11,'Att 9a2 - 2014 actual'!N11,'Att 9a3 - 2013 actual'!N11),2)</f>
        <v>50.7</v>
      </c>
      <c r="M11" s="2274">
        <f>ROUND(AVERAGE('Att 9a1-2015 Actual'!O11,'Att 9a2 - 2014 actual'!O11,'Att 9a3 - 2013 actual'!O11),2)</f>
        <v>0</v>
      </c>
      <c r="N11" s="2274">
        <f>ROUND(AVERAGE('Att 9a1-2015 Actual'!P11,'Att 9a2 - 2014 actual'!P11,'Att 9a3 - 2013 actual'!P11),2)</f>
        <v>0</v>
      </c>
      <c r="O11" s="2274">
        <f>ROUND(AVERAGE('Att 9a1-2015 Actual'!Q11,'Att 9a2 - 2014 actual'!Q11),2)</f>
        <v>7.66</v>
      </c>
      <c r="P11" s="2274">
        <f>'Att 9a1-2015 Actual'!R11</f>
        <v>2.8639999999999999</v>
      </c>
      <c r="Q11" s="2274">
        <v>0</v>
      </c>
      <c r="R11" s="2493">
        <v>0</v>
      </c>
      <c r="S11" s="2502">
        <f t="shared" ref="S11:S21" si="0">SUM(D11:R11)</f>
        <v>142.79399999999998</v>
      </c>
      <c r="T11" s="1951"/>
      <c r="U11" s="1984">
        <f>ROUND(AVERAGE('Att 9a1-2015 Actual'!E32,'Att 9a2 - 2014 actual'!E32,'Att 9a3 - 2013 actual'!E32),2)</f>
        <v>328.1</v>
      </c>
      <c r="V11" s="1980">
        <f>ROUND(AVERAGE('Att 9a1-2015 Actual'!F32,'Att 9a2 - 2014 actual'!F32,'Att 9a3 - 2013 actual'!F32),2)</f>
        <v>78.72</v>
      </c>
      <c r="W11" s="1980">
        <f>ROUND(AVERAGE('Att 9a1-2015 Actual'!G32,'Att 9a2 - 2014 actual'!G32,'Att 9a3 - 2013 actual'!G32),2)</f>
        <v>77.7</v>
      </c>
      <c r="X11" s="1980">
        <f>ROUND(AVERAGE('Att 9a1-2015 Actual'!H32,'Att 9a2 - 2014 actual'!H32,'Att 9a3 - 2013 actual'!H32),2)</f>
        <v>305.67</v>
      </c>
      <c r="Y11" s="1980">
        <f>ROUND(AVERAGE('Att 9a1-2015 Actual'!I32,'Att 9a2 - 2014 actual'!I32,'Att 9a3 - 2013 actual'!I32),2)</f>
        <v>0</v>
      </c>
      <c r="Z11" s="1983">
        <f t="shared" ref="Z11:Z21" si="1">SUM(U11:Y11)</f>
        <v>790.19</v>
      </c>
      <c r="AA11" s="1985"/>
    </row>
    <row r="12" spans="1:29">
      <c r="B12" s="1953" t="s">
        <v>352</v>
      </c>
      <c r="C12" s="1986">
        <v>7752.28</v>
      </c>
      <c r="D12" s="2274">
        <f>ROUND(AVERAGE('Att 9a1-2015 Actual'!F12,'Att 9a2 - 2014 actual'!F12,'Att 9a3 - 2013 actual'!F12),2)</f>
        <v>6.04</v>
      </c>
      <c r="E12" s="2274">
        <f>ROUND(AVERAGE('Att 9a1-2015 Actual'!G12,'Att 9a2 - 2014 actual'!G12,'Att 9a3 - 2013 actual'!G12),2)</f>
        <v>3.23</v>
      </c>
      <c r="F12" s="2274">
        <f>ROUND(AVERAGE('Att 9a1-2015 Actual'!H12,'Att 9a2 - 2014 actual'!H12,'Att 9a3 - 2013 actual'!H12),2)</f>
        <v>25.52</v>
      </c>
      <c r="G12" s="2274">
        <f>ROUND(AVERAGE('Att 9a1-2015 Actual'!I12,'Att 9a2 - 2014 actual'!I12,'Att 9a3 - 2013 actual'!I12),2)</f>
        <v>1.1599999999999999</v>
      </c>
      <c r="H12" s="2274">
        <f>ROUND(AVERAGE('Att 9a1-2015 Actual'!J12,'Att 9a2 - 2014 actual'!J12,'Att 9a3 - 2013 actual'!J12),2)</f>
        <v>0.22</v>
      </c>
      <c r="I12" s="2274">
        <f>ROUND(AVERAGE('Att 9a1-2015 Actual'!K12,'Att 9a2 - 2014 actual'!K12,'Att 9a3 - 2013 actual'!K12),2)</f>
        <v>13.88</v>
      </c>
      <c r="J12" s="2274">
        <f>ROUND(AVERAGE('Att 9a1-2015 Actual'!L12,'Att 9a2 - 2014 actual'!L12,'Att 9a3 - 2013 actual'!L12),2)</f>
        <v>19.420000000000002</v>
      </c>
      <c r="K12" s="2274">
        <f>ROUND(AVERAGE('Att 9a1-2015 Actual'!M12,'Att 9a2 - 2014 actual'!M12,'Att 9a3 - 2013 actual'!M12),2)</f>
        <v>1.04</v>
      </c>
      <c r="L12" s="2274">
        <f>ROUND(AVERAGE('Att 9a1-2015 Actual'!N12,'Att 9a2 - 2014 actual'!N12,'Att 9a3 - 2013 actual'!N12),2)</f>
        <v>44.43</v>
      </c>
      <c r="M12" s="2274">
        <f>ROUND(AVERAGE('Att 9a1-2015 Actual'!O12,'Att 9a2 - 2014 actual'!O12,'Att 9a3 - 2013 actual'!O12),2)</f>
        <v>0.01</v>
      </c>
      <c r="N12" s="2274">
        <f>ROUND(AVERAGE('Att 9a1-2015 Actual'!P12,'Att 9a2 - 2014 actual'!P12,'Att 9a3 - 2013 actual'!P12),2)</f>
        <v>0</v>
      </c>
      <c r="O12" s="2274">
        <f>ROUND(AVERAGE('Att 9a1-2015 Actual'!Q12,'Att 9a2 - 2014 actual'!Q12),2)</f>
        <v>4.6100000000000003</v>
      </c>
      <c r="P12" s="2274">
        <f>'Att 9a1-2015 Actual'!R12</f>
        <v>2.76</v>
      </c>
      <c r="Q12" s="2274">
        <v>0</v>
      </c>
      <c r="R12" s="2493">
        <v>0</v>
      </c>
      <c r="S12" s="2502">
        <f t="shared" si="0"/>
        <v>122.32000000000001</v>
      </c>
      <c r="T12" s="1951"/>
      <c r="U12" s="1984">
        <f>ROUND(AVERAGE('Att 9a1-2015 Actual'!E33,'Att 9a2 - 2014 actual'!E33,'Att 9a3 - 2013 actual'!E33),2)</f>
        <v>309.95999999999998</v>
      </c>
      <c r="V12" s="1980">
        <f>ROUND(AVERAGE('Att 9a1-2015 Actual'!F33,'Att 9a2 - 2014 actual'!F33,'Att 9a3 - 2013 actual'!F33),2)</f>
        <v>69.45</v>
      </c>
      <c r="W12" s="1980">
        <f>ROUND(AVERAGE('Att 9a1-2015 Actual'!G33,'Att 9a2 - 2014 actual'!G33,'Att 9a3 - 2013 actual'!G33),2)</f>
        <v>82.01</v>
      </c>
      <c r="X12" s="1980">
        <f>ROUND(AVERAGE('Att 9a1-2015 Actual'!H33,'Att 9a2 - 2014 actual'!H33,'Att 9a3 - 2013 actual'!H33),2)</f>
        <v>285.33</v>
      </c>
      <c r="Y12" s="1980">
        <f>ROUND(AVERAGE('Att 9a1-2015 Actual'!I33,'Att 9a2 - 2014 actual'!I33,'Att 9a3 - 2013 actual'!I33),2)</f>
        <v>0</v>
      </c>
      <c r="Z12" s="1983">
        <f t="shared" si="1"/>
        <v>746.75</v>
      </c>
      <c r="AA12" s="1985"/>
    </row>
    <row r="13" spans="1:29">
      <c r="B13" s="1953" t="s">
        <v>143</v>
      </c>
      <c r="C13" s="1986">
        <v>7378.77</v>
      </c>
      <c r="D13" s="2274">
        <f>ROUND(AVERAGE('Att 9a1-2015 Actual'!F13,'Att 9a2 - 2014 actual'!F13,'Att 9a3 - 2013 actual'!F13),2)</f>
        <v>5.5</v>
      </c>
      <c r="E13" s="2274">
        <f>ROUND(AVERAGE('Att 9a1-2015 Actual'!G13,'Att 9a2 - 2014 actual'!G13,'Att 9a3 - 2013 actual'!G13),2)</f>
        <v>3.14</v>
      </c>
      <c r="F13" s="2274">
        <f>ROUND(AVERAGE('Att 9a1-2015 Actual'!H13,'Att 9a2 - 2014 actual'!H13,'Att 9a3 - 2013 actual'!H13),2)</f>
        <v>21.7</v>
      </c>
      <c r="G13" s="2274">
        <f>ROUND(AVERAGE('Att 9a1-2015 Actual'!I13,'Att 9a2 - 2014 actual'!I13,'Att 9a3 - 2013 actual'!I13),2)</f>
        <v>0.9</v>
      </c>
      <c r="H13" s="2274">
        <f>ROUND(AVERAGE('Att 9a1-2015 Actual'!J13,'Att 9a2 - 2014 actual'!J13,'Att 9a3 - 2013 actual'!J13),2)</f>
        <v>0.01</v>
      </c>
      <c r="I13" s="2274">
        <f>ROUND(AVERAGE('Att 9a1-2015 Actual'!K13,'Att 9a2 - 2014 actual'!K13,'Att 9a3 - 2013 actual'!K13),2)</f>
        <v>11.51</v>
      </c>
      <c r="J13" s="2274">
        <f>ROUND(AVERAGE('Att 9a1-2015 Actual'!L13,'Att 9a2 - 2014 actual'!L13,'Att 9a3 - 2013 actual'!L13),2)</f>
        <v>19.850000000000001</v>
      </c>
      <c r="K13" s="2274">
        <f>ROUND(AVERAGE('Att 9a1-2015 Actual'!M13,'Att 9a2 - 2014 actual'!M13,'Att 9a3 - 2013 actual'!M13),2)</f>
        <v>0.42</v>
      </c>
      <c r="L13" s="2274">
        <f>ROUND(AVERAGE('Att 9a1-2015 Actual'!N13,'Att 9a2 - 2014 actual'!N13,'Att 9a3 - 2013 actual'!N13),2)</f>
        <v>39.83</v>
      </c>
      <c r="M13" s="2274">
        <f>ROUND(AVERAGE('Att 9a1-2015 Actual'!O13,'Att 9a2 - 2014 actual'!O13,'Att 9a3 - 2013 actual'!O13),2)</f>
        <v>0.25</v>
      </c>
      <c r="N13" s="2274">
        <f>ROUND(AVERAGE('Att 9a1-2015 Actual'!P13,'Att 9a2 - 2014 actual'!P13,'Att 9a3 - 2013 actual'!P13),2)</f>
        <v>0.84</v>
      </c>
      <c r="O13" s="2274">
        <f>ROUND(AVERAGE('Att 9a1-2015 Actual'!Q13,'Att 9a2 - 2014 actual'!Q13),2)</f>
        <v>5.24</v>
      </c>
      <c r="P13" s="2274">
        <f>'Att 9a1-2015 Actual'!R13</f>
        <v>0.54</v>
      </c>
      <c r="Q13" s="2274">
        <v>0</v>
      </c>
      <c r="R13" s="2493">
        <v>0</v>
      </c>
      <c r="S13" s="2502">
        <f t="shared" si="0"/>
        <v>109.73</v>
      </c>
      <c r="T13" s="1951"/>
      <c r="U13" s="1984">
        <f>ROUND(AVERAGE('Att 9a1-2015 Actual'!E34,'Att 9a2 - 2014 actual'!E34,'Att 9a3 - 2013 actual'!E34),2)</f>
        <v>307.41000000000003</v>
      </c>
      <c r="V13" s="1980">
        <f>ROUND(AVERAGE('Att 9a1-2015 Actual'!F34,'Att 9a2 - 2014 actual'!F34,'Att 9a3 - 2013 actual'!F34),2)</f>
        <v>53.85</v>
      </c>
      <c r="W13" s="1980">
        <f>ROUND(AVERAGE('Att 9a1-2015 Actual'!G34,'Att 9a2 - 2014 actual'!G34,'Att 9a3 - 2013 actual'!G34),2)</f>
        <v>71.25</v>
      </c>
      <c r="X13" s="1980">
        <f>ROUND(AVERAGE('Att 9a1-2015 Actual'!H34,'Att 9a2 - 2014 actual'!H34,'Att 9a3 - 2013 actual'!H34),2)</f>
        <v>261.67</v>
      </c>
      <c r="Y13" s="1980">
        <f>ROUND(AVERAGE('Att 9a1-2015 Actual'!I34,'Att 9a2 - 2014 actual'!I34,'Att 9a3 - 2013 actual'!I34),2)</f>
        <v>0</v>
      </c>
      <c r="Z13" s="1983">
        <f t="shared" si="1"/>
        <v>694.18000000000006</v>
      </c>
      <c r="AA13" s="1985"/>
    </row>
    <row r="14" spans="1:29">
      <c r="A14" s="1979"/>
      <c r="B14" s="1953" t="s">
        <v>144</v>
      </c>
      <c r="C14" s="1986">
        <v>7931.48</v>
      </c>
      <c r="D14" s="2274">
        <f>ROUND(AVERAGE('Att 9a1-2015 Actual'!F14,'Att 9a2 - 2014 actual'!F14,'Att 9a3 - 2013 actual'!F14),2)</f>
        <v>4.8499999999999996</v>
      </c>
      <c r="E14" s="2274">
        <f>ROUND(AVERAGE('Att 9a1-2015 Actual'!G14,'Att 9a2 - 2014 actual'!G14,'Att 9a3 - 2013 actual'!G14),2)</f>
        <v>2.84</v>
      </c>
      <c r="F14" s="2274">
        <f>ROUND(AVERAGE('Att 9a1-2015 Actual'!H14,'Att 9a2 - 2014 actual'!H14,'Att 9a3 - 2013 actual'!H14),2)</f>
        <v>10.83</v>
      </c>
      <c r="G14" s="2274">
        <f>ROUND(AVERAGE('Att 9a1-2015 Actual'!I14,'Att 9a2 - 2014 actual'!I14,'Att 9a3 - 2013 actual'!I14),2)</f>
        <v>0.35</v>
      </c>
      <c r="H14" s="2274">
        <f>ROUND(AVERAGE('Att 9a1-2015 Actual'!J14,'Att 9a2 - 2014 actual'!J14,'Att 9a3 - 2013 actual'!J14),2)</f>
        <v>0.14000000000000001</v>
      </c>
      <c r="I14" s="2274">
        <f>ROUND(AVERAGE('Att 9a1-2015 Actual'!K14,'Att 9a2 - 2014 actual'!K14,'Att 9a3 - 2013 actual'!K14),2)</f>
        <v>10.1</v>
      </c>
      <c r="J14" s="2274">
        <f>ROUND(AVERAGE('Att 9a1-2015 Actual'!L14,'Att 9a2 - 2014 actual'!L14,'Att 9a3 - 2013 actual'!L14),2)</f>
        <v>21.6</v>
      </c>
      <c r="K14" s="2274">
        <f>ROUND(AVERAGE('Att 9a1-2015 Actual'!M14,'Att 9a2 - 2014 actual'!M14,'Att 9a3 - 2013 actual'!M14),2)</f>
        <v>0.26</v>
      </c>
      <c r="L14" s="2274">
        <f>ROUND(AVERAGE('Att 9a1-2015 Actual'!N14,'Att 9a2 - 2014 actual'!N14,'Att 9a3 - 2013 actual'!N14),2)</f>
        <v>40.1</v>
      </c>
      <c r="M14" s="2274">
        <f>ROUND(AVERAGE('Att 9a1-2015 Actual'!O14,'Att 9a2 - 2014 actual'!O14,'Att 9a3 - 2013 actual'!O14),2)</f>
        <v>0.48</v>
      </c>
      <c r="N14" s="2274">
        <f>ROUND(AVERAGE('Att 9a1-2015 Actual'!P14,'Att 9a2 - 2014 actual'!P14,'Att 9a3 - 2013 actual'!P14),2)</f>
        <v>2.19</v>
      </c>
      <c r="O14" s="2274">
        <f>ROUND(AVERAGE('Att 9a1-2015 Actual'!Q14,'Att 9a2 - 2014 actual'!Q14),2)</f>
        <v>5.56</v>
      </c>
      <c r="P14" s="2274">
        <f>'Att 9a1-2015 Actual'!R14</f>
        <v>2.1640000000000001</v>
      </c>
      <c r="Q14" s="2274">
        <v>0</v>
      </c>
      <c r="R14" s="2493">
        <v>0</v>
      </c>
      <c r="S14" s="2502">
        <f t="shared" si="0"/>
        <v>101.464</v>
      </c>
      <c r="T14" s="1951"/>
      <c r="U14" s="1984">
        <f>ROUND(AVERAGE('Att 9a1-2015 Actual'!E35,'Att 9a2 - 2014 actual'!E35,'Att 9a3 - 2013 actual'!E35),2)</f>
        <v>400.03</v>
      </c>
      <c r="V14" s="1980">
        <f>ROUND(AVERAGE('Att 9a1-2015 Actual'!F35,'Att 9a2 - 2014 actual'!F35,'Att 9a3 - 2013 actual'!F35),2)</f>
        <v>101.76</v>
      </c>
      <c r="W14" s="1980">
        <f>ROUND(AVERAGE('Att 9a1-2015 Actual'!G35,'Att 9a2 - 2014 actual'!G35,'Att 9a3 - 2013 actual'!G35),2)</f>
        <v>88.81</v>
      </c>
      <c r="X14" s="1980">
        <f>ROUND(AVERAGE('Att 9a1-2015 Actual'!H35,'Att 9a2 - 2014 actual'!H35,'Att 9a3 - 2013 actual'!H35),2)</f>
        <v>316</v>
      </c>
      <c r="Y14" s="1980">
        <f>ROUND(AVERAGE('Att 9a1-2015 Actual'!I35,'Att 9a2 - 2014 actual'!I35,'Att 9a3 - 2013 actual'!I35),2)</f>
        <v>0</v>
      </c>
      <c r="Z14" s="1983">
        <f t="shared" si="1"/>
        <v>906.59999999999991</v>
      </c>
      <c r="AA14" s="1985"/>
    </row>
    <row r="15" spans="1:29">
      <c r="B15" s="1953" t="s">
        <v>151</v>
      </c>
      <c r="C15" s="1986">
        <v>9786.91</v>
      </c>
      <c r="D15" s="2274">
        <f>ROUND(AVERAGE('Att 9a1-2015 Actual'!F15,'Att 9a2 - 2014 actual'!F15,'Att 9a3 - 2013 actual'!F15),2)</f>
        <v>5.29</v>
      </c>
      <c r="E15" s="2274">
        <f>ROUND(AVERAGE('Att 9a1-2015 Actual'!G15,'Att 9a2 - 2014 actual'!G15,'Att 9a3 - 2013 actual'!G15),2)</f>
        <v>3.37</v>
      </c>
      <c r="F15" s="2274">
        <f>ROUND(AVERAGE('Att 9a1-2015 Actual'!H15,'Att 9a2 - 2014 actual'!H15,'Att 9a3 - 2013 actual'!H15),2)</f>
        <v>12.24</v>
      </c>
      <c r="G15" s="2274">
        <f>ROUND(AVERAGE('Att 9a1-2015 Actual'!I15,'Att 9a2 - 2014 actual'!I15,'Att 9a3 - 2013 actual'!I15),2)</f>
        <v>0.34</v>
      </c>
      <c r="H15" s="2274">
        <f>ROUND(AVERAGE('Att 9a1-2015 Actual'!J15,'Att 9a2 - 2014 actual'!J15,'Att 9a3 - 2013 actual'!J15),2)</f>
        <v>0.1</v>
      </c>
      <c r="I15" s="2274">
        <f>ROUND(AVERAGE('Att 9a1-2015 Actual'!K15,'Att 9a2 - 2014 actual'!K15,'Att 9a3 - 2013 actual'!K15),2)</f>
        <v>13.59</v>
      </c>
      <c r="J15" s="2274">
        <f>ROUND(AVERAGE('Att 9a1-2015 Actual'!L15,'Att 9a2 - 2014 actual'!L15,'Att 9a3 - 2013 actual'!L15),2)</f>
        <v>25</v>
      </c>
      <c r="K15" s="2274">
        <f>ROUND(AVERAGE('Att 9a1-2015 Actual'!M15,'Att 9a2 - 2014 actual'!M15,'Att 9a3 - 2013 actual'!M15),2)</f>
        <v>0.22</v>
      </c>
      <c r="L15" s="2274">
        <f>ROUND(AVERAGE('Att 9a1-2015 Actual'!N15,'Att 9a2 - 2014 actual'!N15,'Att 9a3 - 2013 actual'!N15),2)</f>
        <v>48.48</v>
      </c>
      <c r="M15" s="2274">
        <f>ROUND(AVERAGE('Att 9a1-2015 Actual'!O15,'Att 9a2 - 2014 actual'!O15,'Att 9a3 - 2013 actual'!O15),2)</f>
        <v>0.48</v>
      </c>
      <c r="N15" s="2274">
        <f>ROUND(AVERAGE('Att 9a1-2015 Actual'!P15,'Att 9a2 - 2014 actual'!P15,'Att 9a3 - 2013 actual'!P15),2)</f>
        <v>3.24</v>
      </c>
      <c r="O15" s="2274">
        <f>ROUND(AVERAGE('Att 9a1-2015 Actual'!Q15,'Att 9a2 - 2014 actual'!Q15,'Att 9a3 - 2013 actual'!Q15),2)</f>
        <v>4.8099999999999996</v>
      </c>
      <c r="P15" s="2274">
        <f>'Att 9a1-2015 Actual'!R15</f>
        <v>4.0019999999999998</v>
      </c>
      <c r="Q15" s="2274">
        <v>0</v>
      </c>
      <c r="R15" s="2493">
        <v>0</v>
      </c>
      <c r="S15" s="2502">
        <f t="shared" si="0"/>
        <v>121.16199999999999</v>
      </c>
      <c r="T15" s="1951"/>
      <c r="U15" s="1984">
        <f>ROUND(AVERAGE('Att 9a1-2015 Actual'!E36,'Att 9a2 - 2014 actual'!E36,'Att 9a3 - 2013 actual'!E36),2)</f>
        <v>640.4</v>
      </c>
      <c r="V15" s="1980">
        <f>ROUND(AVERAGE('Att 9a1-2015 Actual'!F36,'Att 9a2 - 2014 actual'!F36,'Att 9a3 - 2013 actual'!F36),2)</f>
        <v>166.33</v>
      </c>
      <c r="W15" s="1980">
        <f>ROUND(AVERAGE('Att 9a1-2015 Actual'!G36,'Att 9a2 - 2014 actual'!G36,'Att 9a3 - 2013 actual'!G36),2)</f>
        <v>136.72</v>
      </c>
      <c r="X15" s="1980">
        <f>ROUND(AVERAGE('Att 9a1-2015 Actual'!H36,'Att 9a2 - 2014 actual'!H36,'Att 9a3 - 2013 actual'!H36),2)</f>
        <v>299.33</v>
      </c>
      <c r="Y15" s="1980">
        <f>ROUND(AVERAGE('Att 9a1-2015 Actual'!I36,'Att 9a2 - 2014 actual'!I36,'Att 9a3 - 2013 actual'!I36),2)</f>
        <v>0</v>
      </c>
      <c r="Z15" s="1983">
        <f t="shared" si="1"/>
        <v>1242.78</v>
      </c>
      <c r="AA15" s="1985"/>
    </row>
    <row r="16" spans="1:29">
      <c r="B16" s="1953" t="s">
        <v>744</v>
      </c>
      <c r="C16" s="1986">
        <v>10433.83</v>
      </c>
      <c r="D16" s="2274">
        <f>ROUND(AVERAGE('Att 9a1-2015 Actual'!F16,'Att 9a2 - 2014 actual'!F16,'Att 9a3 - 2013 actual'!F16),2)</f>
        <v>5.6</v>
      </c>
      <c r="E16" s="2274">
        <f>ROUND(AVERAGE('Att 9a1-2015 Actual'!G16,'Att 9a2 - 2014 actual'!G16,'Att 9a3 - 2013 actual'!G16),2)</f>
        <v>3.62</v>
      </c>
      <c r="F16" s="2274">
        <f>ROUND(AVERAGE('Att 9a1-2015 Actual'!H16,'Att 9a2 - 2014 actual'!H16,'Att 9a3 - 2013 actual'!H16),2)</f>
        <v>14.09</v>
      </c>
      <c r="G16" s="2274">
        <f>ROUND(AVERAGE('Att 9a1-2015 Actual'!I16,'Att 9a2 - 2014 actual'!I16,'Att 9a3 - 2013 actual'!I16),2)</f>
        <v>0.37</v>
      </c>
      <c r="H16" s="2274">
        <f>ROUND(AVERAGE('Att 9a1-2015 Actual'!J16,'Att 9a2 - 2014 actual'!J16,'Att 9a3 - 2013 actual'!J16),2)</f>
        <v>0.03</v>
      </c>
      <c r="I16" s="2274">
        <f>ROUND(AVERAGE('Att 9a1-2015 Actual'!K16,'Att 9a2 - 2014 actual'!K16,'Att 9a3 - 2013 actual'!K16),2)</f>
        <v>10.92</v>
      </c>
      <c r="J16" s="2274">
        <f>ROUND(AVERAGE('Att 9a1-2015 Actual'!L16,'Att 9a2 - 2014 actual'!L16,'Att 9a3 - 2013 actual'!L16),2)</f>
        <v>26.01</v>
      </c>
      <c r="K16" s="2274">
        <f>ROUND(AVERAGE('Att 9a1-2015 Actual'!M16,'Att 9a2 - 2014 actual'!M16,'Att 9a3 - 2013 actual'!M16),2)</f>
        <v>0.24</v>
      </c>
      <c r="L16" s="2274">
        <f>ROUND(AVERAGE('Att 9a1-2015 Actual'!N16,'Att 9a2 - 2014 actual'!N16,'Att 9a3 - 2013 actual'!N16),2)</f>
        <v>48.68</v>
      </c>
      <c r="M16" s="2274">
        <f>ROUND(AVERAGE('Att 9a1-2015 Actual'!O16,'Att 9a2 - 2014 actual'!O16,'Att 9a3 - 2013 actual'!O16),2)</f>
        <v>0.63</v>
      </c>
      <c r="N16" s="2274">
        <f>ROUND(AVERAGE('Att 9a1-2015 Actual'!P16,'Att 9a2 - 2014 actual'!P16,'Att 9a3 - 2013 actual'!P16),2)</f>
        <v>3.3</v>
      </c>
      <c r="O16" s="2274">
        <f>ROUND(AVERAGE('Att 9a1-2015 Actual'!Q16,'Att 9a2 - 2014 actual'!Q16,'Att 9a3 - 2013 actual'!Q16),2)</f>
        <v>4.96</v>
      </c>
      <c r="P16" s="2274">
        <f>'Att 9a1-2015 Actual'!R16</f>
        <v>3.03</v>
      </c>
      <c r="Q16" s="2274">
        <v>49.476999999999997</v>
      </c>
      <c r="R16" s="2493">
        <v>82</v>
      </c>
      <c r="S16" s="2502">
        <f t="shared" si="0"/>
        <v>252.95699999999999</v>
      </c>
      <c r="T16" s="1951"/>
      <c r="U16" s="1984">
        <f>ROUND(AVERAGE('Att 9a1-2015 Actual'!E37,'Att 9a2 - 2014 actual'!E37,'Att 9a3 - 2013 actual'!E37),2)</f>
        <v>676.59</v>
      </c>
      <c r="V16" s="1980">
        <f>ROUND(AVERAGE('Att 9a1-2015 Actual'!F37,'Att 9a2 - 2014 actual'!F37,'Att 9a3 - 2013 actual'!F37),2)</f>
        <v>185</v>
      </c>
      <c r="W16" s="1980">
        <f>ROUND(AVERAGE('Att 9a1-2015 Actual'!G37,'Att 9a2 - 2014 actual'!G37,'Att 9a3 - 2013 actual'!G37),2)</f>
        <v>124.15</v>
      </c>
      <c r="X16" s="1980">
        <f>ROUND(AVERAGE('Att 9a1-2015 Actual'!H37,'Att 9a2 - 2014 actual'!H37,'Att 9a3 - 2013 actual'!H37),2)</f>
        <v>305.33</v>
      </c>
      <c r="Y16" s="1980">
        <f>ROUND(AVERAGE('Att 9a1-2015 Actual'!I37,'Att 9a2 - 2014 actual'!I37,'Att 9a3 - 2013 actual'!I37),2)</f>
        <v>0</v>
      </c>
      <c r="Z16" s="1983">
        <f t="shared" si="1"/>
        <v>1291.07</v>
      </c>
      <c r="AA16" s="1985"/>
    </row>
    <row r="17" spans="1:33">
      <c r="B17" s="1953" t="s">
        <v>153</v>
      </c>
      <c r="C17" s="1986">
        <v>9603.09</v>
      </c>
      <c r="D17" s="2274">
        <f>ROUND(AVERAGE('Att 9a1-2015 Actual'!F17,'Att 9a2 - 2014 actual'!F17,'Att 9a3 - 2013 actual'!F17),2)</f>
        <v>5.93</v>
      </c>
      <c r="E17" s="2274">
        <f>ROUND(AVERAGE('Att 9a1-2015 Actual'!G17,'Att 9a2 - 2014 actual'!G17,'Att 9a3 - 2013 actual'!G17),2)</f>
        <v>3.46</v>
      </c>
      <c r="F17" s="2274">
        <f>ROUND(AVERAGE('Att 9a1-2015 Actual'!H17,'Att 9a2 - 2014 actual'!H17,'Att 9a3 - 2013 actual'!H17),2)</f>
        <v>13.23</v>
      </c>
      <c r="G17" s="2274">
        <f>ROUND(AVERAGE('Att 9a1-2015 Actual'!I17,'Att 9a2 - 2014 actual'!I17,'Att 9a3 - 2013 actual'!I17),2)</f>
        <v>0.33</v>
      </c>
      <c r="H17" s="2274">
        <f>ROUND(AVERAGE('Att 9a1-2015 Actual'!J17,'Att 9a2 - 2014 actual'!J17,'Att 9a3 - 2013 actual'!J17),2)</f>
        <v>0.11</v>
      </c>
      <c r="I17" s="2274">
        <f>ROUND(AVERAGE('Att 9a1-2015 Actual'!K17,'Att 9a2 - 2014 actual'!K17,'Att 9a3 - 2013 actual'!K17),2)</f>
        <v>9.74</v>
      </c>
      <c r="J17" s="2274">
        <f>ROUND(AVERAGE('Att 9a1-2015 Actual'!L17,'Att 9a2 - 2014 actual'!L17,'Att 9a3 - 2013 actual'!L17),2)</f>
        <v>25.16</v>
      </c>
      <c r="K17" s="2274">
        <f>ROUND(AVERAGE('Att 9a1-2015 Actual'!M17,'Att 9a2 - 2014 actual'!M17,'Att 9a3 - 2013 actual'!M17),2)</f>
        <v>0.22</v>
      </c>
      <c r="L17" s="2274">
        <f>ROUND(AVERAGE('Att 9a1-2015 Actual'!N17,'Att 9a2 - 2014 actual'!N17,'Att 9a3 - 2013 actual'!N17),2)</f>
        <v>55.39</v>
      </c>
      <c r="M17" s="2274">
        <f>ROUND(AVERAGE('Att 9a1-2015 Actual'!O17,'Att 9a2 - 2014 actual'!O17,'Att 9a3 - 2013 actual'!O17),2)</f>
        <v>0.62</v>
      </c>
      <c r="N17" s="2274">
        <f>ROUND(AVERAGE('Att 9a1-2015 Actual'!P17,'Att 9a2 - 2014 actual'!P17,'Att 9a3 - 2013 actual'!P17),2)</f>
        <v>2.88</v>
      </c>
      <c r="O17" s="2274">
        <f>ROUND(AVERAGE('Att 9a1-2015 Actual'!Q17,'Att 9a2 - 2014 actual'!Q17,'Att 9a3 - 2013 actual'!Q17),2)</f>
        <v>5.37</v>
      </c>
      <c r="P17" s="2274">
        <f>'Att 9a1-2015 Actual'!R17</f>
        <v>2.907</v>
      </c>
      <c r="Q17" s="2274">
        <v>38.277000000000001</v>
      </c>
      <c r="R17" s="2493">
        <v>84</v>
      </c>
      <c r="S17" s="2502">
        <f t="shared" si="0"/>
        <v>247.624</v>
      </c>
      <c r="T17" s="1951"/>
      <c r="U17" s="1984">
        <f>ROUND(AVERAGE('Att 9a1-2015 Actual'!E38,'Att 9a2 - 2014 actual'!E38,'Att 9a3 - 2013 actual'!E38),2)</f>
        <v>611.08000000000004</v>
      </c>
      <c r="V17" s="1980">
        <f>ROUND(AVERAGE('Att 9a1-2015 Actual'!F38,'Att 9a2 - 2014 actual'!F38,'Att 9a3 - 2013 actual'!F38),2)</f>
        <v>160.02000000000001</v>
      </c>
      <c r="W17" s="1980">
        <f>ROUND(AVERAGE('Att 9a1-2015 Actual'!G38,'Att 9a2 - 2014 actual'!G38,'Att 9a3 - 2013 actual'!G38),2)</f>
        <v>101.65</v>
      </c>
      <c r="X17" s="1980">
        <f>ROUND(AVERAGE('Att 9a1-2015 Actual'!H38,'Att 9a2 - 2014 actual'!H38,'Att 9a3 - 2013 actual'!H38),2)</f>
        <v>331.33</v>
      </c>
      <c r="Y17" s="1980">
        <f>ROUND(AVERAGE('Att 9a1-2015 Actual'!I38,'Att 9a2 - 2014 actual'!I38,'Att 9a3 - 2013 actual'!I38),2)</f>
        <v>0</v>
      </c>
      <c r="Z17" s="1983">
        <f t="shared" si="1"/>
        <v>1204.08</v>
      </c>
      <c r="AA17" s="1985"/>
    </row>
    <row r="18" spans="1:33">
      <c r="B18" s="1953" t="s">
        <v>743</v>
      </c>
      <c r="C18" s="1986">
        <v>8748.4599999999991</v>
      </c>
      <c r="D18" s="2274">
        <f>ROUND(AVERAGE('Att 9a1-2015 Actual'!F18,'Att 9a2 - 2014 actual'!F18,'Att 9a3 - 2013 actual'!F18),2)</f>
        <v>5.93</v>
      </c>
      <c r="E18" s="2274">
        <f>ROUND(AVERAGE('Att 9a1-2015 Actual'!G18,'Att 9a2 - 2014 actual'!G18,'Att 9a3 - 2013 actual'!G18),2)</f>
        <v>2.85</v>
      </c>
      <c r="F18" s="2274">
        <f>ROUND(AVERAGE('Att 9a1-2015 Actual'!H18,'Att 9a2 - 2014 actual'!H18,'Att 9a3 - 2013 actual'!H18),2)</f>
        <v>9.91</v>
      </c>
      <c r="G18" s="2274">
        <f>ROUND(AVERAGE('Att 9a1-2015 Actual'!I18,'Att 9a2 - 2014 actual'!I18,'Att 9a3 - 2013 actual'!I18),2)</f>
        <v>0.26</v>
      </c>
      <c r="H18" s="2274">
        <f>ROUND(AVERAGE('Att 9a1-2015 Actual'!J18,'Att 9a2 - 2014 actual'!J18,'Att 9a3 - 2013 actual'!J18),2)</f>
        <v>0.12</v>
      </c>
      <c r="I18" s="2274">
        <f>ROUND(AVERAGE('Att 9a1-2015 Actual'!K18,'Att 9a2 - 2014 actual'!K18,'Att 9a3 - 2013 actual'!K18),2)</f>
        <v>8.42</v>
      </c>
      <c r="J18" s="2274">
        <f>ROUND(AVERAGE('Att 9a1-2015 Actual'!L18,'Att 9a2 - 2014 actual'!L18,'Att 9a3 - 2013 actual'!L18),2)</f>
        <v>22.24</v>
      </c>
      <c r="K18" s="2274">
        <f>ROUND(AVERAGE('Att 9a1-2015 Actual'!M18,'Att 9a2 - 2014 actual'!M18,'Att 9a3 - 2013 actual'!M18),2)</f>
        <v>0.4</v>
      </c>
      <c r="L18" s="2274">
        <f>ROUND(AVERAGE('Att 9a1-2015 Actual'!N18,'Att 9a2 - 2014 actual'!N18,'Att 9a3 - 2013 actual'!N18),2)</f>
        <v>49.61</v>
      </c>
      <c r="M18" s="2274">
        <f>ROUND(AVERAGE('Att 9a1-2015 Actual'!O18,'Att 9a2 - 2014 actual'!O18,'Att 9a3 - 2013 actual'!O18),2)</f>
        <v>0.47</v>
      </c>
      <c r="N18" s="2274">
        <f>ROUND(AVERAGE('Att 9a1-2015 Actual'!P18,'Att 9a2 - 2014 actual'!P18,'Att 9a3 - 2013 actual'!P18),2)</f>
        <v>2.42</v>
      </c>
      <c r="O18" s="2274">
        <f>ROUND(AVERAGE('Att 9a1-2015 Actual'!Q18,'Att 9a2 - 2014 actual'!Q18,'Att 9a3 - 2013 actual'!Q18),2)</f>
        <v>5.36</v>
      </c>
      <c r="P18" s="2274">
        <f>'Att 9a1-2015 Actual'!R18</f>
        <v>2.65</v>
      </c>
      <c r="Q18" s="2274">
        <v>57.478999999999999</v>
      </c>
      <c r="R18" s="2493">
        <v>76</v>
      </c>
      <c r="S18" s="2502">
        <f t="shared" si="0"/>
        <v>244.11900000000003</v>
      </c>
      <c r="T18" s="1951"/>
      <c r="U18" s="1984">
        <f>ROUND(AVERAGE('Att 9a1-2015 Actual'!E39,'Att 9a2 - 2014 actual'!E39,'Att 9a3 - 2013 actual'!E39),2)</f>
        <v>592.15</v>
      </c>
      <c r="V18" s="1980">
        <f>ROUND(AVERAGE('Att 9a1-2015 Actual'!F39,'Att 9a2 - 2014 actual'!F39,'Att 9a3 - 2013 actual'!F39),2)</f>
        <v>142.46</v>
      </c>
      <c r="W18" s="1980">
        <f>ROUND(AVERAGE('Att 9a1-2015 Actual'!G39,'Att 9a2 - 2014 actual'!G39,'Att 9a3 - 2013 actual'!G39),2)</f>
        <v>104.43</v>
      </c>
      <c r="X18" s="1980">
        <f>ROUND(AVERAGE('Att 9a1-2015 Actual'!H39,'Att 9a2 - 2014 actual'!H39,'Att 9a3 - 2013 actual'!H39),2)</f>
        <v>320</v>
      </c>
      <c r="Y18" s="1980">
        <f>ROUND(AVERAGE('Att 9a1-2015 Actual'!I39,'Att 9a2 - 2014 actual'!I39,'Att 9a3 - 2013 actual'!I39),2)</f>
        <v>0</v>
      </c>
      <c r="Z18" s="1983">
        <f t="shared" si="1"/>
        <v>1159.04</v>
      </c>
      <c r="AA18" s="1985"/>
    </row>
    <row r="19" spans="1:33">
      <c r="B19" s="1953" t="s">
        <v>155</v>
      </c>
      <c r="C19" s="1986">
        <v>7526.9</v>
      </c>
      <c r="D19" s="2274">
        <f>ROUND(AVERAGE('Att 9a1-2015 Actual'!F19,'Att 9a2 - 2014 actual'!F19,'Att 9a3 - 2013 actual'!F19),2)</f>
        <v>5.34</v>
      </c>
      <c r="E19" s="2274">
        <f>ROUND(AVERAGE('Att 9a1-2015 Actual'!G19,'Att 9a2 - 2014 actual'!G19,'Att 9a3 - 2013 actual'!G19),2)</f>
        <v>3</v>
      </c>
      <c r="F19" s="2274">
        <f>ROUND(AVERAGE('Att 9a1-2015 Actual'!H19,'Att 9a2 - 2014 actual'!H19,'Att 9a3 - 2013 actual'!H19),2)</f>
        <v>14.83</v>
      </c>
      <c r="G19" s="2274">
        <f>ROUND(AVERAGE('Att 9a1-2015 Actual'!I19,'Att 9a2 - 2014 actual'!I19,'Att 9a3 - 2013 actual'!I19),2)</f>
        <v>0.19</v>
      </c>
      <c r="H19" s="2274">
        <f>ROUND(AVERAGE('Att 9a1-2015 Actual'!J19,'Att 9a2 - 2014 actual'!J19,'Att 9a3 - 2013 actual'!J19),2)</f>
        <v>0.27</v>
      </c>
      <c r="I19" s="2274">
        <f>ROUND(AVERAGE('Att 9a1-2015 Actual'!K19,'Att 9a2 - 2014 actual'!K19,'Att 9a3 - 2013 actual'!K19),2)</f>
        <v>9.58</v>
      </c>
      <c r="J19" s="2274">
        <f>ROUND(AVERAGE('Att 9a1-2015 Actual'!L19,'Att 9a2 - 2014 actual'!L19,'Att 9a3 - 2013 actual'!L19),2)</f>
        <v>20.98</v>
      </c>
      <c r="K19" s="2274">
        <f>ROUND(AVERAGE('Att 9a1-2015 Actual'!M19,'Att 9a2 - 2014 actual'!M19,'Att 9a3 - 2013 actual'!M19),2)</f>
        <v>0.4</v>
      </c>
      <c r="L19" s="2274">
        <f>ROUND(AVERAGE('Att 9a1-2015 Actual'!N19,'Att 9a2 - 2014 actual'!N19,'Att 9a3 - 2013 actual'!N19),2)</f>
        <v>34.299999999999997</v>
      </c>
      <c r="M19" s="2274">
        <f>ROUND(AVERAGE('Att 9a1-2015 Actual'!O19,'Att 9a2 - 2014 actual'!O19,'Att 9a3 - 2013 actual'!O19),2)</f>
        <v>0.19</v>
      </c>
      <c r="N19" s="2274">
        <f>ROUND(AVERAGE('Att 9a1-2015 Actual'!P19,'Att 9a2 - 2014 actual'!P19,'Att 9a3 - 2013 actual'!P19),2)</f>
        <v>1.03</v>
      </c>
      <c r="O19" s="2274">
        <f>ROUND(AVERAGE('Att 9a1-2015 Actual'!Q19,'Att 9a2 - 2014 actual'!Q19,'Att 9a3 - 2013 actual'!Q19),2)</f>
        <v>6.1</v>
      </c>
      <c r="P19" s="2274">
        <f>'Att 9a1-2015 Actual'!R19</f>
        <v>2.496</v>
      </c>
      <c r="Q19" s="2274">
        <v>39.026000000000003</v>
      </c>
      <c r="R19" s="2493">
        <v>73</v>
      </c>
      <c r="S19" s="2502">
        <f t="shared" si="0"/>
        <v>210.73199999999997</v>
      </c>
      <c r="T19" s="1951"/>
      <c r="U19" s="1984">
        <f>ROUND(AVERAGE('Att 9a1-2015 Actual'!E40,'Att 9a2 - 2014 actual'!E40,'Att 9a3 - 2013 actual'!E40),2)</f>
        <v>420.36</v>
      </c>
      <c r="V19" s="1980">
        <f>ROUND(AVERAGE('Att 9a1-2015 Actual'!F40,'Att 9a2 - 2014 actual'!F40,'Att 9a3 - 2013 actual'!F40),2)</f>
        <v>91.07</v>
      </c>
      <c r="W19" s="1980">
        <f>ROUND(AVERAGE('Att 9a1-2015 Actual'!G40,'Att 9a2 - 2014 actual'!G40,'Att 9a3 - 2013 actual'!G40),2)</f>
        <v>86.56</v>
      </c>
      <c r="X19" s="1980">
        <f>ROUND(AVERAGE('Att 9a1-2015 Actual'!H40,'Att 9a2 - 2014 actual'!H40,'Att 9a3 - 2013 actual'!H40),2)</f>
        <v>259.67</v>
      </c>
      <c r="Y19" s="1980">
        <f>ROUND(AVERAGE('Att 9a1-2015 Actual'!I40,'Att 9a2 - 2014 actual'!I40,'Att 9a3 - 2013 actual'!I40),2)</f>
        <v>0</v>
      </c>
      <c r="Z19" s="1983">
        <f t="shared" si="1"/>
        <v>857.66000000000008</v>
      </c>
      <c r="AA19" s="1985"/>
    </row>
    <row r="20" spans="1:33">
      <c r="B20" s="1953" t="s">
        <v>156</v>
      </c>
      <c r="C20" s="1986">
        <v>8346.9699999999993</v>
      </c>
      <c r="D20" s="2274">
        <f>ROUND(AVERAGE('Att 9a1-2015 Actual'!F20,'Att 9a2 - 2014 actual'!F20,'Att 9a3 - 2013 actual'!F20),2)</f>
        <v>5.8</v>
      </c>
      <c r="E20" s="2274">
        <f>ROUND(AVERAGE('Att 9a1-2015 Actual'!G20,'Att 9a2 - 2014 actual'!G20,'Att 9a3 - 2013 actual'!G20),2)</f>
        <v>3.04</v>
      </c>
      <c r="F20" s="2274">
        <f>ROUND(AVERAGE('Att 9a1-2015 Actual'!H20,'Att 9a2 - 2014 actual'!H20,'Att 9a3 - 2013 actual'!H20),2)</f>
        <v>25.41</v>
      </c>
      <c r="G20" s="2274">
        <f>ROUND(AVERAGE('Att 9a1-2015 Actual'!I20,'Att 9a2 - 2014 actual'!I20,'Att 9a3 - 2013 actual'!I20),2)</f>
        <v>1.1399999999999999</v>
      </c>
      <c r="H20" s="2274">
        <f>ROUND(AVERAGE('Att 9a1-2015 Actual'!J20,'Att 9a2 - 2014 actual'!J20,'Att 9a3 - 2013 actual'!J20),2)</f>
        <v>0.37</v>
      </c>
      <c r="I20" s="2274">
        <f>ROUND(AVERAGE('Att 9a1-2015 Actual'!K20,'Att 9a2 - 2014 actual'!K20,'Att 9a3 - 2013 actual'!K20),2)</f>
        <v>16.78</v>
      </c>
      <c r="J20" s="2274">
        <f>ROUND(AVERAGE('Att 9a1-2015 Actual'!L20,'Att 9a2 - 2014 actual'!L20,'Att 9a3 - 2013 actual'!L20),2)</f>
        <v>20.36</v>
      </c>
      <c r="K20" s="2274">
        <f>ROUND(AVERAGE('Att 9a1-2015 Actual'!M20,'Att 9a2 - 2014 actual'!M20,'Att 9a3 - 2013 actual'!M20),2)</f>
        <v>0.57999999999999996</v>
      </c>
      <c r="L20" s="2274">
        <f>ROUND(AVERAGE('Att 9a1-2015 Actual'!N20,'Att 9a2 - 2014 actual'!N20,'Att 9a3 - 2013 actual'!N20),2)</f>
        <v>47.72</v>
      </c>
      <c r="M20" s="2274">
        <f>ROUND(AVERAGE('Att 9a1-2015 Actual'!O20,'Att 9a2 - 2014 actual'!O20,'Att 9a3 - 2013 actual'!O20),2)</f>
        <v>0</v>
      </c>
      <c r="N20" s="2274">
        <f>ROUND(AVERAGE('Att 9a1-2015 Actual'!P20,'Att 9a2 - 2014 actual'!P20,'Att 9a3 - 2013 actual'!P20),2)</f>
        <v>0</v>
      </c>
      <c r="O20" s="2274">
        <f>ROUND(AVERAGE('Att 9a1-2015 Actual'!Q20,'Att 9a2 - 2014 actual'!Q20,'Att 9a3 - 2013 actual'!Q20),2)</f>
        <v>6.73</v>
      </c>
      <c r="P20" s="2274">
        <f>'Att 9a1-2015 Actual'!R20</f>
        <v>2.2989999999999999</v>
      </c>
      <c r="Q20" s="2274">
        <v>42.164999999999999</v>
      </c>
      <c r="R20" s="2493">
        <v>99</v>
      </c>
      <c r="S20" s="2502">
        <f t="shared" si="0"/>
        <v>271.39400000000001</v>
      </c>
      <c r="T20" s="1951"/>
      <c r="U20" s="1984">
        <f>ROUND(AVERAGE('Att 9a1-2015 Actual'!E41,'Att 9a2 - 2014 actual'!E41,'Att 9a3 - 2013 actual'!E41),2)</f>
        <v>366.84</v>
      </c>
      <c r="V20" s="1980">
        <f>ROUND(AVERAGE('Att 9a1-2015 Actual'!F41,'Att 9a2 - 2014 actual'!F41,'Att 9a3 - 2013 actual'!F41),2)</f>
        <v>85.15</v>
      </c>
      <c r="W20" s="1980">
        <f>ROUND(AVERAGE('Att 9a1-2015 Actual'!G41,'Att 9a2 - 2014 actual'!G41,'Att 9a3 - 2013 actual'!G41),2)</f>
        <v>72.34</v>
      </c>
      <c r="X20" s="1980">
        <f>ROUND(AVERAGE('Att 9a1-2015 Actual'!H41,'Att 9a2 - 2014 actual'!H41,'Att 9a3 - 2013 actual'!H41),2)</f>
        <v>296</v>
      </c>
      <c r="Y20" s="1980">
        <f>ROUND(AVERAGE('Att 9a1-2015 Actual'!I41,'Att 9a2 - 2014 actual'!I41,'Att 9a3 - 2013 actual'!I41),2)</f>
        <v>0</v>
      </c>
      <c r="Z20" s="1983">
        <f t="shared" si="1"/>
        <v>820.33</v>
      </c>
      <c r="AA20" s="1985"/>
    </row>
    <row r="21" spans="1:33" ht="16.5" thickBot="1">
      <c r="B21" s="1972" t="s">
        <v>157</v>
      </c>
      <c r="C21" s="2508">
        <v>8870.34</v>
      </c>
      <c r="D21" s="2494">
        <f>ROUND(AVERAGE('Att 9a1-2015 Actual'!F21,'Att 9a2 - 2014 actual'!F21,'Att 9a3 - 2013 actual'!F21),2)</f>
        <v>5.48</v>
      </c>
      <c r="E21" s="2494">
        <f>ROUND(AVERAGE('Att 9a1-2015 Actual'!G21,'Att 9a2 - 2014 actual'!G21,'Att 9a3 - 2013 actual'!G21),2)</f>
        <v>3.35</v>
      </c>
      <c r="F21" s="2494">
        <f>ROUND(AVERAGE('Att 9a1-2015 Actual'!H21,'Att 9a2 - 2014 actual'!H21,'Att 9a3 - 2013 actual'!H21),2)</f>
        <v>29.28</v>
      </c>
      <c r="G21" s="2494">
        <f>ROUND(AVERAGE('Att 9a1-2015 Actual'!I21,'Att 9a2 - 2014 actual'!I21,'Att 9a3 - 2013 actual'!I21),2)</f>
        <v>1.41</v>
      </c>
      <c r="H21" s="2494">
        <f>ROUND(AVERAGE('Att 9a1-2015 Actual'!J21,'Att 9a2 - 2014 actual'!J21,'Att 9a3 - 2013 actual'!J21),2)</f>
        <v>0.23</v>
      </c>
      <c r="I21" s="2494">
        <f>ROUND(AVERAGE('Att 9a1-2015 Actual'!K21,'Att 9a2 - 2014 actual'!K21,'Att 9a3 - 2013 actual'!K21),2)</f>
        <v>20.62</v>
      </c>
      <c r="J21" s="2494">
        <f>ROUND(AVERAGE('Att 9a1-2015 Actual'!L21,'Att 9a2 - 2014 actual'!L21,'Att 9a3 - 2013 actual'!L21),2)</f>
        <v>20.25</v>
      </c>
      <c r="K21" s="2494">
        <f>ROUND(AVERAGE('Att 9a1-2015 Actual'!M21,'Att 9a2 - 2014 actual'!M21,'Att 9a3 - 2013 actual'!M21),2)</f>
        <v>0.43</v>
      </c>
      <c r="L21" s="2494">
        <f>ROUND(AVERAGE('Att 9a1-2015 Actual'!N21,'Att 9a2 - 2014 actual'!N21,'Att 9a3 - 2013 actual'!N21),2)</f>
        <v>51.94</v>
      </c>
      <c r="M21" s="2494">
        <f>ROUND(AVERAGE('Att 9a1-2015 Actual'!O21,'Att 9a2 - 2014 actual'!O21,'Att 9a3 - 2013 actual'!O21),2)</f>
        <v>0</v>
      </c>
      <c r="N21" s="2494">
        <f>ROUND(AVERAGE('Att 9a1-2015 Actual'!P21,'Att 9a2 - 2014 actual'!P21,'Att 9a3 - 2013 actual'!P21),2)</f>
        <v>0</v>
      </c>
      <c r="O21" s="2494">
        <f>ROUND(AVERAGE('Att 9a1-2015 Actual'!Q21,'Att 9a2 - 2014 actual'!Q21,'Att 9a3 - 2013 actual'!Q21),2)</f>
        <v>6.92</v>
      </c>
      <c r="P21" s="2494">
        <f>'Att 9a1-2015 Actual'!R21</f>
        <v>2.4009999999999998</v>
      </c>
      <c r="Q21" s="2494">
        <v>26.148</v>
      </c>
      <c r="R21" s="2495">
        <v>110</v>
      </c>
      <c r="S21" s="2503">
        <f t="shared" si="0"/>
        <v>278.459</v>
      </c>
      <c r="T21" s="1951"/>
      <c r="U21" s="1990">
        <f>ROUND(AVERAGE('Att 9a1-2015 Actual'!E42,'Att 9a2 - 2014 actual'!E42,'Att 9a3 - 2013 actual'!E42),2)</f>
        <v>426.68</v>
      </c>
      <c r="V21" s="1987">
        <f>ROUND(AVERAGE('Att 9a1-2015 Actual'!F42,'Att 9a2 - 2014 actual'!F42,'Att 9a3 - 2013 actual'!F42),2)</f>
        <v>91.16</v>
      </c>
      <c r="W21" s="1987">
        <f>ROUND(AVERAGE('Att 9a1-2015 Actual'!G42,'Att 9a2 - 2014 actual'!G42,'Att 9a3 - 2013 actual'!G42),2)</f>
        <v>96.34</v>
      </c>
      <c r="X21" s="1987">
        <f>ROUND(AVERAGE('Att 9a1-2015 Actual'!H42,'Att 9a2 - 2014 actual'!H42,'Att 9a3 - 2013 actual'!H42),2)</f>
        <v>326.33</v>
      </c>
      <c r="Y21" s="1991">
        <f>ROUND(AVERAGE('Att 9a1-2015 Actual'!I42,'Att 9a2 - 2014 actual'!I42,'Att 9a3 - 2013 actual'!I42),2)</f>
        <v>0</v>
      </c>
      <c r="Z21" s="1978">
        <f t="shared" si="1"/>
        <v>940.51</v>
      </c>
      <c r="AA21" s="1985"/>
    </row>
    <row r="22" spans="1:33" ht="16.5" thickBot="1">
      <c r="A22" s="1951"/>
      <c r="B22" s="1992" t="s">
        <v>282</v>
      </c>
      <c r="C22" s="1978">
        <f t="shared" ref="C22:I22" si="2">SUM(C10:C21)</f>
        <v>103176.04999999999</v>
      </c>
      <c r="D22" s="2496">
        <f t="shared" si="2"/>
        <v>67.17</v>
      </c>
      <c r="E22" s="2496">
        <f t="shared" si="2"/>
        <v>38.600000000000009</v>
      </c>
      <c r="F22" s="2496">
        <f t="shared" si="2"/>
        <v>231.97</v>
      </c>
      <c r="G22" s="2496">
        <f t="shared" si="2"/>
        <v>9.1</v>
      </c>
      <c r="H22" s="2496">
        <f t="shared" si="2"/>
        <v>2.06</v>
      </c>
      <c r="I22" s="2496">
        <f t="shared" si="2"/>
        <v>155.28</v>
      </c>
      <c r="J22" s="2496">
        <f t="shared" ref="J22:R22" si="3">SUM(J10:J21)</f>
        <v>260.58</v>
      </c>
      <c r="K22" s="2496">
        <f t="shared" si="3"/>
        <v>5.08</v>
      </c>
      <c r="L22" s="2496">
        <f t="shared" si="3"/>
        <v>560.57999999999993</v>
      </c>
      <c r="M22" s="2496">
        <f t="shared" si="3"/>
        <v>3.1300000000000003</v>
      </c>
      <c r="N22" s="2496">
        <f t="shared" si="3"/>
        <v>15.899999999999999</v>
      </c>
      <c r="O22" s="2496">
        <f t="shared" si="3"/>
        <v>67.48</v>
      </c>
      <c r="P22" s="2496">
        <f t="shared" si="3"/>
        <v>31.183999999999997</v>
      </c>
      <c r="Q22" s="2496">
        <f t="shared" si="3"/>
        <v>252.572</v>
      </c>
      <c r="R22" s="2496">
        <f t="shared" si="3"/>
        <v>524</v>
      </c>
      <c r="S22" s="1978">
        <f>SUM(D22:R22)</f>
        <v>2224.6860000000001</v>
      </c>
      <c r="T22" s="1951"/>
      <c r="U22" s="1996">
        <f t="shared" ref="U22:Z22" si="4">SUM(U10:U21)</f>
        <v>5460.62</v>
      </c>
      <c r="V22" s="1995">
        <f t="shared" si="4"/>
        <v>1324.7</v>
      </c>
      <c r="W22" s="1995">
        <f t="shared" si="4"/>
        <v>1113.74</v>
      </c>
      <c r="X22" s="1995">
        <f t="shared" si="4"/>
        <v>3645.33</v>
      </c>
      <c r="Y22" s="1995">
        <f t="shared" si="4"/>
        <v>0</v>
      </c>
      <c r="Z22" s="1978">
        <f t="shared" si="4"/>
        <v>11544.39</v>
      </c>
      <c r="AA22" s="1985"/>
      <c r="AD22" s="1997"/>
    </row>
    <row r="23" spans="1:33" ht="16.5" thickBot="1">
      <c r="A23" s="1951"/>
      <c r="B23" s="1998" t="s">
        <v>1802</v>
      </c>
      <c r="C23" s="2038">
        <f t="shared" ref="C23:S23" si="5">+C22/12</f>
        <v>8598.0041666666657</v>
      </c>
      <c r="D23" s="2509">
        <f t="shared" si="5"/>
        <v>5.5975000000000001</v>
      </c>
      <c r="E23" s="2509">
        <f t="shared" si="5"/>
        <v>3.2166666666666672</v>
      </c>
      <c r="F23" s="2509">
        <f t="shared" si="5"/>
        <v>19.330833333333334</v>
      </c>
      <c r="G23" s="2509">
        <f t="shared" si="5"/>
        <v>0.7583333333333333</v>
      </c>
      <c r="H23" s="2509">
        <f t="shared" si="5"/>
        <v>0.17166666666666666</v>
      </c>
      <c r="I23" s="2509">
        <f t="shared" si="5"/>
        <v>12.94</v>
      </c>
      <c r="J23" s="2509">
        <f t="shared" ref="J23:R23" si="6">+J22/12</f>
        <v>21.715</v>
      </c>
      <c r="K23" s="2509">
        <f t="shared" si="6"/>
        <v>0.42333333333333334</v>
      </c>
      <c r="L23" s="2509">
        <f t="shared" si="6"/>
        <v>46.714999999999996</v>
      </c>
      <c r="M23" s="2509">
        <f t="shared" si="6"/>
        <v>0.26083333333333336</v>
      </c>
      <c r="N23" s="2509">
        <f t="shared" si="6"/>
        <v>1.325</v>
      </c>
      <c r="O23" s="2509">
        <f t="shared" si="6"/>
        <v>5.623333333333334</v>
      </c>
      <c r="P23" s="2509">
        <f t="shared" si="6"/>
        <v>2.5986666666666665</v>
      </c>
      <c r="Q23" s="2509">
        <f t="shared" si="6"/>
        <v>21.047666666666668</v>
      </c>
      <c r="R23" s="2509">
        <f t="shared" si="6"/>
        <v>43.666666666666664</v>
      </c>
      <c r="S23" s="2038">
        <f t="shared" si="5"/>
        <v>185.3905</v>
      </c>
      <c r="T23" s="1951"/>
      <c r="U23" s="2510">
        <f t="shared" ref="U23:Z23" si="7">+U22/12</f>
        <v>455.05166666666668</v>
      </c>
      <c r="V23" s="2511">
        <f t="shared" si="7"/>
        <v>110.39166666666667</v>
      </c>
      <c r="W23" s="2511">
        <f t="shared" si="7"/>
        <v>92.811666666666667</v>
      </c>
      <c r="X23" s="2511">
        <f t="shared" si="7"/>
        <v>303.77749999999997</v>
      </c>
      <c r="Y23" s="2511">
        <f t="shared" si="7"/>
        <v>0</v>
      </c>
      <c r="Z23" s="2038">
        <f t="shared" si="7"/>
        <v>962.03249999999991</v>
      </c>
      <c r="AA23" s="2004"/>
    </row>
    <row r="24" spans="1:33" ht="16.5" thickBot="1">
      <c r="C24" s="1951"/>
      <c r="D24" s="2513"/>
      <c r="E24" s="2513"/>
      <c r="F24" s="2513"/>
      <c r="G24" s="2513"/>
      <c r="H24" s="2513"/>
      <c r="I24" s="2513"/>
      <c r="J24" s="2513"/>
      <c r="K24" s="2513"/>
      <c r="L24" s="2513"/>
      <c r="M24" s="2513"/>
      <c r="N24" s="2513"/>
      <c r="O24" s="2513"/>
      <c r="P24" s="2513"/>
      <c r="Q24" s="2513"/>
      <c r="R24" s="1951"/>
      <c r="S24" s="1951"/>
      <c r="T24" s="1951"/>
      <c r="U24" s="1951"/>
      <c r="V24" s="1951"/>
      <c r="W24" s="1951"/>
      <c r="Y24" s="1951"/>
      <c r="Z24" s="1951"/>
      <c r="AA24" s="1997"/>
    </row>
    <row r="25" spans="1:33" ht="16.5" thickBot="1">
      <c r="B25" s="1949"/>
      <c r="C25" s="2590" t="s">
        <v>1475</v>
      </c>
      <c r="D25" s="2591"/>
      <c r="E25" s="2591"/>
      <c r="F25" s="2591"/>
      <c r="G25" s="2591"/>
      <c r="H25" s="2591"/>
      <c r="I25" s="2591"/>
      <c r="J25" s="2591"/>
      <c r="K25" s="2591"/>
      <c r="L25" s="2591"/>
      <c r="M25" s="2591"/>
      <c r="N25" s="2591"/>
      <c r="O25" s="2591"/>
      <c r="P25" s="2591"/>
      <c r="Q25" s="2591"/>
      <c r="R25" s="2591"/>
      <c r="S25" s="2591"/>
      <c r="T25" s="2591"/>
      <c r="U25" s="2591"/>
      <c r="V25" s="2591"/>
      <c r="W25" s="2591"/>
      <c r="X25" s="2591"/>
      <c r="Y25" s="2592"/>
      <c r="Z25" s="1951"/>
      <c r="AA25" s="1951"/>
      <c r="AB25" s="1951"/>
      <c r="AC25" s="1951"/>
      <c r="AD25" s="1951"/>
    </row>
    <row r="26" spans="1:33" ht="16.5" thickBot="1">
      <c r="B26" s="1953" t="s">
        <v>328</v>
      </c>
      <c r="C26" s="2006" t="s">
        <v>771</v>
      </c>
      <c r="D26" s="2007" t="s">
        <v>770</v>
      </c>
      <c r="E26" s="2007" t="s">
        <v>769</v>
      </c>
      <c r="F26" s="2007" t="s">
        <v>768</v>
      </c>
      <c r="G26" s="2007" t="s">
        <v>767</v>
      </c>
      <c r="H26" s="2007" t="s">
        <v>766</v>
      </c>
      <c r="I26" s="2007" t="s">
        <v>765</v>
      </c>
      <c r="J26" s="2007" t="s">
        <v>764</v>
      </c>
      <c r="K26" s="2007" t="s">
        <v>2171</v>
      </c>
      <c r="L26" s="2007" t="s">
        <v>763</v>
      </c>
      <c r="M26" s="2007" t="s">
        <v>877</v>
      </c>
      <c r="N26" s="2007" t="s">
        <v>762</v>
      </c>
      <c r="O26" s="2007" t="s">
        <v>761</v>
      </c>
      <c r="P26" s="2007" t="s">
        <v>878</v>
      </c>
      <c r="Q26" s="2007" t="s">
        <v>879</v>
      </c>
      <c r="R26" s="2007" t="s">
        <v>1400</v>
      </c>
      <c r="S26" s="2007" t="s">
        <v>1720</v>
      </c>
      <c r="T26" s="2007" t="s">
        <v>1721</v>
      </c>
      <c r="U26" s="2007" t="s">
        <v>876</v>
      </c>
      <c r="V26" s="2007" t="s">
        <v>2172</v>
      </c>
      <c r="W26" s="2007" t="s">
        <v>2182</v>
      </c>
      <c r="X26" s="2007" t="s">
        <v>2188</v>
      </c>
      <c r="Y26" s="2008" t="s">
        <v>360</v>
      </c>
      <c r="Z26" s="1951"/>
      <c r="AA26" s="1951"/>
      <c r="AB26" s="1951"/>
      <c r="AC26" s="1951"/>
      <c r="AD26" s="1951"/>
      <c r="AE26" s="1951"/>
      <c r="AF26" s="1951"/>
    </row>
    <row r="27" spans="1:33" ht="47.25" customHeight="1" thickBot="1">
      <c r="B27" s="1961" t="s">
        <v>760</v>
      </c>
      <c r="C27" s="2009" t="s">
        <v>365</v>
      </c>
      <c r="D27" s="2010" t="s">
        <v>759</v>
      </c>
      <c r="E27" s="2010" t="s">
        <v>2173</v>
      </c>
      <c r="F27" s="2010" t="s">
        <v>2173</v>
      </c>
      <c r="G27" s="2010" t="s">
        <v>758</v>
      </c>
      <c r="H27" s="2010" t="s">
        <v>757</v>
      </c>
      <c r="I27" s="2010" t="s">
        <v>1823</v>
      </c>
      <c r="J27" s="2010" t="s">
        <v>880</v>
      </c>
      <c r="K27" s="2010" t="s">
        <v>1824</v>
      </c>
      <c r="L27" s="2010" t="s">
        <v>2177</v>
      </c>
      <c r="M27" s="2010" t="s">
        <v>2174</v>
      </c>
      <c r="N27" s="2010" t="s">
        <v>1822</v>
      </c>
      <c r="O27" s="2010" t="s">
        <v>2183</v>
      </c>
      <c r="P27" s="2010" t="s">
        <v>2176</v>
      </c>
      <c r="Q27" s="2010" t="s">
        <v>2367</v>
      </c>
      <c r="R27" s="2010" t="s">
        <v>799</v>
      </c>
      <c r="S27" s="2010" t="s">
        <v>649</v>
      </c>
      <c r="T27" s="2010" t="s">
        <v>880</v>
      </c>
      <c r="U27" s="2010" t="s">
        <v>880</v>
      </c>
      <c r="V27" s="2010" t="s">
        <v>880</v>
      </c>
      <c r="W27" s="2010" t="s">
        <v>880</v>
      </c>
      <c r="X27" s="2010" t="s">
        <v>880</v>
      </c>
      <c r="Y27" s="2011"/>
      <c r="AE27" s="1951"/>
      <c r="AF27" s="2012" t="s">
        <v>756</v>
      </c>
      <c r="AG27" s="1951"/>
    </row>
    <row r="28" spans="1:33" ht="15.75" customHeight="1">
      <c r="B28" s="1968" t="s">
        <v>468</v>
      </c>
      <c r="C28" s="2013" t="s">
        <v>755</v>
      </c>
      <c r="D28" s="2014" t="s">
        <v>755</v>
      </c>
      <c r="E28" s="2014" t="s">
        <v>755</v>
      </c>
      <c r="F28" s="2014" t="s">
        <v>755</v>
      </c>
      <c r="G28" s="2014" t="s">
        <v>755</v>
      </c>
      <c r="H28" s="2014" t="s">
        <v>755</v>
      </c>
      <c r="I28" s="2014" t="s">
        <v>755</v>
      </c>
      <c r="J28" s="2014" t="s">
        <v>755</v>
      </c>
      <c r="K28" s="2014" t="s">
        <v>755</v>
      </c>
      <c r="L28" s="2014" t="s">
        <v>755</v>
      </c>
      <c r="M28" s="2014" t="s">
        <v>755</v>
      </c>
      <c r="N28" s="2015" t="s">
        <v>755</v>
      </c>
      <c r="O28" s="2015" t="s">
        <v>755</v>
      </c>
      <c r="P28" s="2015" t="s">
        <v>755</v>
      </c>
      <c r="Q28" s="2015" t="s">
        <v>755</v>
      </c>
      <c r="R28" s="2015" t="s">
        <v>755</v>
      </c>
      <c r="S28" s="2015" t="s">
        <v>755</v>
      </c>
      <c r="T28" s="2015" t="s">
        <v>755</v>
      </c>
      <c r="U28" s="2015" t="s">
        <v>755</v>
      </c>
      <c r="V28" s="2015" t="s">
        <v>755</v>
      </c>
      <c r="W28" s="2015" t="s">
        <v>755</v>
      </c>
      <c r="X28" s="2015" t="s">
        <v>755</v>
      </c>
      <c r="Y28" s="2016" t="s">
        <v>754</v>
      </c>
      <c r="AA28" s="2017" t="s">
        <v>787</v>
      </c>
      <c r="AB28" s="2018">
        <v>0.01</v>
      </c>
      <c r="AC28" s="2017" t="s">
        <v>826</v>
      </c>
      <c r="AD28" s="2017" t="s">
        <v>828</v>
      </c>
      <c r="AE28" s="1951"/>
      <c r="AF28" s="2593" t="s">
        <v>753</v>
      </c>
      <c r="AG28" s="1951"/>
    </row>
    <row r="29" spans="1:33" ht="28.5" customHeight="1" thickBot="1">
      <c r="B29" s="1972" t="s">
        <v>752</v>
      </c>
      <c r="C29" s="2019" t="s">
        <v>751</v>
      </c>
      <c r="D29" s="2020" t="s">
        <v>750</v>
      </c>
      <c r="E29" s="2020" t="s">
        <v>749</v>
      </c>
      <c r="F29" s="2020" t="s">
        <v>748</v>
      </c>
      <c r="G29" s="2020" t="s">
        <v>747</v>
      </c>
      <c r="H29" s="2020" t="s">
        <v>746</v>
      </c>
      <c r="I29" s="2020" t="s">
        <v>1804</v>
      </c>
      <c r="J29" s="2020" t="s">
        <v>745</v>
      </c>
      <c r="K29" s="2020" t="s">
        <v>1825</v>
      </c>
      <c r="L29" s="2020" t="s">
        <v>2184</v>
      </c>
      <c r="M29" s="2020" t="s">
        <v>2185</v>
      </c>
      <c r="N29" s="2020" t="s">
        <v>1803</v>
      </c>
      <c r="O29" s="2020" t="s">
        <v>2186</v>
      </c>
      <c r="P29" s="2020" t="s">
        <v>2368</v>
      </c>
      <c r="Q29" s="2020" t="s">
        <v>2369</v>
      </c>
      <c r="R29" s="2020" t="s">
        <v>2370</v>
      </c>
      <c r="S29" s="2020">
        <v>0</v>
      </c>
      <c r="T29" s="2020" t="s">
        <v>1827</v>
      </c>
      <c r="U29" s="2020" t="s">
        <v>1828</v>
      </c>
      <c r="V29" s="2020" t="s">
        <v>1829</v>
      </c>
      <c r="W29" s="2020">
        <v>748</v>
      </c>
      <c r="X29" s="2020">
        <v>749</v>
      </c>
      <c r="Y29" s="2021"/>
      <c r="AA29" s="2022" t="s">
        <v>772</v>
      </c>
      <c r="AB29" s="2022" t="s">
        <v>1722</v>
      </c>
      <c r="AC29" s="2023" t="s">
        <v>827</v>
      </c>
      <c r="AD29" s="2023" t="s">
        <v>829</v>
      </c>
      <c r="AE29" s="1951"/>
      <c r="AF29" s="2594"/>
      <c r="AG29" s="1951"/>
    </row>
    <row r="30" spans="1:33">
      <c r="B30" s="1953" t="s">
        <v>147</v>
      </c>
      <c r="C30" s="2024">
        <v>2534</v>
      </c>
      <c r="D30" s="2025">
        <v>50</v>
      </c>
      <c r="E30" s="2025">
        <v>18</v>
      </c>
      <c r="F30" s="2025">
        <v>56</v>
      </c>
      <c r="G30" s="2025">
        <v>0</v>
      </c>
      <c r="H30" s="2025">
        <v>30</v>
      </c>
      <c r="I30" s="2025">
        <v>11</v>
      </c>
      <c r="J30" s="2025">
        <v>80</v>
      </c>
      <c r="K30" s="2025">
        <v>74</v>
      </c>
      <c r="L30" s="2025">
        <v>25</v>
      </c>
      <c r="M30" s="2025">
        <v>4</v>
      </c>
      <c r="N30" s="2025">
        <v>30</v>
      </c>
      <c r="O30" s="2025">
        <v>25</v>
      </c>
      <c r="P30" s="2025">
        <v>0</v>
      </c>
      <c r="Q30" s="2025">
        <v>50</v>
      </c>
      <c r="R30" s="2025">
        <v>24</v>
      </c>
      <c r="S30" s="2025">
        <f>SUM(C30:R30)*0.0445</f>
        <v>133.98949999999999</v>
      </c>
      <c r="T30" s="2025">
        <v>67</v>
      </c>
      <c r="U30" s="2025">
        <v>67</v>
      </c>
      <c r="V30" s="2025">
        <v>66</v>
      </c>
      <c r="W30" s="2025">
        <v>50</v>
      </c>
      <c r="X30" s="2025">
        <v>150</v>
      </c>
      <c r="Y30" s="2026">
        <f t="shared" ref="Y30:Y41" si="8">SUM(C30:X30)</f>
        <v>3544.9895000000001</v>
      </c>
      <c r="AA30" s="2027">
        <f t="shared" ref="AA30:AA41" si="9">+C10+S10+Z10</f>
        <v>9542.6110000000008</v>
      </c>
      <c r="AB30" s="2027">
        <f>(AA30*1.01)+(AC30*0.01)</f>
        <v>9640.1683933333352</v>
      </c>
      <c r="AC30" s="2028">
        <v>213.12833333333333</v>
      </c>
      <c r="AD30" s="2029">
        <f>AB30+AC30</f>
        <v>9853.2967266666692</v>
      </c>
      <c r="AE30" s="1951"/>
      <c r="AF30" s="2030">
        <f t="shared" ref="AF30:AF41" si="10">+AD30+Y30</f>
        <v>13398.286226666669</v>
      </c>
      <c r="AG30" s="1951"/>
    </row>
    <row r="31" spans="1:33">
      <c r="B31" s="1953" t="s">
        <v>148</v>
      </c>
      <c r="C31" s="2024">
        <v>2534</v>
      </c>
      <c r="D31" s="2025">
        <v>50</v>
      </c>
      <c r="E31" s="2025">
        <v>18</v>
      </c>
      <c r="F31" s="2025">
        <v>56</v>
      </c>
      <c r="G31" s="2025">
        <v>0</v>
      </c>
      <c r="H31" s="2025">
        <v>30</v>
      </c>
      <c r="I31" s="2025">
        <v>11</v>
      </c>
      <c r="J31" s="2025">
        <v>80</v>
      </c>
      <c r="K31" s="2025">
        <v>74</v>
      </c>
      <c r="L31" s="2025">
        <v>25</v>
      </c>
      <c r="M31" s="2025">
        <v>4</v>
      </c>
      <c r="N31" s="2025">
        <v>30</v>
      </c>
      <c r="O31" s="2025">
        <v>25</v>
      </c>
      <c r="P31" s="2025">
        <v>0</v>
      </c>
      <c r="Q31" s="2025">
        <v>50</v>
      </c>
      <c r="R31" s="2025">
        <v>24</v>
      </c>
      <c r="S31" s="2025">
        <f t="shared" ref="S31:S41" si="11">SUM(C31:R31)*0.0445</f>
        <v>133.98949999999999</v>
      </c>
      <c r="T31" s="2025">
        <v>67</v>
      </c>
      <c r="U31" s="2025">
        <v>67</v>
      </c>
      <c r="V31" s="2025">
        <v>66</v>
      </c>
      <c r="W31" s="2025">
        <v>50</v>
      </c>
      <c r="X31" s="2025">
        <v>150</v>
      </c>
      <c r="Y31" s="2026">
        <f t="shared" si="8"/>
        <v>3544.9895000000001</v>
      </c>
      <c r="AA31" s="2031">
        <f t="shared" si="9"/>
        <v>9200.5240000000013</v>
      </c>
      <c r="AB31" s="2031">
        <f t="shared" ref="AB31:AB41" si="12">(AA31*1.01)+(AC31*0.01)</f>
        <v>9294.6329800000021</v>
      </c>
      <c r="AC31" s="2032">
        <v>210.37400000000002</v>
      </c>
      <c r="AD31" s="2030">
        <f t="shared" ref="AD31:AD41" si="13">AB31+AC31</f>
        <v>9505.0069800000019</v>
      </c>
      <c r="AE31" s="1951"/>
      <c r="AF31" s="2030">
        <f t="shared" si="10"/>
        <v>13049.996480000002</v>
      </c>
      <c r="AG31" s="1951"/>
    </row>
    <row r="32" spans="1:33">
      <c r="B32" s="1953" t="s">
        <v>352</v>
      </c>
      <c r="C32" s="2024">
        <v>2534</v>
      </c>
      <c r="D32" s="2025">
        <v>50</v>
      </c>
      <c r="E32" s="2025">
        <v>18</v>
      </c>
      <c r="F32" s="2025">
        <v>56</v>
      </c>
      <c r="G32" s="2025">
        <v>0</v>
      </c>
      <c r="H32" s="2025">
        <v>30</v>
      </c>
      <c r="I32" s="2025">
        <v>11</v>
      </c>
      <c r="J32" s="2025">
        <v>80</v>
      </c>
      <c r="K32" s="2025">
        <v>74</v>
      </c>
      <c r="L32" s="2025">
        <v>25</v>
      </c>
      <c r="M32" s="2025">
        <v>4</v>
      </c>
      <c r="N32" s="2025">
        <v>30</v>
      </c>
      <c r="O32" s="2025">
        <v>25</v>
      </c>
      <c r="P32" s="2025">
        <v>0</v>
      </c>
      <c r="Q32" s="2025">
        <v>50</v>
      </c>
      <c r="R32" s="2025">
        <v>24</v>
      </c>
      <c r="S32" s="2025">
        <f t="shared" si="11"/>
        <v>133.98949999999999</v>
      </c>
      <c r="T32" s="2025">
        <v>67</v>
      </c>
      <c r="U32" s="2025">
        <v>67</v>
      </c>
      <c r="V32" s="2025">
        <v>66</v>
      </c>
      <c r="W32" s="2025">
        <v>50</v>
      </c>
      <c r="X32" s="2025">
        <v>150</v>
      </c>
      <c r="Y32" s="2026">
        <f t="shared" si="8"/>
        <v>3544.9895000000001</v>
      </c>
      <c r="AA32" s="2031">
        <f t="shared" si="9"/>
        <v>8621.3499999999985</v>
      </c>
      <c r="AB32" s="2031">
        <f t="shared" si="12"/>
        <v>8710.4627999999975</v>
      </c>
      <c r="AC32" s="2032">
        <v>289.93</v>
      </c>
      <c r="AD32" s="2030">
        <f t="shared" si="13"/>
        <v>9000.3927999999978</v>
      </c>
      <c r="AE32" s="1951"/>
      <c r="AF32" s="2030">
        <f t="shared" si="10"/>
        <v>12545.382299999997</v>
      </c>
      <c r="AG32" s="1951"/>
    </row>
    <row r="33" spans="2:33">
      <c r="B33" s="1953" t="s">
        <v>143</v>
      </c>
      <c r="C33" s="2024">
        <v>2534</v>
      </c>
      <c r="D33" s="2025">
        <v>50</v>
      </c>
      <c r="E33" s="2025">
        <v>18</v>
      </c>
      <c r="F33" s="2025">
        <v>56</v>
      </c>
      <c r="G33" s="2025">
        <v>0</v>
      </c>
      <c r="H33" s="2025">
        <v>30</v>
      </c>
      <c r="I33" s="2025">
        <v>11</v>
      </c>
      <c r="J33" s="2025">
        <v>80</v>
      </c>
      <c r="K33" s="2025">
        <v>74</v>
      </c>
      <c r="L33" s="2025">
        <v>25</v>
      </c>
      <c r="M33" s="2025">
        <v>4</v>
      </c>
      <c r="N33" s="2025">
        <v>30</v>
      </c>
      <c r="O33" s="2025">
        <v>25</v>
      </c>
      <c r="P33" s="2025">
        <v>0</v>
      </c>
      <c r="Q33" s="2025">
        <v>50</v>
      </c>
      <c r="R33" s="2025">
        <v>24</v>
      </c>
      <c r="S33" s="2025">
        <f t="shared" si="11"/>
        <v>133.98949999999999</v>
      </c>
      <c r="T33" s="2025">
        <v>67</v>
      </c>
      <c r="U33" s="2025">
        <v>67</v>
      </c>
      <c r="V33" s="2025">
        <v>66</v>
      </c>
      <c r="W33" s="2025">
        <v>50</v>
      </c>
      <c r="X33" s="2025">
        <v>150</v>
      </c>
      <c r="Y33" s="2026">
        <f t="shared" si="8"/>
        <v>3544.9895000000001</v>
      </c>
      <c r="AA33" s="2031">
        <f t="shared" si="9"/>
        <v>8182.68</v>
      </c>
      <c r="AB33" s="2031">
        <f t="shared" si="12"/>
        <v>8266.9900066666669</v>
      </c>
      <c r="AC33" s="2032">
        <v>248.32066666666665</v>
      </c>
      <c r="AD33" s="2030">
        <f t="shared" si="13"/>
        <v>8515.3106733333334</v>
      </c>
      <c r="AE33" s="1951"/>
      <c r="AF33" s="2030">
        <f t="shared" si="10"/>
        <v>12060.300173333333</v>
      </c>
      <c r="AG33" s="1951"/>
    </row>
    <row r="34" spans="2:33">
      <c r="B34" s="1953" t="s">
        <v>144</v>
      </c>
      <c r="C34" s="2024">
        <v>2534</v>
      </c>
      <c r="D34" s="2025">
        <v>50</v>
      </c>
      <c r="E34" s="2025">
        <v>18</v>
      </c>
      <c r="F34" s="2025">
        <v>56</v>
      </c>
      <c r="G34" s="2025">
        <v>0</v>
      </c>
      <c r="H34" s="2025">
        <v>30</v>
      </c>
      <c r="I34" s="2025">
        <v>11</v>
      </c>
      <c r="J34" s="2025">
        <v>80</v>
      </c>
      <c r="K34" s="2025">
        <v>74</v>
      </c>
      <c r="L34" s="2025">
        <v>25</v>
      </c>
      <c r="M34" s="2025">
        <v>4</v>
      </c>
      <c r="N34" s="2025">
        <v>30</v>
      </c>
      <c r="O34" s="2025">
        <v>25</v>
      </c>
      <c r="P34" s="2025">
        <v>0</v>
      </c>
      <c r="Q34" s="2025">
        <v>50</v>
      </c>
      <c r="R34" s="2025">
        <v>24</v>
      </c>
      <c r="S34" s="2025">
        <f t="shared" si="11"/>
        <v>133.98949999999999</v>
      </c>
      <c r="T34" s="2025">
        <v>67</v>
      </c>
      <c r="U34" s="2025">
        <v>67</v>
      </c>
      <c r="V34" s="2025">
        <v>66</v>
      </c>
      <c r="W34" s="2025">
        <v>50</v>
      </c>
      <c r="X34" s="2025">
        <v>150</v>
      </c>
      <c r="Y34" s="2026">
        <f t="shared" si="8"/>
        <v>3544.9895000000001</v>
      </c>
      <c r="AA34" s="2031">
        <f t="shared" si="9"/>
        <v>8939.5439999999999</v>
      </c>
      <c r="AB34" s="2031">
        <f t="shared" si="12"/>
        <v>9031.5227900000009</v>
      </c>
      <c r="AC34" s="2032">
        <v>258.33499999999998</v>
      </c>
      <c r="AD34" s="2030">
        <f t="shared" si="13"/>
        <v>9289.85779</v>
      </c>
      <c r="AE34" s="1951"/>
      <c r="AF34" s="2030">
        <f t="shared" si="10"/>
        <v>12834.84729</v>
      </c>
      <c r="AG34" s="1951"/>
    </row>
    <row r="35" spans="2:33">
      <c r="B35" s="1953" t="s">
        <v>151</v>
      </c>
      <c r="C35" s="2024">
        <v>2629</v>
      </c>
      <c r="D35" s="2025">
        <v>50</v>
      </c>
      <c r="E35" s="2025">
        <v>18</v>
      </c>
      <c r="F35" s="2025">
        <v>56</v>
      </c>
      <c r="G35" s="2025">
        <v>75</v>
      </c>
      <c r="H35" s="2025">
        <v>30</v>
      </c>
      <c r="I35" s="2025">
        <v>11</v>
      </c>
      <c r="J35" s="2025">
        <v>80</v>
      </c>
      <c r="K35" s="2025">
        <v>55</v>
      </c>
      <c r="L35" s="2025">
        <v>25</v>
      </c>
      <c r="M35" s="2025">
        <v>4</v>
      </c>
      <c r="N35" s="2025">
        <v>30</v>
      </c>
      <c r="O35" s="2025">
        <v>25</v>
      </c>
      <c r="P35" s="2025">
        <v>25</v>
      </c>
      <c r="Q35" s="2025">
        <v>50</v>
      </c>
      <c r="R35" s="2025">
        <v>24</v>
      </c>
      <c r="S35" s="2025">
        <f t="shared" si="11"/>
        <v>141.82149999999999</v>
      </c>
      <c r="T35" s="2025">
        <v>67</v>
      </c>
      <c r="U35" s="2025">
        <v>67</v>
      </c>
      <c r="V35" s="2025">
        <v>66</v>
      </c>
      <c r="W35" s="2025">
        <v>50</v>
      </c>
      <c r="X35" s="2025">
        <v>150</v>
      </c>
      <c r="Y35" s="2026">
        <f t="shared" si="8"/>
        <v>3728.8215</v>
      </c>
      <c r="AA35" s="2031">
        <f t="shared" si="9"/>
        <v>11150.852000000001</v>
      </c>
      <c r="AB35" s="2031">
        <f t="shared" si="12"/>
        <v>11265.559116666667</v>
      </c>
      <c r="AC35" s="2032">
        <v>319.85966666666667</v>
      </c>
      <c r="AD35" s="2030">
        <f t="shared" si="13"/>
        <v>11585.418783333334</v>
      </c>
      <c r="AE35" s="1951"/>
      <c r="AF35" s="2030">
        <f t="shared" si="10"/>
        <v>15314.240283333334</v>
      </c>
      <c r="AG35" s="1951"/>
    </row>
    <row r="36" spans="2:33">
      <c r="B36" s="1953" t="s">
        <v>744</v>
      </c>
      <c r="C36" s="2024">
        <v>2629</v>
      </c>
      <c r="D36" s="2025">
        <v>50</v>
      </c>
      <c r="E36" s="2025">
        <v>18</v>
      </c>
      <c r="F36" s="2025">
        <v>56</v>
      </c>
      <c r="G36" s="2025">
        <v>75</v>
      </c>
      <c r="H36" s="2025">
        <v>30</v>
      </c>
      <c r="I36" s="2025">
        <v>11</v>
      </c>
      <c r="J36" s="2025">
        <v>80</v>
      </c>
      <c r="K36" s="2025">
        <v>55</v>
      </c>
      <c r="L36" s="2025">
        <v>25</v>
      </c>
      <c r="M36" s="2025">
        <v>4</v>
      </c>
      <c r="N36" s="2025">
        <v>30</v>
      </c>
      <c r="O36" s="2025">
        <v>25</v>
      </c>
      <c r="P36" s="2025">
        <v>25</v>
      </c>
      <c r="Q36" s="2025">
        <v>50</v>
      </c>
      <c r="R36" s="2025">
        <v>24</v>
      </c>
      <c r="S36" s="2025">
        <f t="shared" si="11"/>
        <v>141.82149999999999</v>
      </c>
      <c r="T36" s="2025">
        <v>67</v>
      </c>
      <c r="U36" s="2025">
        <v>67</v>
      </c>
      <c r="V36" s="2025">
        <v>66</v>
      </c>
      <c r="W36" s="2025">
        <v>50</v>
      </c>
      <c r="X36" s="2025">
        <v>150</v>
      </c>
      <c r="Y36" s="2026">
        <f t="shared" si="8"/>
        <v>3728.8215</v>
      </c>
      <c r="AA36" s="2031">
        <f t="shared" si="9"/>
        <v>11977.857</v>
      </c>
      <c r="AB36" s="2031">
        <f t="shared" si="12"/>
        <v>12100.887790000001</v>
      </c>
      <c r="AC36" s="2032">
        <v>325.22199999999998</v>
      </c>
      <c r="AD36" s="2030">
        <f t="shared" si="13"/>
        <v>12426.10979</v>
      </c>
      <c r="AE36" s="1951"/>
      <c r="AF36" s="2030">
        <f t="shared" si="10"/>
        <v>16154.93129</v>
      </c>
      <c r="AG36" s="1951"/>
    </row>
    <row r="37" spans="2:33">
      <c r="B37" s="1953" t="s">
        <v>153</v>
      </c>
      <c r="C37" s="2024">
        <v>2629</v>
      </c>
      <c r="D37" s="2025">
        <v>50</v>
      </c>
      <c r="E37" s="2025">
        <v>18</v>
      </c>
      <c r="F37" s="2025">
        <v>56</v>
      </c>
      <c r="G37" s="2025">
        <v>75</v>
      </c>
      <c r="H37" s="2025">
        <v>30</v>
      </c>
      <c r="I37" s="2025">
        <v>11</v>
      </c>
      <c r="J37" s="2025">
        <v>80</v>
      </c>
      <c r="K37" s="2025">
        <v>55</v>
      </c>
      <c r="L37" s="2025">
        <v>25</v>
      </c>
      <c r="M37" s="2025">
        <v>4</v>
      </c>
      <c r="N37" s="2025">
        <v>30</v>
      </c>
      <c r="O37" s="2025">
        <v>25</v>
      </c>
      <c r="P37" s="2025">
        <v>25</v>
      </c>
      <c r="Q37" s="2025">
        <v>50</v>
      </c>
      <c r="R37" s="2025">
        <v>24</v>
      </c>
      <c r="S37" s="2025">
        <f t="shared" si="11"/>
        <v>141.82149999999999</v>
      </c>
      <c r="T37" s="2025">
        <v>67</v>
      </c>
      <c r="U37" s="2025">
        <v>67</v>
      </c>
      <c r="V37" s="2025">
        <v>66</v>
      </c>
      <c r="W37" s="2025">
        <v>50</v>
      </c>
      <c r="X37" s="2025">
        <v>150</v>
      </c>
      <c r="Y37" s="2026">
        <f t="shared" si="8"/>
        <v>3728.8215</v>
      </c>
      <c r="AA37" s="2031">
        <f t="shared" si="9"/>
        <v>11054.794</v>
      </c>
      <c r="AB37" s="2031">
        <f t="shared" si="12"/>
        <v>11168.45176</v>
      </c>
      <c r="AC37" s="2032">
        <v>310.98199999999997</v>
      </c>
      <c r="AD37" s="2030">
        <f t="shared" si="13"/>
        <v>11479.43376</v>
      </c>
      <c r="AE37" s="1951"/>
      <c r="AF37" s="2030">
        <f t="shared" si="10"/>
        <v>15208.25526</v>
      </c>
      <c r="AG37" s="1951"/>
    </row>
    <row r="38" spans="2:33">
      <c r="B38" s="1953" t="s">
        <v>743</v>
      </c>
      <c r="C38" s="2024">
        <v>2629</v>
      </c>
      <c r="D38" s="2025">
        <v>50</v>
      </c>
      <c r="E38" s="2025">
        <v>18</v>
      </c>
      <c r="F38" s="2025">
        <v>56</v>
      </c>
      <c r="G38" s="2025">
        <v>75</v>
      </c>
      <c r="H38" s="2025">
        <v>30</v>
      </c>
      <c r="I38" s="2025">
        <v>11</v>
      </c>
      <c r="J38" s="2025">
        <v>80</v>
      </c>
      <c r="K38" s="2025">
        <v>55</v>
      </c>
      <c r="L38" s="2025">
        <v>25</v>
      </c>
      <c r="M38" s="2025">
        <v>4</v>
      </c>
      <c r="N38" s="2025">
        <v>30</v>
      </c>
      <c r="O38" s="2025">
        <v>25</v>
      </c>
      <c r="P38" s="2025">
        <v>25</v>
      </c>
      <c r="Q38" s="2025">
        <v>50</v>
      </c>
      <c r="R38" s="2025">
        <v>24</v>
      </c>
      <c r="S38" s="2025">
        <f t="shared" si="11"/>
        <v>141.82149999999999</v>
      </c>
      <c r="T38" s="2025">
        <v>67</v>
      </c>
      <c r="U38" s="2025">
        <v>67</v>
      </c>
      <c r="V38" s="2025">
        <v>66</v>
      </c>
      <c r="W38" s="2025">
        <v>50</v>
      </c>
      <c r="X38" s="2025">
        <v>150</v>
      </c>
      <c r="Y38" s="2026">
        <f t="shared" si="8"/>
        <v>3728.8215</v>
      </c>
      <c r="AA38" s="2031">
        <f t="shared" si="9"/>
        <v>10151.618999999999</v>
      </c>
      <c r="AB38" s="2031">
        <f t="shared" si="12"/>
        <v>10256.509943333333</v>
      </c>
      <c r="AC38" s="2032">
        <v>337.47533333333331</v>
      </c>
      <c r="AD38" s="2030">
        <f t="shared" si="13"/>
        <v>10593.985276666666</v>
      </c>
      <c r="AE38" s="1951"/>
      <c r="AF38" s="2030">
        <f t="shared" si="10"/>
        <v>14322.806776666666</v>
      </c>
      <c r="AG38" s="1951"/>
    </row>
    <row r="39" spans="2:33">
      <c r="B39" s="1953" t="s">
        <v>155</v>
      </c>
      <c r="C39" s="2024">
        <v>2629</v>
      </c>
      <c r="D39" s="2025">
        <v>50</v>
      </c>
      <c r="E39" s="2025">
        <v>18</v>
      </c>
      <c r="F39" s="2025">
        <v>56</v>
      </c>
      <c r="G39" s="2025">
        <v>75</v>
      </c>
      <c r="H39" s="2025">
        <v>30</v>
      </c>
      <c r="I39" s="2025">
        <v>11</v>
      </c>
      <c r="J39" s="2025">
        <v>80</v>
      </c>
      <c r="K39" s="2025">
        <v>55</v>
      </c>
      <c r="L39" s="2025">
        <v>25</v>
      </c>
      <c r="M39" s="2025">
        <v>4</v>
      </c>
      <c r="N39" s="2025">
        <v>30</v>
      </c>
      <c r="O39" s="2025">
        <v>25</v>
      </c>
      <c r="P39" s="2025">
        <v>25</v>
      </c>
      <c r="Q39" s="2025">
        <v>50</v>
      </c>
      <c r="R39" s="2025">
        <v>24</v>
      </c>
      <c r="S39" s="2025">
        <f t="shared" si="11"/>
        <v>141.82149999999999</v>
      </c>
      <c r="T39" s="2025">
        <v>67</v>
      </c>
      <c r="U39" s="2025">
        <v>67</v>
      </c>
      <c r="V39" s="2025">
        <v>66</v>
      </c>
      <c r="W39" s="2025">
        <v>50</v>
      </c>
      <c r="X39" s="2025">
        <v>150</v>
      </c>
      <c r="Y39" s="2026">
        <f t="shared" si="8"/>
        <v>3728.8215</v>
      </c>
      <c r="AA39" s="2031">
        <f t="shared" si="9"/>
        <v>8595.2919999999995</v>
      </c>
      <c r="AB39" s="2031">
        <f t="shared" si="12"/>
        <v>8683.8540133333317</v>
      </c>
      <c r="AC39" s="2032">
        <v>260.90933333333334</v>
      </c>
      <c r="AD39" s="2030">
        <f t="shared" si="13"/>
        <v>8944.7633466666648</v>
      </c>
      <c r="AE39" s="1951"/>
      <c r="AF39" s="2030">
        <f t="shared" si="10"/>
        <v>12673.584846666665</v>
      </c>
      <c r="AG39" s="1951"/>
    </row>
    <row r="40" spans="2:33">
      <c r="B40" s="1953" t="s">
        <v>156</v>
      </c>
      <c r="C40" s="2024">
        <v>2534</v>
      </c>
      <c r="D40" s="2025">
        <v>50</v>
      </c>
      <c r="E40" s="2025">
        <v>18</v>
      </c>
      <c r="F40" s="2025">
        <v>56</v>
      </c>
      <c r="G40" s="2025">
        <v>0</v>
      </c>
      <c r="H40" s="2025">
        <v>30</v>
      </c>
      <c r="I40" s="2025">
        <v>11</v>
      </c>
      <c r="J40" s="2025">
        <v>80</v>
      </c>
      <c r="K40" s="2025">
        <v>74</v>
      </c>
      <c r="L40" s="2025">
        <v>25</v>
      </c>
      <c r="M40" s="2025">
        <v>4</v>
      </c>
      <c r="N40" s="2025">
        <v>30</v>
      </c>
      <c r="O40" s="2025">
        <v>25</v>
      </c>
      <c r="P40" s="2025">
        <v>25</v>
      </c>
      <c r="Q40" s="2025">
        <v>50</v>
      </c>
      <c r="R40" s="2025">
        <v>24</v>
      </c>
      <c r="S40" s="2025">
        <f t="shared" si="11"/>
        <v>135.102</v>
      </c>
      <c r="T40" s="2025">
        <v>67</v>
      </c>
      <c r="U40" s="2025">
        <v>67</v>
      </c>
      <c r="V40" s="2025">
        <v>66</v>
      </c>
      <c r="W40" s="2025">
        <v>50</v>
      </c>
      <c r="X40" s="2025">
        <v>150</v>
      </c>
      <c r="Y40" s="2026">
        <f t="shared" si="8"/>
        <v>3571.1019999999999</v>
      </c>
      <c r="AA40" s="2031">
        <f t="shared" si="9"/>
        <v>9438.6939999999995</v>
      </c>
      <c r="AB40" s="2031">
        <f t="shared" si="12"/>
        <v>9535.2395899999992</v>
      </c>
      <c r="AC40" s="2032">
        <v>215.86500000000001</v>
      </c>
      <c r="AD40" s="2030">
        <f t="shared" si="13"/>
        <v>9751.104589999999</v>
      </c>
      <c r="AE40" s="1951"/>
      <c r="AF40" s="2030">
        <f t="shared" si="10"/>
        <v>13322.206589999998</v>
      </c>
      <c r="AG40" s="1951"/>
    </row>
    <row r="41" spans="2:33" ht="16.5" thickBot="1">
      <c r="B41" s="1953" t="s">
        <v>157</v>
      </c>
      <c r="C41" s="2024">
        <v>2534</v>
      </c>
      <c r="D41" s="2025">
        <v>50</v>
      </c>
      <c r="E41" s="2025">
        <v>18</v>
      </c>
      <c r="F41" s="2025">
        <v>56</v>
      </c>
      <c r="G41" s="2025">
        <v>0</v>
      </c>
      <c r="H41" s="2025">
        <v>30</v>
      </c>
      <c r="I41" s="2025">
        <v>11</v>
      </c>
      <c r="J41" s="2025">
        <v>80</v>
      </c>
      <c r="K41" s="2025">
        <v>74</v>
      </c>
      <c r="L41" s="2025">
        <v>25</v>
      </c>
      <c r="M41" s="2025">
        <v>4</v>
      </c>
      <c r="N41" s="2025">
        <v>30</v>
      </c>
      <c r="O41" s="2025">
        <v>25</v>
      </c>
      <c r="P41" s="2025">
        <v>25</v>
      </c>
      <c r="Q41" s="2025">
        <v>50</v>
      </c>
      <c r="R41" s="2025">
        <v>24</v>
      </c>
      <c r="S41" s="2025">
        <f t="shared" si="11"/>
        <v>135.102</v>
      </c>
      <c r="T41" s="2025">
        <v>67</v>
      </c>
      <c r="U41" s="2025">
        <v>67</v>
      </c>
      <c r="V41" s="2025">
        <v>66</v>
      </c>
      <c r="W41" s="2025">
        <v>50</v>
      </c>
      <c r="X41" s="2025">
        <v>150</v>
      </c>
      <c r="Y41" s="2026">
        <f t="shared" si="8"/>
        <v>3571.1019999999999</v>
      </c>
      <c r="AA41" s="2033">
        <f t="shared" si="9"/>
        <v>10089.309000000001</v>
      </c>
      <c r="AB41" s="2033">
        <f t="shared" si="12"/>
        <v>10192.320526666668</v>
      </c>
      <c r="AC41" s="2032">
        <v>211.84366666666665</v>
      </c>
      <c r="AD41" s="2035">
        <f t="shared" si="13"/>
        <v>10404.164193333334</v>
      </c>
      <c r="AE41" s="1951"/>
      <c r="AF41" s="2030">
        <f t="shared" si="10"/>
        <v>13975.266193333333</v>
      </c>
      <c r="AG41" s="1951"/>
    </row>
    <row r="42" spans="2:33" ht="16.5" thickBot="1">
      <c r="B42" s="1972" t="s">
        <v>282</v>
      </c>
      <c r="C42" s="2003">
        <f t="shared" ref="C42:M42" si="14">SUM(C30:C41)</f>
        <v>30883</v>
      </c>
      <c r="D42" s="2002">
        <f t="shared" si="14"/>
        <v>600</v>
      </c>
      <c r="E42" s="2002">
        <f t="shared" si="14"/>
        <v>216</v>
      </c>
      <c r="F42" s="2002">
        <f t="shared" si="14"/>
        <v>672</v>
      </c>
      <c r="G42" s="2002">
        <f t="shared" si="14"/>
        <v>375</v>
      </c>
      <c r="H42" s="2002">
        <f t="shared" si="14"/>
        <v>360</v>
      </c>
      <c r="I42" s="2002">
        <f t="shared" si="14"/>
        <v>132</v>
      </c>
      <c r="J42" s="2002">
        <f t="shared" si="14"/>
        <v>960</v>
      </c>
      <c r="K42" s="2002">
        <f t="shared" si="14"/>
        <v>793</v>
      </c>
      <c r="L42" s="2002">
        <f t="shared" si="14"/>
        <v>300</v>
      </c>
      <c r="M42" s="2002">
        <f t="shared" si="14"/>
        <v>48</v>
      </c>
      <c r="N42" s="2002">
        <f t="shared" ref="N42:Y42" si="15">SUM(N30:N41)</f>
        <v>360</v>
      </c>
      <c r="O42" s="2002">
        <f t="shared" si="15"/>
        <v>300</v>
      </c>
      <c r="P42" s="2002">
        <f t="shared" si="15"/>
        <v>175</v>
      </c>
      <c r="Q42" s="2002">
        <f t="shared" ref="Q42:S42" si="16">SUM(Q30:Q41)</f>
        <v>600</v>
      </c>
      <c r="R42" s="2002">
        <f t="shared" si="16"/>
        <v>288</v>
      </c>
      <c r="S42" s="2002">
        <f t="shared" si="16"/>
        <v>1649.2590000000002</v>
      </c>
      <c r="T42" s="2002">
        <f t="shared" si="15"/>
        <v>804</v>
      </c>
      <c r="U42" s="2002">
        <f t="shared" si="15"/>
        <v>804</v>
      </c>
      <c r="V42" s="2002">
        <f t="shared" si="15"/>
        <v>792</v>
      </c>
      <c r="W42" s="2002">
        <f t="shared" si="15"/>
        <v>600</v>
      </c>
      <c r="X42" s="2002">
        <f t="shared" si="15"/>
        <v>1800</v>
      </c>
      <c r="Y42" s="2036">
        <f t="shared" si="15"/>
        <v>43511.258999999991</v>
      </c>
      <c r="AA42" s="2037">
        <f>SUM(AA30:AA41)</f>
        <v>116945.12600000002</v>
      </c>
      <c r="AB42" s="2037">
        <f>SUM(AB30:AB41)</f>
        <v>118146.59971000001</v>
      </c>
      <c r="AC42" s="2037">
        <f>SUM(AC30:AC41)</f>
        <v>3202.2449999999999</v>
      </c>
      <c r="AD42" s="2037">
        <f>SUM(AD30:AD41)</f>
        <v>121348.84470999999</v>
      </c>
      <c r="AE42" s="1951"/>
      <c r="AF42" s="2037">
        <f>SUM(AF30:AF41)</f>
        <v>164860.10371</v>
      </c>
      <c r="AG42" s="1951"/>
    </row>
    <row r="43" spans="2:33" ht="16.5" thickBot="1">
      <c r="B43" s="1992" t="s">
        <v>1802</v>
      </c>
      <c r="C43" s="2510">
        <f t="shared" ref="C43:Y43" si="17">+C42/12</f>
        <v>2573.5833333333335</v>
      </c>
      <c r="D43" s="2511">
        <f t="shared" si="17"/>
        <v>50</v>
      </c>
      <c r="E43" s="2511">
        <f t="shared" si="17"/>
        <v>18</v>
      </c>
      <c r="F43" s="2511">
        <f t="shared" si="17"/>
        <v>56</v>
      </c>
      <c r="G43" s="2511">
        <f t="shared" si="17"/>
        <v>31.25</v>
      </c>
      <c r="H43" s="2511">
        <f t="shared" si="17"/>
        <v>30</v>
      </c>
      <c r="I43" s="2511">
        <f t="shared" si="17"/>
        <v>11</v>
      </c>
      <c r="J43" s="2511">
        <f t="shared" si="17"/>
        <v>80</v>
      </c>
      <c r="K43" s="2511">
        <f t="shared" si="17"/>
        <v>66.083333333333329</v>
      </c>
      <c r="L43" s="2511">
        <f t="shared" si="17"/>
        <v>25</v>
      </c>
      <c r="M43" s="2511">
        <f t="shared" si="17"/>
        <v>4</v>
      </c>
      <c r="N43" s="2511">
        <f t="shared" si="17"/>
        <v>30</v>
      </c>
      <c r="O43" s="2511">
        <f t="shared" si="17"/>
        <v>25</v>
      </c>
      <c r="P43" s="2511">
        <f t="shared" si="17"/>
        <v>14.583333333333334</v>
      </c>
      <c r="Q43" s="2511">
        <f t="shared" ref="Q43:S43" si="18">+Q42/12</f>
        <v>50</v>
      </c>
      <c r="R43" s="2511">
        <f t="shared" si="18"/>
        <v>24</v>
      </c>
      <c r="S43" s="2511">
        <f t="shared" si="18"/>
        <v>137.43825000000001</v>
      </c>
      <c r="T43" s="2511">
        <f t="shared" si="17"/>
        <v>67</v>
      </c>
      <c r="U43" s="2511">
        <f t="shared" si="17"/>
        <v>67</v>
      </c>
      <c r="V43" s="2511">
        <f t="shared" si="17"/>
        <v>66</v>
      </c>
      <c r="W43" s="2511">
        <f t="shared" si="17"/>
        <v>50</v>
      </c>
      <c r="X43" s="2511">
        <f t="shared" si="17"/>
        <v>150</v>
      </c>
      <c r="Y43" s="2512">
        <f t="shared" si="17"/>
        <v>3625.9382499999992</v>
      </c>
      <c r="AA43" s="2038">
        <f>+AA42/12</f>
        <v>9745.4271666666682</v>
      </c>
      <c r="AB43" s="2038">
        <f>+AB42/12</f>
        <v>9845.5499758333335</v>
      </c>
      <c r="AC43" s="2038">
        <f>+AC42/12</f>
        <v>266.85374999999999</v>
      </c>
      <c r="AD43" s="2038">
        <f>+AD42/12</f>
        <v>10112.403725833332</v>
      </c>
      <c r="AE43" s="1951"/>
      <c r="AF43" s="2038">
        <f>+AF42/12</f>
        <v>13738.341975833333</v>
      </c>
      <c r="AG43" s="1951"/>
    </row>
    <row r="45" spans="2:33">
      <c r="P45" s="2039"/>
      <c r="R45" s="2040"/>
    </row>
    <row r="46" spans="2:33">
      <c r="P46" s="2039"/>
    </row>
    <row r="48" spans="2:33">
      <c r="P48" s="1997"/>
    </row>
    <row r="49" spans="16:16">
      <c r="P49" s="2040"/>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zoomScaleNormal="100" workbookViewId="0">
      <selection activeCell="O10" sqref="O10"/>
    </sheetView>
  </sheetViews>
  <sheetFormatPr defaultRowHeight="15.75"/>
  <cols>
    <col min="1" max="1" width="4.7109375" style="1942" customWidth="1"/>
    <col min="2" max="2" width="14.28515625" style="1942" customWidth="1"/>
    <col min="3" max="4" width="6" style="1942" customWidth="1"/>
    <col min="5" max="19" width="11.5703125" style="1942" customWidth="1"/>
    <col min="20" max="20" width="9.140625" style="1942" customWidth="1"/>
    <col min="21" max="24" width="11.7109375" style="1942" customWidth="1"/>
    <col min="25" max="25" width="12.28515625" style="1942" customWidth="1"/>
    <col min="26" max="26" width="9.28515625" style="1951" customWidth="1"/>
    <col min="27" max="29" width="12.28515625" style="1942" customWidth="1"/>
    <col min="30" max="30" width="7" style="1942" customWidth="1"/>
    <col min="31" max="31" width="12.28515625" style="1942" customWidth="1"/>
    <col min="32" max="16384" width="9.140625" style="1942"/>
  </cols>
  <sheetData>
    <row r="1" spans="1:30" ht="16.5" customHeight="1">
      <c r="A1" s="1938"/>
      <c r="B1" s="2595" t="s">
        <v>365</v>
      </c>
      <c r="C1" s="2595"/>
      <c r="D1" s="2595"/>
      <c r="E1" s="2595"/>
      <c r="F1" s="2595"/>
      <c r="G1" s="2595"/>
      <c r="H1" s="2595"/>
      <c r="I1" s="2595"/>
      <c r="J1" s="2595"/>
      <c r="K1" s="2595"/>
      <c r="L1" s="2595"/>
      <c r="M1" s="2595"/>
      <c r="N1" s="2595"/>
      <c r="O1" s="2595"/>
      <c r="P1" s="2595"/>
      <c r="Q1" s="2595"/>
      <c r="R1" s="2595"/>
      <c r="S1" s="2595"/>
      <c r="T1" s="1945"/>
      <c r="U1" s="1945"/>
      <c r="V1" s="1945"/>
      <c r="W1" s="1945"/>
      <c r="X1" s="1945"/>
      <c r="Y1" s="1945"/>
      <c r="Z1" s="1945"/>
      <c r="AA1" s="1945"/>
      <c r="AB1" s="1941"/>
    </row>
    <row r="2" spans="1:30" ht="16.5" customHeight="1">
      <c r="A2" s="1943"/>
      <c r="B2" s="2596" t="s">
        <v>1023</v>
      </c>
      <c r="C2" s="2596"/>
      <c r="D2" s="2596"/>
      <c r="E2" s="2596"/>
      <c r="F2" s="2596"/>
      <c r="G2" s="2596"/>
      <c r="H2" s="2596"/>
      <c r="I2" s="2596"/>
      <c r="J2" s="2596"/>
      <c r="K2" s="2596"/>
      <c r="L2" s="2596"/>
      <c r="M2" s="2596"/>
      <c r="N2" s="2596"/>
      <c r="O2" s="2596"/>
      <c r="P2" s="2596"/>
      <c r="Q2" s="2596"/>
      <c r="R2" s="2596"/>
      <c r="S2" s="2596"/>
      <c r="T2" s="2483"/>
      <c r="U2" s="2483"/>
      <c r="V2" s="2483"/>
      <c r="W2" s="2483"/>
      <c r="X2" s="2483"/>
      <c r="Y2" s="2483"/>
      <c r="Z2" s="2483"/>
      <c r="AA2" s="2483"/>
      <c r="AB2" s="2483"/>
      <c r="AC2" s="2483"/>
      <c r="AD2" s="2483"/>
    </row>
    <row r="3" spans="1:30" ht="16.5" customHeight="1">
      <c r="A3" s="1938"/>
      <c r="B3" s="2480"/>
      <c r="C3" s="1939"/>
      <c r="D3" s="1939"/>
      <c r="E3" s="1584"/>
      <c r="F3" s="1584"/>
      <c r="G3" s="1584"/>
      <c r="H3" s="1584"/>
      <c r="I3" s="1584"/>
      <c r="J3" s="1944"/>
      <c r="K3" s="2074">
        <v>2015</v>
      </c>
      <c r="L3" s="1941"/>
      <c r="M3" s="1941"/>
      <c r="O3" s="1941"/>
      <c r="P3" s="1941"/>
      <c r="Q3" s="1941"/>
      <c r="R3" s="1941"/>
      <c r="S3" s="1941"/>
      <c r="T3" s="1951"/>
      <c r="U3" s="1941"/>
      <c r="V3" s="1941"/>
      <c r="W3" s="1941"/>
      <c r="X3" s="1941"/>
      <c r="Y3" s="1941"/>
      <c r="Z3" s="1940"/>
      <c r="AA3" s="1941"/>
      <c r="AB3" s="1941"/>
    </row>
    <row r="4" spans="1:30" ht="16.5" customHeight="1" thickBot="1">
      <c r="C4" s="1946"/>
      <c r="D4" s="1946"/>
      <c r="T4" s="1951"/>
      <c r="U4" s="1941"/>
      <c r="V4" s="1941"/>
      <c r="W4" s="1941"/>
      <c r="X4" s="1941"/>
      <c r="Y4" s="1941"/>
      <c r="Z4" s="1938"/>
    </row>
    <row r="5" spans="1:30" ht="16.5" customHeight="1" thickBot="1">
      <c r="B5" s="1949"/>
      <c r="C5" s="1950"/>
      <c r="D5" s="1950"/>
      <c r="E5" s="2590" t="s">
        <v>823</v>
      </c>
      <c r="F5" s="2591"/>
      <c r="G5" s="2591"/>
      <c r="H5" s="2591"/>
      <c r="I5" s="2591"/>
      <c r="J5" s="2591"/>
      <c r="K5" s="2591"/>
      <c r="L5" s="2591"/>
      <c r="M5" s="2591"/>
      <c r="N5" s="2591"/>
      <c r="O5" s="2591"/>
      <c r="P5" s="2591"/>
      <c r="Q5" s="2591"/>
      <c r="R5" s="2591"/>
      <c r="S5" s="2592"/>
      <c r="T5" s="1951"/>
      <c r="U5" s="1941"/>
      <c r="V5" s="1941"/>
      <c r="W5" s="1941"/>
      <c r="X5" s="1941"/>
      <c r="Y5" s="1941"/>
      <c r="AA5" s="1952"/>
      <c r="AB5" s="1951"/>
      <c r="AC5" s="1951"/>
    </row>
    <row r="6" spans="1:30" ht="16.5" customHeight="1" thickBot="1">
      <c r="B6" s="1953" t="s">
        <v>328</v>
      </c>
      <c r="C6" s="1950"/>
      <c r="D6" s="1950"/>
      <c r="E6" s="2478"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1830</v>
      </c>
      <c r="S6" s="1957" t="s">
        <v>397</v>
      </c>
      <c r="T6" s="1951"/>
      <c r="U6" s="1941"/>
      <c r="V6" s="1941"/>
      <c r="W6" s="1941"/>
      <c r="X6" s="1941"/>
      <c r="Y6" s="1941"/>
      <c r="AA6" s="1952"/>
      <c r="AB6" s="1951"/>
      <c r="AC6" s="1951"/>
    </row>
    <row r="7" spans="1:30" ht="47.25" customHeight="1">
      <c r="B7" s="1961" t="s">
        <v>760</v>
      </c>
      <c r="C7" s="1961"/>
      <c r="D7" s="2052"/>
      <c r="E7" s="1962" t="str">
        <f>'Att 9b - 2015 True-up'!E7</f>
        <v>PacifiCorp</v>
      </c>
      <c r="F7" s="1963" t="str">
        <f>'Att 9b - 2015 True-up'!F7</f>
        <v>BPA Yakama</v>
      </c>
      <c r="G7" s="1964" t="str">
        <f>'Att 9b - 2015 True-up'!G7</f>
        <v>BPA Gazley</v>
      </c>
      <c r="H7" s="1964" t="str">
        <f>'Att 9b - 2015 True-up'!H7</f>
        <v>BPA Clarke PUD</v>
      </c>
      <c r="I7" s="1964" t="str">
        <f>'Att 9b - 2015 True-up'!I7</f>
        <v>BPA: Benton REA</v>
      </c>
      <c r="J7" s="1964" t="str">
        <f>'Att 9b - 2015 True-up'!J7</f>
        <v>BPA Oregon Wind</v>
      </c>
      <c r="K7" s="1964" t="str">
        <f>'Att 9b - 2015 True-up'!K7</f>
        <v xml:space="preserve"> Tri-State</v>
      </c>
      <c r="L7" s="1964" t="str">
        <f>'Att 9b - 2015 True-up'!L7</f>
        <v>Noble Americas/ (Sempra)</v>
      </c>
      <c r="M7" s="1964" t="str">
        <f>'Att 9b - 2015 True-up'!M7</f>
        <v>Basin Electric</v>
      </c>
      <c r="N7" s="1964" t="str">
        <f>'Att 9b - 2015 True-up'!N7</f>
        <v>Black Hills</v>
      </c>
      <c r="O7" s="1964" t="str">
        <f>'Att 9b - 2015 True-up'!O7</f>
        <v xml:space="preserve">USBR </v>
      </c>
      <c r="P7" s="1964" t="str">
        <f>'Att 9b - 2015 True-up'!P7</f>
        <v>WAPA</v>
      </c>
      <c r="Q7" s="1964" t="str">
        <f>'Att 9b - 2015 True-up'!Q7</f>
        <v>Iberdrola</v>
      </c>
      <c r="R7" s="1964" t="str">
        <f>'Att 9b - 2015 True-up'!R7</f>
        <v>Exelon/ Constellation</v>
      </c>
      <c r="S7" s="1965"/>
      <c r="T7" s="1951"/>
      <c r="U7" s="1941"/>
      <c r="V7" s="1941"/>
      <c r="W7" s="1941"/>
      <c r="X7" s="1941"/>
      <c r="Y7" s="1941"/>
      <c r="AA7" s="1952"/>
      <c r="AB7" s="1951"/>
      <c r="AC7" s="1951"/>
    </row>
    <row r="8" spans="1:30" ht="15.75" customHeight="1">
      <c r="B8" s="1968" t="s">
        <v>468</v>
      </c>
      <c r="C8" s="1968"/>
      <c r="D8" s="2054"/>
      <c r="E8" s="1969" t="str">
        <f>'Att 9b - 2015 True-up'!E8</f>
        <v>NFS</v>
      </c>
      <c r="F8" s="1970" t="str">
        <f>'Att 9b - 2015 True-up'!F8</f>
        <v>NFO</v>
      </c>
      <c r="G8" s="1966" t="str">
        <f>'Att 9b - 2015 True-up'!G8</f>
        <v>NFO</v>
      </c>
      <c r="H8" s="1966" t="str">
        <f>'Att 9b - 2015 True-up'!H8</f>
        <v>NFO</v>
      </c>
      <c r="I8" s="1966" t="str">
        <f>'Att 9b - 2015 True-up'!I8</f>
        <v>NFO</v>
      </c>
      <c r="J8" s="1966" t="str">
        <f>'Att 9b - 2015 True-up'!J8</f>
        <v>NFO</v>
      </c>
      <c r="K8" s="1966" t="str">
        <f>'Att 9b - 2015 True-up'!K8</f>
        <v>NFO</v>
      </c>
      <c r="L8" s="1966" t="str">
        <f>'Att 9b - 2015 True-up'!L8</f>
        <v>NFO</v>
      </c>
      <c r="M8" s="1966" t="str">
        <f>'Att 9b - 2015 True-up'!M8</f>
        <v>NFO</v>
      </c>
      <c r="N8" s="1966" t="str">
        <f>'Att 9b - 2015 True-up'!N8</f>
        <v>NFO</v>
      </c>
      <c r="O8" s="1966" t="str">
        <f>'Att 9b - 2015 True-up'!O8</f>
        <v>NFO</v>
      </c>
      <c r="P8" s="1966" t="str">
        <f>'Att 9b - 2015 True-up'!P8</f>
        <v>NFO</v>
      </c>
      <c r="Q8" s="1966" t="str">
        <f>'Att 9b - 2015 True-up'!Q8</f>
        <v>NFO</v>
      </c>
      <c r="R8" s="1966" t="str">
        <f>'Att 9b - 2015 True-up'!R8</f>
        <v>NFO</v>
      </c>
      <c r="S8" s="1971" t="s">
        <v>790</v>
      </c>
      <c r="T8" s="1951"/>
      <c r="AA8" s="1951"/>
    </row>
    <row r="9" spans="1:30" ht="16.5" customHeight="1" thickBot="1">
      <c r="B9" s="1972" t="s">
        <v>752</v>
      </c>
      <c r="C9" s="2057" t="s">
        <v>825</v>
      </c>
      <c r="D9" s="2057" t="s">
        <v>824</v>
      </c>
      <c r="E9" s="1974" t="str">
        <f>'Att 9b - 2015 True-up'!E9</f>
        <v>-</v>
      </c>
      <c r="F9" s="1975" t="str">
        <f>'Att 9b - 2015 True-up'!F9</f>
        <v>SA 328</v>
      </c>
      <c r="G9" s="1976" t="str">
        <f>'Att 9b - 2015 True-up'!G9</f>
        <v>SA 229</v>
      </c>
      <c r="H9" s="1976" t="str">
        <f>'Att 9b - 2015 True-up'!H9</f>
        <v>SA 735</v>
      </c>
      <c r="I9" s="1976" t="str">
        <f>'Att 9b - 2015 True-up'!I9</f>
        <v>SA 539</v>
      </c>
      <c r="J9" s="1976" t="str">
        <f>'Att 9b - 2015 True-up'!J9</f>
        <v>SA 538</v>
      </c>
      <c r="K9" s="1976" t="str">
        <f>'Att 9b - 2015 True-up'!K9</f>
        <v>SA 628</v>
      </c>
      <c r="L9" s="1976" t="str">
        <f>'Att 9b - 2015 True-up'!L9</f>
        <v>SA 299</v>
      </c>
      <c r="M9" s="1976" t="str">
        <f>'Att 9b - 2015 True-up'!M9</f>
        <v>SA 505</v>
      </c>
      <c r="N9" s="1976" t="str">
        <f>'Att 9b - 2015 True-up'!N9</f>
        <v>SA 347</v>
      </c>
      <c r="O9" s="1976" t="str">
        <f>'Att 9b - 2015 True-up'!O9</f>
        <v>SA 506</v>
      </c>
      <c r="P9" s="1976" t="str">
        <f>'Att 9b - 2015 True-up'!P9</f>
        <v>SA 175</v>
      </c>
      <c r="Q9" s="1976" t="str">
        <f>'Att 9b - 2015 True-up'!Q9</f>
        <v>SA 742</v>
      </c>
      <c r="R9" s="1976" t="str">
        <f>'Att 9b - 2015 True-up'!R9</f>
        <v>SA 789</v>
      </c>
      <c r="S9" s="1977"/>
      <c r="T9" s="1951"/>
      <c r="AA9" s="1951"/>
    </row>
    <row r="10" spans="1:30">
      <c r="B10" s="1953" t="s">
        <v>147</v>
      </c>
      <c r="C10" s="2059">
        <f>'Att 9b - 2015 True-up'!C10</f>
        <v>2</v>
      </c>
      <c r="D10" s="2060">
        <f>'Att 9b - 2015 True-up'!D10</f>
        <v>18</v>
      </c>
      <c r="E10" s="1980">
        <f>'Att 9b - 2015 True-up'!E10</f>
        <v>8308.6720000000005</v>
      </c>
      <c r="F10" s="1981">
        <f>'Att 9b - 2015 True-up'!F10</f>
        <v>4.5449999999999999</v>
      </c>
      <c r="G10" s="1982">
        <f>'Att 9b - 2015 True-up'!G10</f>
        <v>3.3580000000000001</v>
      </c>
      <c r="H10" s="1982">
        <f>'Att 9b - 2015 True-up'!H10</f>
        <v>25.207999999999998</v>
      </c>
      <c r="I10" s="1982">
        <f>'Att 9b - 2015 True-up'!I10</f>
        <v>1.4039999999999999</v>
      </c>
      <c r="J10" s="1982">
        <f>'Att 9b - 2015 True-up'!J10</f>
        <v>0.34599999999999997</v>
      </c>
      <c r="K10" s="1982">
        <f>'Att 9b - 2015 True-up'!K10</f>
        <v>25.824000000000002</v>
      </c>
      <c r="L10" s="1982">
        <f>'Att 9b - 2015 True-up'!L10</f>
        <v>16.471</v>
      </c>
      <c r="M10" s="1982">
        <f>'Att 9b - 2015 True-up'!M10</f>
        <v>0.29299999999999998</v>
      </c>
      <c r="N10" s="1982">
        <f>'Att 9b - 2015 True-up'!N10</f>
        <v>43.89</v>
      </c>
      <c r="O10" s="1982">
        <f>'Att 9b - 2015 True-up'!O10</f>
        <v>5.0000000000000001E-3</v>
      </c>
      <c r="P10" s="1982">
        <f>'Att 9b - 2015 True-up'!P10</f>
        <v>2E-3</v>
      </c>
      <c r="Q10" s="1982">
        <f>'Att 9b - 2015 True-up'!Q10</f>
        <v>5.141</v>
      </c>
      <c r="R10" s="1982">
        <f>'Att 9b - 2015 True-up'!R10</f>
        <v>3.0710000000000002</v>
      </c>
      <c r="S10" s="1983">
        <f>SUM(F10:R10)</f>
        <v>129.55800000000002</v>
      </c>
      <c r="T10" s="1951"/>
      <c r="AA10" s="1985"/>
    </row>
    <row r="11" spans="1:30">
      <c r="B11" s="1953" t="s">
        <v>148</v>
      </c>
      <c r="C11" s="2059">
        <f>'Att 9b - 2015 True-up'!C11</f>
        <v>23</v>
      </c>
      <c r="D11" s="2060">
        <f>'Att 9b - 2015 True-up'!D11</f>
        <v>8</v>
      </c>
      <c r="E11" s="1980">
        <f>'Att 9b - 2015 True-up'!E11</f>
        <v>8038.3180000000002</v>
      </c>
      <c r="F11" s="1981">
        <f>'Att 9b - 2015 True-up'!F11</f>
        <v>5.8070000000000004</v>
      </c>
      <c r="G11" s="1982">
        <f>'Att 9b - 2015 True-up'!G11</f>
        <v>3.173</v>
      </c>
      <c r="H11" s="1982">
        <f>'Att 9b - 2015 True-up'!H11</f>
        <v>26.384</v>
      </c>
      <c r="I11" s="1982">
        <f>'Att 9b - 2015 True-up'!I11</f>
        <v>1.167</v>
      </c>
      <c r="J11" s="1982">
        <f>'Att 9b - 2015 True-up'!J11</f>
        <v>0.34599999999999997</v>
      </c>
      <c r="K11" s="1982">
        <f>'Att 9b - 2015 True-up'!K11</f>
        <v>45.856000000000002</v>
      </c>
      <c r="L11" s="1982">
        <f>'Att 9b - 2015 True-up'!L11</f>
        <v>15.177</v>
      </c>
      <c r="M11" s="1982">
        <f>'Att 9b - 2015 True-up'!M11</f>
        <v>0.38200000000000001</v>
      </c>
      <c r="N11" s="1982">
        <f>'Att 9b - 2015 True-up'!N11</f>
        <v>47.78</v>
      </c>
      <c r="O11" s="1982">
        <f>'Att 9b - 2015 True-up'!O11</f>
        <v>5.0000000000000001E-3</v>
      </c>
      <c r="P11" s="1982">
        <f>'Att 9b - 2015 True-up'!P11</f>
        <v>1E-3</v>
      </c>
      <c r="Q11" s="1982">
        <f>'Att 9b - 2015 True-up'!Q11</f>
        <v>11.627000000000001</v>
      </c>
      <c r="R11" s="1982">
        <f>'Att 9b - 2015 True-up'!R11</f>
        <v>2.8639999999999999</v>
      </c>
      <c r="S11" s="1983">
        <f t="shared" ref="S11:S21" si="0">SUM(F11:R11)</f>
        <v>160.56900000000002</v>
      </c>
      <c r="T11" s="1951"/>
      <c r="AA11" s="1985"/>
    </row>
    <row r="12" spans="1:30">
      <c r="B12" s="1953" t="s">
        <v>352</v>
      </c>
      <c r="C12" s="2059">
        <f>'Att 9b - 2015 True-up'!C12</f>
        <v>4</v>
      </c>
      <c r="D12" s="2060">
        <f>'Att 9b - 2015 True-up'!D12</f>
        <v>8</v>
      </c>
      <c r="E12" s="1980">
        <f>'Att 9b - 2015 True-up'!E12</f>
        <v>7837</v>
      </c>
      <c r="F12" s="1981">
        <f>'Att 9b - 2015 True-up'!F12</f>
        <v>6.1159999999999997</v>
      </c>
      <c r="G12" s="1982">
        <f>'Att 9b - 2015 True-up'!G12</f>
        <v>3.0129999999999999</v>
      </c>
      <c r="H12" s="1982">
        <f>'Att 9b - 2015 True-up'!H12</f>
        <v>27.314</v>
      </c>
      <c r="I12" s="1982">
        <f>'Att 9b - 2015 True-up'!I12</f>
        <v>1.19</v>
      </c>
      <c r="J12" s="1982">
        <f>'Att 9b - 2015 True-up'!J12</f>
        <v>0.34599999999999997</v>
      </c>
      <c r="K12" s="1982">
        <f>'Att 9b - 2015 True-up'!K12</f>
        <v>27.593</v>
      </c>
      <c r="L12" s="1982">
        <f>'Att 9b - 2015 True-up'!L12</f>
        <v>14.991</v>
      </c>
      <c r="M12" s="1982">
        <f>'Att 9b - 2015 True-up'!M12</f>
        <v>1.0309999999999999</v>
      </c>
      <c r="N12" s="1982">
        <f>'Att 9b - 2015 True-up'!N12</f>
        <v>47.76</v>
      </c>
      <c r="O12" s="1982">
        <f>'Att 9b - 2015 True-up'!O12</f>
        <v>5.0000000000000001E-3</v>
      </c>
      <c r="P12" s="1982">
        <f>'Att 9b - 2015 True-up'!P12</f>
        <v>0</v>
      </c>
      <c r="Q12" s="1982">
        <f>'Att 9b - 2015 True-up'!Q12</f>
        <v>6.383</v>
      </c>
      <c r="R12" s="1982">
        <f>'Att 9b - 2015 True-up'!R12</f>
        <v>2.76</v>
      </c>
      <c r="S12" s="1983">
        <f t="shared" si="0"/>
        <v>138.50199999999998</v>
      </c>
      <c r="T12" s="1951"/>
      <c r="AA12" s="1985"/>
    </row>
    <row r="13" spans="1:30">
      <c r="B13" s="1953" t="s">
        <v>143</v>
      </c>
      <c r="C13" s="2059">
        <f>'Att 9b - 2015 True-up'!C13</f>
        <v>15</v>
      </c>
      <c r="D13" s="2060">
        <f>'Att 9b - 2015 True-up'!D13</f>
        <v>8</v>
      </c>
      <c r="E13" s="2070">
        <f>'Att 9b - 2015 True-up'!E13</f>
        <v>7417.098</v>
      </c>
      <c r="F13" s="1981">
        <f>'Att 9b - 2015 True-up'!F13</f>
        <v>5.069</v>
      </c>
      <c r="G13" s="1982">
        <f>'Att 9b - 2015 True-up'!G13</f>
        <v>3.1909999999999998</v>
      </c>
      <c r="H13" s="1982">
        <f>'Att 9b - 2015 True-up'!H13</f>
        <v>24.542999999999999</v>
      </c>
      <c r="I13" s="1982">
        <f>'Att 9b - 2015 True-up'!I13</f>
        <v>0.73399999999999999</v>
      </c>
      <c r="J13" s="1982">
        <f>'Att 9b - 2015 True-up'!J13</f>
        <v>0</v>
      </c>
      <c r="K13" s="1982">
        <f>'Att 9b - 2015 True-up'!K13</f>
        <v>24.305</v>
      </c>
      <c r="L13" s="1982">
        <f>'Att 9b - 2015 True-up'!L13</f>
        <v>16.850999999999999</v>
      </c>
      <c r="M13" s="1982">
        <f>'Att 9b - 2015 True-up'!M13</f>
        <v>0.25700000000000001</v>
      </c>
      <c r="N13" s="1982">
        <f>'Att 9b - 2015 True-up'!N13</f>
        <v>36.270000000000003</v>
      </c>
      <c r="O13" s="1982">
        <f>'Att 9b - 2015 True-up'!O13</f>
        <v>0.17100000000000001</v>
      </c>
      <c r="P13" s="1982">
        <f>'Att 9b - 2015 True-up'!P13</f>
        <v>1.6679999999999999</v>
      </c>
      <c r="Q13" s="1982">
        <f>'Att 9b - 2015 True-up'!Q13</f>
        <v>7.7629999999999999</v>
      </c>
      <c r="R13" s="1982">
        <f>'Att 9b - 2015 True-up'!R13</f>
        <v>0.54</v>
      </c>
      <c r="S13" s="1983">
        <f t="shared" si="0"/>
        <v>121.36200000000002</v>
      </c>
      <c r="T13" s="1951"/>
      <c r="AA13" s="1985"/>
    </row>
    <row r="14" spans="1:30">
      <c r="A14" s="1979"/>
      <c r="B14" s="1953" t="s">
        <v>144</v>
      </c>
      <c r="C14" s="2059">
        <f>'Att 9b - 2015 True-up'!C14</f>
        <v>31</v>
      </c>
      <c r="D14" s="2060">
        <f>'Att 9b - 2015 True-up'!D14</f>
        <v>18</v>
      </c>
      <c r="E14" s="2070">
        <f>'Att 9b - 2015 True-up'!E14</f>
        <v>7490.848</v>
      </c>
      <c r="F14" s="1981">
        <f>'Att 9b - 2015 True-up'!F14</f>
        <v>4.0579999999999998</v>
      </c>
      <c r="G14" s="1982">
        <f>'Att 9b - 2015 True-up'!G14</f>
        <v>3.2</v>
      </c>
      <c r="H14" s="1982">
        <f>'Att 9b - 2015 True-up'!H14</f>
        <v>12.801</v>
      </c>
      <c r="I14" s="1982">
        <f>'Att 9b - 2015 True-up'!I14</f>
        <v>0.27700000000000002</v>
      </c>
      <c r="J14" s="1982">
        <f>'Att 9b - 2015 True-up'!J14</f>
        <v>0.42399999999999999</v>
      </c>
      <c r="K14" s="1982">
        <f>'Att 9b - 2015 True-up'!K14</f>
        <v>16.385999999999999</v>
      </c>
      <c r="L14" s="1982">
        <f>'Att 9b - 2015 True-up'!L14</f>
        <v>18.623000000000001</v>
      </c>
      <c r="M14" s="1982">
        <f>'Att 9b - 2015 True-up'!M14</f>
        <v>0.247</v>
      </c>
      <c r="N14" s="1982">
        <f>'Att 9b - 2015 True-up'!N14</f>
        <v>33.729999999999997</v>
      </c>
      <c r="O14" s="1982">
        <f>'Att 9b - 2015 True-up'!O14</f>
        <v>0.34200000000000003</v>
      </c>
      <c r="P14" s="1982">
        <f>'Att 9b - 2015 True-up'!P14</f>
        <v>0.71499999999999997</v>
      </c>
      <c r="Q14" s="1982">
        <f>'Att 9b - 2015 True-up'!Q14</f>
        <v>7.694</v>
      </c>
      <c r="R14" s="1982">
        <f>'Att 9b - 2015 True-up'!R14</f>
        <v>2.1640000000000001</v>
      </c>
      <c r="S14" s="1983">
        <f t="shared" si="0"/>
        <v>100.66100000000002</v>
      </c>
      <c r="T14" s="1951"/>
      <c r="AA14" s="1985"/>
    </row>
    <row r="15" spans="1:30">
      <c r="B15" s="1953" t="s">
        <v>151</v>
      </c>
      <c r="C15" s="2059">
        <f>'Att 9b - 2015 True-up'!C15</f>
        <v>29</v>
      </c>
      <c r="D15" s="2060">
        <f>'Att 9b - 2015 True-up'!D15</f>
        <v>16</v>
      </c>
      <c r="E15" s="2070">
        <f>'Att 9b - 2015 True-up'!E15</f>
        <v>10618.344999999999</v>
      </c>
      <c r="F15" s="1981">
        <f>'Att 9b - 2015 True-up'!F15</f>
        <v>5.3979999999999997</v>
      </c>
      <c r="G15" s="1982">
        <f>'Att 9b - 2015 True-up'!G15</f>
        <v>3.4239999999999999</v>
      </c>
      <c r="H15" s="1982">
        <f>'Att 9b - 2015 True-up'!H15</f>
        <v>13.75</v>
      </c>
      <c r="I15" s="1982">
        <f>'Att 9b - 2015 True-up'!I15</f>
        <v>0.36699999999999999</v>
      </c>
      <c r="J15" s="1982">
        <f>'Att 9b - 2015 True-up'!J15</f>
        <v>0.28599999999999998</v>
      </c>
      <c r="K15" s="1982">
        <f>'Att 9b - 2015 True-up'!K15</f>
        <v>39.664999999999999</v>
      </c>
      <c r="L15" s="1982">
        <f>'Att 9b - 2015 True-up'!L15</f>
        <v>21.957999999999998</v>
      </c>
      <c r="M15" s="1982">
        <f>'Att 9b - 2015 True-up'!M15</f>
        <v>0.23200000000000001</v>
      </c>
      <c r="N15" s="1982">
        <f>'Att 9b - 2015 True-up'!N15</f>
        <v>57.49</v>
      </c>
      <c r="O15" s="1982">
        <f>'Att 9b - 2015 True-up'!O15</f>
        <v>0.17799999999999999</v>
      </c>
      <c r="P15" s="1982">
        <f>'Att 9b - 2015 True-up'!P15</f>
        <v>3.4740000000000002</v>
      </c>
      <c r="Q15" s="1982">
        <f>'Att 9b - 2015 True-up'!Q15</f>
        <v>8.5909999999999993</v>
      </c>
      <c r="R15" s="1982">
        <f>'Att 9b - 2015 True-up'!R15</f>
        <v>4.0019999999999998</v>
      </c>
      <c r="S15" s="1983">
        <f t="shared" si="0"/>
        <v>158.815</v>
      </c>
      <c r="T15" s="1951"/>
      <c r="AA15" s="1985"/>
    </row>
    <row r="16" spans="1:30">
      <c r="B16" s="1953" t="s">
        <v>744</v>
      </c>
      <c r="C16" s="2059">
        <f>'Att 9b - 2015 True-up'!C16</f>
        <v>2</v>
      </c>
      <c r="D16" s="2060">
        <f>'Att 9b - 2015 True-up'!D16</f>
        <v>16</v>
      </c>
      <c r="E16" s="1980">
        <f>'Att 9b - 2015 True-up'!E16</f>
        <v>10480.882</v>
      </c>
      <c r="F16" s="1981">
        <f>'Att 9b - 2015 True-up'!F16</f>
        <v>5.0709999999999997</v>
      </c>
      <c r="G16" s="1982">
        <f>'Att 9b - 2015 True-up'!G16</f>
        <v>3.7280000000000002</v>
      </c>
      <c r="H16" s="1982">
        <f>'Att 9b - 2015 True-up'!H16</f>
        <v>15.643000000000001</v>
      </c>
      <c r="I16" s="1982">
        <f>'Att 9b - 2015 True-up'!I16</f>
        <v>0.38</v>
      </c>
      <c r="J16" s="1982">
        <f>'Att 9b - 2015 True-up'!J16</f>
        <v>2.5999999999999999E-2</v>
      </c>
      <c r="K16" s="1982">
        <f>'Att 9b - 2015 True-up'!K16</f>
        <v>32.115000000000002</v>
      </c>
      <c r="L16" s="1982">
        <f>'Att 9b - 2015 True-up'!L16</f>
        <v>22.428000000000001</v>
      </c>
      <c r="M16" s="1982">
        <f>'Att 9b - 2015 True-up'!M16</f>
        <v>0.20799999999999999</v>
      </c>
      <c r="N16" s="1982">
        <f>'Att 9b - 2015 True-up'!N16</f>
        <v>48.63</v>
      </c>
      <c r="O16" s="1982">
        <f>'Att 9b - 2015 True-up'!O16</f>
        <v>0.61299999999999999</v>
      </c>
      <c r="P16" s="1982">
        <f>'Att 9b - 2015 True-up'!P16</f>
        <v>3.2810000000000001</v>
      </c>
      <c r="Q16" s="1982">
        <f>'Att 9b - 2015 True-up'!Q16</f>
        <v>8.5570000000000004</v>
      </c>
      <c r="R16" s="1982">
        <f>'Att 9b - 2015 True-up'!R16</f>
        <v>3.03</v>
      </c>
      <c r="S16" s="1983">
        <f t="shared" si="0"/>
        <v>143.71</v>
      </c>
      <c r="T16" s="1951"/>
      <c r="AA16" s="1985"/>
    </row>
    <row r="17" spans="1:30">
      <c r="B17" s="1953" t="s">
        <v>153</v>
      </c>
      <c r="C17" s="2059">
        <f>'Att 9b - 2015 True-up'!C17</f>
        <v>13</v>
      </c>
      <c r="D17" s="2060">
        <f>'Att 9b - 2015 True-up'!D17</f>
        <v>16</v>
      </c>
      <c r="E17" s="1980">
        <f>'Att 9b - 2015 True-up'!E17</f>
        <v>9603.4359999999997</v>
      </c>
      <c r="F17" s="1981">
        <f>'Att 9b - 2015 True-up'!F17</f>
        <v>6.6630000000000003</v>
      </c>
      <c r="G17" s="1982">
        <f>'Att 9b - 2015 True-up'!G17</f>
        <v>3.1110000000000002</v>
      </c>
      <c r="H17" s="1982">
        <f>'Att 9b - 2015 True-up'!H17</f>
        <v>12.595000000000001</v>
      </c>
      <c r="I17" s="1982">
        <f>'Att 9b - 2015 True-up'!I17</f>
        <v>0.34300000000000003</v>
      </c>
      <c r="J17" s="1982">
        <f>'Att 9b - 2015 True-up'!J17</f>
        <v>0.251</v>
      </c>
      <c r="K17" s="1982">
        <f>'Att 9b - 2015 True-up'!K17</f>
        <v>29.085000000000001</v>
      </c>
      <c r="L17" s="1982">
        <f>'Att 9b - 2015 True-up'!L17</f>
        <v>20.791</v>
      </c>
      <c r="M17" s="1982">
        <f>'Att 9b - 2015 True-up'!M17</f>
        <v>0.23899999999999999</v>
      </c>
      <c r="N17" s="1982">
        <f>'Att 9b - 2015 True-up'!N17</f>
        <v>57.19</v>
      </c>
      <c r="O17" s="1982">
        <f>'Att 9b - 2015 True-up'!O17</f>
        <v>0.621</v>
      </c>
      <c r="P17" s="1982">
        <f>'Att 9b - 2015 True-up'!P17</f>
        <v>3.024</v>
      </c>
      <c r="Q17" s="1982">
        <f>'Att 9b - 2015 True-up'!Q17</f>
        <v>9.2119999999999997</v>
      </c>
      <c r="R17" s="1982">
        <f>'Att 9b - 2015 True-up'!R17</f>
        <v>2.907</v>
      </c>
      <c r="S17" s="1983">
        <f t="shared" si="0"/>
        <v>146.03200000000001</v>
      </c>
      <c r="T17" s="1951"/>
      <c r="AA17" s="1985"/>
    </row>
    <row r="18" spans="1:30">
      <c r="B18" s="1953" t="s">
        <v>743</v>
      </c>
      <c r="C18" s="2059">
        <f>'Att 9b - 2015 True-up'!C18</f>
        <v>1</v>
      </c>
      <c r="D18" s="2060">
        <f>'Att 9b - 2015 True-up'!D18</f>
        <v>16</v>
      </c>
      <c r="E18" s="1980">
        <f>'Att 9b - 2015 True-up'!E18</f>
        <v>8712.0159999999996</v>
      </c>
      <c r="F18" s="1981">
        <f>'Att 9b - 2015 True-up'!F18</f>
        <v>6.4249999999999998</v>
      </c>
      <c r="G18" s="1982">
        <f>'Att 9b - 2015 True-up'!G18</f>
        <v>2.847</v>
      </c>
      <c r="H18" s="1982">
        <f>'Att 9b - 2015 True-up'!H18</f>
        <v>10.065</v>
      </c>
      <c r="I18" s="1982">
        <f>'Att 9b - 2015 True-up'!I18</f>
        <v>0.31900000000000001</v>
      </c>
      <c r="J18" s="1982">
        <f>'Att 9b - 2015 True-up'!J18</f>
        <v>0</v>
      </c>
      <c r="K18" s="1982">
        <f>'Att 9b - 2015 True-up'!K18</f>
        <v>24.678000000000001</v>
      </c>
      <c r="L18" s="1982">
        <f>'Att 9b - 2015 True-up'!L18</f>
        <v>20.329999999999998</v>
      </c>
      <c r="M18" s="1982">
        <f>'Att 9b - 2015 True-up'!M18</f>
        <v>0.20399999999999999</v>
      </c>
      <c r="N18" s="1982">
        <f>'Att 9b - 2015 True-up'!N18</f>
        <v>50.72</v>
      </c>
      <c r="O18" s="1982">
        <f>'Att 9b - 2015 True-up'!O18</f>
        <v>0.50800000000000001</v>
      </c>
      <c r="P18" s="1982">
        <f>'Att 9b - 2015 True-up'!P18</f>
        <v>2.7189999999999999</v>
      </c>
      <c r="Q18" s="1982">
        <f>'Att 9b - 2015 True-up'!Q18</f>
        <v>9.3849999999999998</v>
      </c>
      <c r="R18" s="1982">
        <f>'Att 9b - 2015 True-up'!R18</f>
        <v>2.65</v>
      </c>
      <c r="S18" s="1983">
        <f t="shared" si="0"/>
        <v>130.85</v>
      </c>
      <c r="T18" s="1951"/>
      <c r="AA18" s="1985"/>
    </row>
    <row r="19" spans="1:30">
      <c r="B19" s="1953" t="s">
        <v>155</v>
      </c>
      <c r="C19" s="2059">
        <f>'Att 9b - 2015 True-up'!C19</f>
        <v>1</v>
      </c>
      <c r="D19" s="2060">
        <f>'Att 9b - 2015 True-up'!D19</f>
        <v>17</v>
      </c>
      <c r="E19" s="1980">
        <f>'Att 9b - 2015 True-up'!E19</f>
        <v>7823.7619999999997</v>
      </c>
      <c r="F19" s="1981">
        <f>'Att 9b - 2015 True-up'!F19</f>
        <v>4.8949999999999996</v>
      </c>
      <c r="G19" s="1982">
        <f>'Att 9b - 2015 True-up'!G19</f>
        <v>2.7869999999999999</v>
      </c>
      <c r="H19" s="1982">
        <f>'Att 9b - 2015 True-up'!H19</f>
        <v>10.167</v>
      </c>
      <c r="I19" s="1982">
        <f>'Att 9b - 2015 True-up'!I19</f>
        <v>0.27700000000000002</v>
      </c>
      <c r="J19" s="1982">
        <f>'Att 9b - 2015 True-up'!J19</f>
        <v>0.42399999999999999</v>
      </c>
      <c r="K19" s="1982">
        <f>'Att 9b - 2015 True-up'!K19</f>
        <v>16.858000000000001</v>
      </c>
      <c r="L19" s="1982">
        <f>'Att 9b - 2015 True-up'!L19</f>
        <v>19.352</v>
      </c>
      <c r="M19" s="1982">
        <f>'Att 9b - 2015 True-up'!M19</f>
        <v>0.66800000000000004</v>
      </c>
      <c r="N19" s="1982">
        <f>'Att 9b - 2015 True-up'!N19</f>
        <v>32.1</v>
      </c>
      <c r="O19" s="1982">
        <f>'Att 9b - 2015 True-up'!O19</f>
        <v>0.26500000000000001</v>
      </c>
      <c r="P19" s="1982">
        <f>'Att 9b - 2015 True-up'!P19</f>
        <v>1.9830000000000001</v>
      </c>
      <c r="Q19" s="1982">
        <f>'Att 9b - 2015 True-up'!Q19</f>
        <v>10.426</v>
      </c>
      <c r="R19" s="1982">
        <f>'Att 9b - 2015 True-up'!R19</f>
        <v>2.496</v>
      </c>
      <c r="S19" s="1983">
        <f t="shared" si="0"/>
        <v>102.69800000000001</v>
      </c>
      <c r="T19" s="1951"/>
      <c r="AA19" s="1985"/>
    </row>
    <row r="20" spans="1:30">
      <c r="B20" s="1953" t="s">
        <v>156</v>
      </c>
      <c r="C20" s="2059">
        <f>'Att 9b - 2015 True-up'!C20</f>
        <v>30</v>
      </c>
      <c r="D20" s="2060">
        <f>'Att 9b - 2015 True-up'!D20</f>
        <v>18</v>
      </c>
      <c r="E20" s="1980">
        <f>'Att 9b - 2015 True-up'!E20</f>
        <v>8549.6419999999998</v>
      </c>
      <c r="F20" s="1981">
        <f>'Att 9b - 2015 True-up'!F20</f>
        <v>5.49</v>
      </c>
      <c r="G20" s="1982">
        <f>'Att 9b - 2015 True-up'!G20</f>
        <v>2.9830000000000001</v>
      </c>
      <c r="H20" s="1982">
        <f>'Att 9b - 2015 True-up'!H20</f>
        <v>26.513000000000002</v>
      </c>
      <c r="I20" s="1982">
        <f>'Att 9b - 2015 True-up'!I20</f>
        <v>1.0489999999999999</v>
      </c>
      <c r="J20" s="1982">
        <f>'Att 9b - 2015 True-up'!J20</f>
        <v>0.35499999999999998</v>
      </c>
      <c r="K20" s="1982">
        <f>'Att 9b - 2015 True-up'!K20</f>
        <v>26.914000000000001</v>
      </c>
      <c r="L20" s="1982">
        <f>'Att 9b - 2015 True-up'!L20</f>
        <v>17.739000000000001</v>
      </c>
      <c r="M20" s="2274">
        <f>'Att 9b - 2015 True-up'!M20</f>
        <v>0.28199999999999997</v>
      </c>
      <c r="N20" s="1982">
        <f>'Att 9b - 2015 True-up'!N20</f>
        <v>46.65</v>
      </c>
      <c r="O20" s="1982">
        <f>'Att 9b - 2015 True-up'!O20</f>
        <v>5.0000000000000001E-3</v>
      </c>
      <c r="P20" s="1982">
        <f>'Att 9b - 2015 True-up'!P20</f>
        <v>4.0000000000000001E-3</v>
      </c>
      <c r="Q20" s="1982">
        <f>'Att 9b - 2015 True-up'!Q20</f>
        <v>11.603999999999999</v>
      </c>
      <c r="R20" s="1982">
        <f>'Att 9b - 2015 True-up'!R20</f>
        <v>2.2989999999999999</v>
      </c>
      <c r="S20" s="1983">
        <f t="shared" si="0"/>
        <v>141.887</v>
      </c>
      <c r="T20" s="1951"/>
      <c r="AA20" s="1985"/>
    </row>
    <row r="21" spans="1:30" ht="16.5" thickBot="1">
      <c r="B21" s="1972" t="s">
        <v>157</v>
      </c>
      <c r="C21" s="2071">
        <f>'Att 9b - 2015 True-up'!C21</f>
        <v>28</v>
      </c>
      <c r="D21" s="2072">
        <f>'Att 9b - 2015 True-up'!D21</f>
        <v>18</v>
      </c>
      <c r="E21" s="1987">
        <f>'Att 9b - 2015 True-up'!E21</f>
        <v>8289.6980000000003</v>
      </c>
      <c r="F21" s="1988">
        <f>'Att 9b - 2015 True-up'!F21</f>
        <v>5.4260000000000002</v>
      </c>
      <c r="G21" s="1989">
        <f>'Att 9b - 2015 True-up'!G21</f>
        <v>3.274</v>
      </c>
      <c r="H21" s="1989">
        <f>'Att 9b - 2015 True-up'!H21</f>
        <v>25.344000000000001</v>
      </c>
      <c r="I21" s="1989">
        <f>'Att 9b - 2015 True-up'!I21</f>
        <v>1.486</v>
      </c>
      <c r="J21" s="1989">
        <f>'Att 9b - 2015 True-up'!J21</f>
        <v>0.33800000000000002</v>
      </c>
      <c r="K21" s="1989">
        <f>'Att 9b - 2015 True-up'!K21</f>
        <v>29.545000000000002</v>
      </c>
      <c r="L21" s="1989">
        <f>'Att 9b - 2015 True-up'!L21</f>
        <v>15.5</v>
      </c>
      <c r="M21" s="1989">
        <f>'Att 9b - 2015 True-up'!M21</f>
        <v>0.25700000000000001</v>
      </c>
      <c r="N21" s="1989">
        <f>'Att 9b - 2015 True-up'!N21</f>
        <v>44.74</v>
      </c>
      <c r="O21" s="1989">
        <f>'Att 9b - 2015 True-up'!O21</f>
        <v>4.0000000000000001E-3</v>
      </c>
      <c r="P21" s="1989">
        <f>'Att 9b - 2015 True-up'!P21</f>
        <v>5.0000000000000001E-3</v>
      </c>
      <c r="Q21" s="1989">
        <f>'Att 9b - 2015 True-up'!Q21</f>
        <v>11.779</v>
      </c>
      <c r="R21" s="1989">
        <f>'Att 9b - 2015 True-up'!R21</f>
        <v>2.4009999999999998</v>
      </c>
      <c r="S21" s="1978">
        <f t="shared" si="0"/>
        <v>140.09900000000002</v>
      </c>
      <c r="T21" s="1951"/>
      <c r="AA21" s="1985"/>
    </row>
    <row r="22" spans="1:30" ht="16.5" thickBot="1">
      <c r="A22" s="1951"/>
      <c r="B22" s="1992" t="s">
        <v>282</v>
      </c>
      <c r="C22" s="1993"/>
      <c r="D22" s="1994"/>
      <c r="E22" s="2037">
        <f t="shared" ref="E22:R22" si="1">SUM(E10:E21)</f>
        <v>103169.717</v>
      </c>
      <c r="F22" s="1996">
        <f t="shared" si="1"/>
        <v>64.962999999999994</v>
      </c>
      <c r="G22" s="1995">
        <f t="shared" si="1"/>
        <v>38.088999999999999</v>
      </c>
      <c r="H22" s="1995">
        <f t="shared" si="1"/>
        <v>230.327</v>
      </c>
      <c r="I22" s="1995">
        <f t="shared" si="1"/>
        <v>8.9930000000000003</v>
      </c>
      <c r="J22" s="1995">
        <f t="shared" si="1"/>
        <v>3.1419999999999999</v>
      </c>
      <c r="K22" s="1995">
        <f t="shared" si="1"/>
        <v>338.82400000000001</v>
      </c>
      <c r="L22" s="1995">
        <f t="shared" si="1"/>
        <v>220.21100000000001</v>
      </c>
      <c r="M22" s="1995">
        <f t="shared" si="1"/>
        <v>4.3</v>
      </c>
      <c r="N22" s="1995">
        <f t="shared" si="1"/>
        <v>546.95000000000005</v>
      </c>
      <c r="O22" s="1995">
        <f t="shared" si="1"/>
        <v>2.722</v>
      </c>
      <c r="P22" s="1995">
        <f t="shared" si="1"/>
        <v>16.875999999999998</v>
      </c>
      <c r="Q22" s="1995">
        <f t="shared" si="1"/>
        <v>108.16200000000001</v>
      </c>
      <c r="R22" s="1995">
        <f t="shared" si="1"/>
        <v>31.183999999999997</v>
      </c>
      <c r="S22" s="1978">
        <f>SUM(F22:R22)</f>
        <v>1614.7429999999999</v>
      </c>
      <c r="T22" s="1951"/>
      <c r="AA22" s="1985"/>
      <c r="AD22" s="1997"/>
    </row>
    <row r="23" spans="1:30">
      <c r="C23" s="1950"/>
      <c r="E23" s="1951"/>
      <c r="F23" s="1951"/>
      <c r="G23" s="1951"/>
      <c r="H23" s="1951"/>
      <c r="I23" s="1951"/>
      <c r="J23" s="1951"/>
      <c r="K23" s="1951"/>
      <c r="L23" s="1951"/>
      <c r="M23" s="1951"/>
      <c r="N23" s="1951"/>
      <c r="O23" s="1951"/>
      <c r="P23" s="1951"/>
      <c r="Q23" s="1951"/>
      <c r="R23" s="1951"/>
      <c r="S23" s="1951"/>
      <c r="T23" s="1951"/>
      <c r="U23" s="1951"/>
      <c r="V23" s="1951"/>
      <c r="W23" s="1951"/>
      <c r="X23" s="1951"/>
      <c r="Y23" s="1951"/>
      <c r="AA23" s="1951"/>
      <c r="AB23" s="1951"/>
      <c r="AC23" s="1997"/>
    </row>
    <row r="24" spans="1:30">
      <c r="C24" s="1950"/>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0" ht="16.5" thickBot="1">
      <c r="C25" s="1950"/>
      <c r="E25" s="1951"/>
      <c r="F25" s="1951"/>
      <c r="G25" s="1951"/>
      <c r="H25" s="1951"/>
      <c r="I25" s="1951"/>
      <c r="J25" s="1951"/>
      <c r="K25" s="1951"/>
      <c r="L25" s="1951"/>
      <c r="M25" s="1951"/>
      <c r="N25" s="1951"/>
      <c r="O25" s="1951"/>
      <c r="P25" s="1951"/>
      <c r="Q25" s="1951"/>
      <c r="R25" s="1951"/>
      <c r="S25" s="1951"/>
      <c r="T25" s="1951"/>
      <c r="U25" s="1951"/>
      <c r="V25" s="1951"/>
      <c r="W25" s="1951"/>
      <c r="X25" s="1951"/>
      <c r="Y25" s="1951"/>
      <c r="AA25" s="1951"/>
      <c r="AB25" s="1951"/>
      <c r="AC25" s="1997"/>
    </row>
    <row r="26" spans="1:30" ht="16.5" thickBot="1">
      <c r="B26" s="1949"/>
      <c r="C26" s="2005"/>
      <c r="D26" s="2049"/>
      <c r="E26" s="2590" t="s">
        <v>822</v>
      </c>
      <c r="F26" s="2591"/>
      <c r="G26" s="2591"/>
      <c r="H26" s="2591"/>
      <c r="I26" s="2591"/>
      <c r="J26" s="2592"/>
    </row>
    <row r="27" spans="1:30" ht="16.5" thickBot="1">
      <c r="B27" s="1972" t="s">
        <v>328</v>
      </c>
      <c r="C27" s="1946"/>
      <c r="D27" s="1973"/>
      <c r="E27" s="1958" t="s">
        <v>809</v>
      </c>
      <c r="F27" s="1959" t="s">
        <v>808</v>
      </c>
      <c r="G27" s="1959" t="s">
        <v>807</v>
      </c>
      <c r="H27" s="1959" t="s">
        <v>806</v>
      </c>
      <c r="I27" s="1960" t="s">
        <v>1010</v>
      </c>
      <c r="J27" s="1957" t="s">
        <v>805</v>
      </c>
    </row>
    <row r="28" spans="1:30" ht="16.5" customHeight="1">
      <c r="B28" s="1961" t="s">
        <v>760</v>
      </c>
      <c r="C28" s="1961"/>
      <c r="D28" s="2052"/>
      <c r="E28" s="1963" t="str">
        <f>'Att 9b - 2015 True-up'!U7</f>
        <v>UAMPS</v>
      </c>
      <c r="F28" s="1964" t="str">
        <f>'Att 9b - 2015 True-up'!V7</f>
        <v>UMPA</v>
      </c>
      <c r="G28" s="1964" t="str">
        <f>'Att 9b - 2015 True-up'!W7</f>
        <v>Deseret</v>
      </c>
      <c r="H28" s="1964" t="s">
        <v>796</v>
      </c>
      <c r="I28" s="1964" t="str">
        <f>'Att 9b - 2015 True-up'!Y7</f>
        <v>APS</v>
      </c>
      <c r="J28" s="1967"/>
    </row>
    <row r="29" spans="1:30">
      <c r="B29" s="1968" t="s">
        <v>468</v>
      </c>
      <c r="C29" s="1968"/>
      <c r="D29" s="2054"/>
      <c r="E29" s="1970" t="str">
        <f>'Att 9b - 2015 True-up'!U8</f>
        <v>OS</v>
      </c>
      <c r="F29" s="1966" t="str">
        <f>'Att 9b - 2015 True-up'!V8</f>
        <v>OS</v>
      </c>
      <c r="G29" s="1966" t="str">
        <f>'Att 9b - 2015 True-up'!W8</f>
        <v>OS</v>
      </c>
      <c r="H29" s="1966" t="str">
        <f>'Att 9b - 2015 True-up'!X8</f>
        <v>OS</v>
      </c>
      <c r="I29" s="1966" t="str">
        <f>'Att 9b - 2015 True-up'!Y8</f>
        <v>OS</v>
      </c>
      <c r="J29" s="1967" t="s">
        <v>788</v>
      </c>
    </row>
    <row r="30" spans="1:30" ht="32.25" thickBot="1">
      <c r="B30" s="1972" t="s">
        <v>752</v>
      </c>
      <c r="C30" s="2057" t="s">
        <v>825</v>
      </c>
      <c r="D30" s="2057" t="s">
        <v>824</v>
      </c>
      <c r="E30" s="1975" t="str">
        <f>'Att 9b - 2015 True-up'!U9</f>
        <v>RS 297</v>
      </c>
      <c r="F30" s="1976" t="str">
        <f>'Att 9b - 2015 True-up'!V9</f>
        <v>RS 637</v>
      </c>
      <c r="G30" s="1976" t="str">
        <f>'Att 9b - 2015 True-up'!W9</f>
        <v>RS 280</v>
      </c>
      <c r="H30" s="1976" t="str">
        <f>'Att 9b - 2015 True-up'!X9</f>
        <v>RS 262/RS 263</v>
      </c>
      <c r="I30" s="1976" t="str">
        <f>'Att 9b - 2015 True-up'!Y9</f>
        <v>RS 436</v>
      </c>
      <c r="J30" s="1978"/>
    </row>
    <row r="31" spans="1:30" ht="16.5" customHeight="1">
      <c r="B31" s="1953" t="s">
        <v>147</v>
      </c>
      <c r="C31" s="2068">
        <f>C10</f>
        <v>2</v>
      </c>
      <c r="D31" s="2069">
        <f t="shared" ref="D31:D42" si="2">D10</f>
        <v>18</v>
      </c>
      <c r="E31" s="1984">
        <f>'Att 9b - 2015 True-up'!U10</f>
        <v>377.42599999999999</v>
      </c>
      <c r="F31" s="1980">
        <f>'Att 9b - 2015 True-up'!V10</f>
        <v>92.850999999999999</v>
      </c>
      <c r="G31" s="1980">
        <f>'Att 9b - 2015 True-up'!W10</f>
        <v>79.233999999999995</v>
      </c>
      <c r="H31" s="1980">
        <f>'Att 9b - 2015 True-up'!X10</f>
        <v>338</v>
      </c>
      <c r="I31" s="1980">
        <f>'Att 9b - 2015 True-up'!Y10</f>
        <v>0</v>
      </c>
      <c r="J31" s="1983">
        <f t="shared" ref="J31:J42" si="3">SUM(E31:I31)</f>
        <v>887.51099999999997</v>
      </c>
      <c r="R31" s="2039"/>
      <c r="T31" s="2040"/>
    </row>
    <row r="32" spans="1:30">
      <c r="B32" s="1953" t="s">
        <v>148</v>
      </c>
      <c r="C32" s="2068">
        <f t="shared" ref="C32" si="4">C11</f>
        <v>23</v>
      </c>
      <c r="D32" s="2069">
        <f t="shared" si="2"/>
        <v>8</v>
      </c>
      <c r="E32" s="1984">
        <f>'Att 9b - 2015 True-up'!U11</f>
        <v>325.55700000000002</v>
      </c>
      <c r="F32" s="1980">
        <f>'Att 9b - 2015 True-up'!V11</f>
        <v>73.662999999999997</v>
      </c>
      <c r="G32" s="1980">
        <f>'Att 9b - 2015 True-up'!W11</f>
        <v>76.718000000000004</v>
      </c>
      <c r="H32" s="1980">
        <f>'Att 9b - 2015 True-up'!X11</f>
        <v>252</v>
      </c>
      <c r="I32" s="1980">
        <f>'Att 9b - 2015 True-up'!Y11</f>
        <v>0</v>
      </c>
      <c r="J32" s="1983">
        <f t="shared" si="3"/>
        <v>727.9380000000001</v>
      </c>
      <c r="R32" s="2039"/>
    </row>
    <row r="33" spans="2:18">
      <c r="B33" s="1953" t="s">
        <v>352</v>
      </c>
      <c r="C33" s="2068">
        <f t="shared" ref="C33" si="5">C12</f>
        <v>4</v>
      </c>
      <c r="D33" s="2069">
        <f t="shared" si="2"/>
        <v>8</v>
      </c>
      <c r="E33" s="1984">
        <f>'Att 9b - 2015 True-up'!U12</f>
        <v>358.38499999999999</v>
      </c>
      <c r="F33" s="1980">
        <f>'Att 9b - 2015 True-up'!V12</f>
        <v>64.653000000000006</v>
      </c>
      <c r="G33" s="1980">
        <f>'Att 9b - 2015 True-up'!W12</f>
        <v>67.653000000000006</v>
      </c>
      <c r="H33" s="1980">
        <f>'Att 9b - 2015 True-up'!X12</f>
        <v>267</v>
      </c>
      <c r="I33" s="1980">
        <f>'Att 9b - 2015 True-up'!Y12</f>
        <v>0</v>
      </c>
      <c r="J33" s="1983">
        <f t="shared" si="3"/>
        <v>757.69100000000003</v>
      </c>
    </row>
    <row r="34" spans="2:18">
      <c r="B34" s="1953" t="s">
        <v>143</v>
      </c>
      <c r="C34" s="2068">
        <f t="shared" ref="C34" si="6">C13</f>
        <v>15</v>
      </c>
      <c r="D34" s="2069">
        <f t="shared" si="2"/>
        <v>8</v>
      </c>
      <c r="E34" s="1984">
        <f>'Att 9b - 2015 True-up'!U13</f>
        <v>365.40800000000002</v>
      </c>
      <c r="F34" s="1980">
        <f>'Att 9b - 2015 True-up'!V13</f>
        <v>39.247999999999998</v>
      </c>
      <c r="G34" s="1980">
        <f>'Att 9b - 2015 True-up'!W13</f>
        <v>89.186999999999998</v>
      </c>
      <c r="H34" s="1980">
        <f>'Att 9b - 2015 True-up'!X13</f>
        <v>209</v>
      </c>
      <c r="I34" s="1980">
        <f>'Att 9b - 2015 True-up'!Y13</f>
        <v>0</v>
      </c>
      <c r="J34" s="1983">
        <f t="shared" si="3"/>
        <v>702.84300000000007</v>
      </c>
      <c r="R34" s="1997"/>
    </row>
    <row r="35" spans="2:18">
      <c r="B35" s="1953" t="s">
        <v>144</v>
      </c>
      <c r="C35" s="2068">
        <f t="shared" ref="C35" si="7">C14</f>
        <v>31</v>
      </c>
      <c r="D35" s="2069">
        <f t="shared" si="2"/>
        <v>18</v>
      </c>
      <c r="E35" s="1984">
        <f>'Att 9b - 2015 True-up'!U14</f>
        <v>394.19199999999995</v>
      </c>
      <c r="F35" s="1980">
        <f>'Att 9b - 2015 True-up'!V14</f>
        <v>77.587999999999994</v>
      </c>
      <c r="G35" s="1980">
        <f>'Att 9b - 2015 True-up'!W14</f>
        <v>98.71</v>
      </c>
      <c r="H35" s="1980">
        <f>'Att 9b - 2015 True-up'!X14</f>
        <v>282</v>
      </c>
      <c r="I35" s="1980">
        <f>'Att 9b - 2015 True-up'!Y14</f>
        <v>0</v>
      </c>
      <c r="J35" s="1983">
        <f t="shared" si="3"/>
        <v>852.49</v>
      </c>
      <c r="R35" s="2040"/>
    </row>
    <row r="36" spans="2:18">
      <c r="B36" s="1953" t="s">
        <v>151</v>
      </c>
      <c r="C36" s="2068">
        <f t="shared" ref="C36" si="8">C15</f>
        <v>29</v>
      </c>
      <c r="D36" s="2069">
        <f t="shared" si="2"/>
        <v>16</v>
      </c>
      <c r="E36" s="1984">
        <f>'Att 9b - 2015 True-up'!U15</f>
        <v>786.76800000000003</v>
      </c>
      <c r="F36" s="1980">
        <f>'Att 9b - 2015 True-up'!V15</f>
        <v>171.80799999999999</v>
      </c>
      <c r="G36" s="1980">
        <f>'Att 9b - 2015 True-up'!W15</f>
        <v>170.30199999999999</v>
      </c>
      <c r="H36" s="1980">
        <f>'Att 9b - 2015 True-up'!X15</f>
        <v>321</v>
      </c>
      <c r="I36" s="1980">
        <f>'Att 9b - 2015 True-up'!Y15</f>
        <v>0</v>
      </c>
      <c r="J36" s="1983">
        <f t="shared" si="3"/>
        <v>1449.8779999999999</v>
      </c>
    </row>
    <row r="37" spans="2:18">
      <c r="B37" s="1953" t="s">
        <v>744</v>
      </c>
      <c r="C37" s="2068">
        <f t="shared" ref="C37" si="9">C16</f>
        <v>2</v>
      </c>
      <c r="D37" s="2069">
        <f t="shared" si="2"/>
        <v>16</v>
      </c>
      <c r="E37" s="1984">
        <f>'Att 9b - 2015 True-up'!U16</f>
        <v>768.21800000000007</v>
      </c>
      <c r="F37" s="1980">
        <f>'Att 9b - 2015 True-up'!V16</f>
        <v>176.172</v>
      </c>
      <c r="G37" s="1980">
        <f>'Att 9b - 2015 True-up'!W16</f>
        <v>145.518</v>
      </c>
      <c r="H37" s="1980">
        <f>'Att 9b - 2015 True-up'!X16</f>
        <v>283</v>
      </c>
      <c r="I37" s="1980">
        <f>'Att 9b - 2015 True-up'!Y16</f>
        <v>0</v>
      </c>
      <c r="J37" s="1983">
        <f t="shared" si="3"/>
        <v>1372.9080000000001</v>
      </c>
    </row>
    <row r="38" spans="2:18">
      <c r="B38" s="1953" t="s">
        <v>153</v>
      </c>
      <c r="C38" s="2068">
        <f t="shared" ref="C38" si="10">C17</f>
        <v>13</v>
      </c>
      <c r="D38" s="2069">
        <f t="shared" si="2"/>
        <v>16</v>
      </c>
      <c r="E38" s="1984">
        <f>'Att 9b - 2015 True-up'!U17</f>
        <v>696.63300000000004</v>
      </c>
      <c r="F38" s="1980">
        <f>'Att 9b - 2015 True-up'!V17</f>
        <v>143.78200000000001</v>
      </c>
      <c r="G38" s="1980">
        <f>'Att 9b - 2015 True-up'!W17</f>
        <v>138.87200000000001</v>
      </c>
      <c r="H38" s="1980">
        <f>'Att 9b - 2015 True-up'!X17</f>
        <v>344</v>
      </c>
      <c r="I38" s="1980">
        <f>'Att 9b - 2015 True-up'!Y17</f>
        <v>0</v>
      </c>
      <c r="J38" s="1983">
        <f t="shared" si="3"/>
        <v>1323.287</v>
      </c>
    </row>
    <row r="39" spans="2:18">
      <c r="B39" s="1953" t="s">
        <v>743</v>
      </c>
      <c r="C39" s="2068">
        <f t="shared" ref="C39" si="11">C18</f>
        <v>1</v>
      </c>
      <c r="D39" s="2069">
        <f t="shared" si="2"/>
        <v>16</v>
      </c>
      <c r="E39" s="1984">
        <f>'Att 9b - 2015 True-up'!U18</f>
        <v>677.42699999999991</v>
      </c>
      <c r="F39" s="1980">
        <f>'Att 9b - 2015 True-up'!V18</f>
        <v>127.816</v>
      </c>
      <c r="G39" s="1980">
        <f>'Att 9b - 2015 True-up'!W18</f>
        <v>133.792</v>
      </c>
      <c r="H39" s="1980">
        <f>'Att 9b - 2015 True-up'!X18</f>
        <v>311</v>
      </c>
      <c r="I39" s="1980">
        <f>'Att 9b - 2015 True-up'!Y18</f>
        <v>0</v>
      </c>
      <c r="J39" s="1983">
        <f t="shared" si="3"/>
        <v>1250.0349999999999</v>
      </c>
    </row>
    <row r="40" spans="2:18">
      <c r="B40" s="1953" t="s">
        <v>155</v>
      </c>
      <c r="C40" s="2068">
        <f t="shared" ref="C40" si="12">C19</f>
        <v>1</v>
      </c>
      <c r="D40" s="2069">
        <f t="shared" si="2"/>
        <v>17</v>
      </c>
      <c r="E40" s="1984">
        <f>'Att 9b - 2015 True-up'!U19</f>
        <v>536.90499999999997</v>
      </c>
      <c r="F40" s="1980">
        <f>'Att 9b - 2015 True-up'!V19</f>
        <v>118.527</v>
      </c>
      <c r="G40" s="1980">
        <f>'Att 9b - 2015 True-up'!W19</f>
        <v>101.43</v>
      </c>
      <c r="H40" s="1980">
        <f>'Att 9b - 2015 True-up'!X19</f>
        <v>308</v>
      </c>
      <c r="I40" s="1980">
        <f>'Att 9b - 2015 True-up'!Y19</f>
        <v>0</v>
      </c>
      <c r="J40" s="1983">
        <f t="shared" si="3"/>
        <v>1064.8620000000001</v>
      </c>
    </row>
    <row r="41" spans="2:18">
      <c r="B41" s="1953" t="s">
        <v>156</v>
      </c>
      <c r="C41" s="2068">
        <f t="shared" ref="C41" si="13">C20</f>
        <v>30</v>
      </c>
      <c r="D41" s="2069">
        <f t="shared" si="2"/>
        <v>18</v>
      </c>
      <c r="E41" s="1984">
        <f>'Att 9b - 2015 True-up'!U20</f>
        <v>417.387</v>
      </c>
      <c r="F41" s="1980">
        <f>'Att 9b - 2015 True-up'!V20</f>
        <v>78.304000000000002</v>
      </c>
      <c r="G41" s="1980">
        <f>'Att 9b - 2015 True-up'!W20</f>
        <v>71.97</v>
      </c>
      <c r="H41" s="1980">
        <f>'Att 9b - 2015 True-up'!X20</f>
        <v>254</v>
      </c>
      <c r="I41" s="1980">
        <f>'Att 9b - 2015 True-up'!Y20</f>
        <v>0</v>
      </c>
      <c r="J41" s="1983">
        <f t="shared" si="3"/>
        <v>821.66100000000006</v>
      </c>
    </row>
    <row r="42" spans="2:18" ht="16.5" thickBot="1">
      <c r="B42" s="1972" t="s">
        <v>157</v>
      </c>
      <c r="C42" s="2481">
        <f t="shared" ref="C42" si="14">C21</f>
        <v>28</v>
      </c>
      <c r="D42" s="2482">
        <f t="shared" si="2"/>
        <v>18</v>
      </c>
      <c r="E42" s="1990">
        <f>'Att 9b - 2015 True-up'!U21</f>
        <v>442.03399999999999</v>
      </c>
      <c r="F42" s="1987">
        <f>'Att 9b - 2015 True-up'!V21</f>
        <v>81.307000000000002</v>
      </c>
      <c r="G42" s="1987">
        <f>'Att 9b - 2015 True-up'!W21</f>
        <v>101.485</v>
      </c>
      <c r="H42" s="1987">
        <f>'Att 9b - 2015 True-up'!X21</f>
        <v>294</v>
      </c>
      <c r="I42" s="1991">
        <f>'Att 9b - 2015 True-up'!Y21</f>
        <v>0</v>
      </c>
      <c r="J42" s="1978">
        <f t="shared" si="3"/>
        <v>918.82600000000002</v>
      </c>
    </row>
    <row r="43" spans="2:18" ht="16.5" thickBot="1">
      <c r="B43" s="1992" t="s">
        <v>282</v>
      </c>
      <c r="C43" s="1993"/>
      <c r="D43" s="1994"/>
      <c r="E43" s="1996">
        <f t="shared" ref="E43:J43" si="15">SUM(E31:E42)</f>
        <v>6146.3399999999983</v>
      </c>
      <c r="F43" s="1995">
        <f t="shared" si="15"/>
        <v>1245.7190000000003</v>
      </c>
      <c r="G43" s="1995">
        <f t="shared" si="15"/>
        <v>1274.8709999999999</v>
      </c>
      <c r="H43" s="1995">
        <f t="shared" si="15"/>
        <v>3463</v>
      </c>
      <c r="I43" s="1995">
        <f t="shared" si="15"/>
        <v>0</v>
      </c>
      <c r="J43" s="1978">
        <f t="shared" si="15"/>
        <v>12129.93</v>
      </c>
    </row>
  </sheetData>
  <mergeCells count="4">
    <mergeCell ref="E5:S5"/>
    <mergeCell ref="E26:J26"/>
    <mergeCell ref="B1:S1"/>
    <mergeCell ref="B2:S2"/>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Y43"/>
  <sheetViews>
    <sheetView workbookViewId="0">
      <selection activeCell="O10" sqref="O10"/>
    </sheetView>
  </sheetViews>
  <sheetFormatPr defaultRowHeight="15"/>
  <cols>
    <col min="1" max="1" width="4.7109375" style="2061" customWidth="1"/>
    <col min="2" max="2" width="14.28515625" style="2061" customWidth="1"/>
    <col min="3" max="4" width="6" style="2061" customWidth="1"/>
    <col min="5" max="17" width="11.5703125" style="2045" customWidth="1"/>
    <col min="18" max="18" width="11.5703125" style="2066" customWidth="1"/>
    <col min="19" max="19" width="11.5703125" style="2045" customWidth="1"/>
    <col min="20" max="20" width="10.5703125" style="2045" bestFit="1" customWidth="1"/>
    <col min="21" max="21" width="9.5703125" style="2045" bestFit="1" customWidth="1"/>
    <col min="22" max="22" width="10.5703125" style="2045" bestFit="1" customWidth="1"/>
    <col min="23" max="23" width="11.5703125" style="2045" bestFit="1" customWidth="1"/>
    <col min="24" max="24" width="15.28515625" style="2045" bestFit="1" customWidth="1"/>
    <col min="25" max="25" width="12.5703125" style="2061" bestFit="1" customWidth="1"/>
    <col min="26" max="16384" width="9.140625" style="2061"/>
  </cols>
  <sheetData>
    <row r="1" spans="2:19" ht="16.5" customHeight="1">
      <c r="B1" s="2041" t="s">
        <v>365</v>
      </c>
      <c r="C1" s="2042"/>
      <c r="D1" s="2041"/>
      <c r="E1" s="2043"/>
      <c r="F1" s="2043"/>
      <c r="G1" s="2043"/>
      <c r="H1" s="2043"/>
      <c r="I1" s="2043"/>
      <c r="J1" s="2043"/>
      <c r="K1" s="2043"/>
      <c r="L1" s="2043"/>
      <c r="M1" s="2043"/>
      <c r="N1" s="2043"/>
      <c r="O1" s="2043"/>
      <c r="P1" s="2043"/>
      <c r="Q1" s="2043"/>
      <c r="R1" s="2044"/>
      <c r="S1" s="2043"/>
    </row>
    <row r="2" spans="2:19" ht="16.5" customHeight="1">
      <c r="B2" s="2041" t="s">
        <v>2375</v>
      </c>
      <c r="C2" s="2041"/>
      <c r="D2" s="2041"/>
      <c r="E2" s="2043"/>
      <c r="F2" s="2043"/>
      <c r="G2" s="2043"/>
      <c r="H2" s="2043"/>
      <c r="I2" s="2043"/>
      <c r="J2" s="2043"/>
      <c r="K2" s="2043"/>
      <c r="L2" s="2043"/>
      <c r="M2" s="2043"/>
      <c r="N2" s="2043"/>
      <c r="O2" s="2046"/>
      <c r="P2" s="2043"/>
      <c r="Q2" s="2043"/>
      <c r="R2" s="2044"/>
      <c r="S2" s="2043"/>
    </row>
    <row r="3" spans="2:19" ht="16.5" customHeight="1">
      <c r="B3" s="437"/>
      <c r="C3" s="437"/>
      <c r="D3" s="437"/>
      <c r="E3" s="437"/>
      <c r="F3" s="437"/>
      <c r="G3" s="437"/>
      <c r="H3" s="437"/>
      <c r="I3" s="437"/>
      <c r="J3" s="437"/>
      <c r="K3" s="2047">
        <v>2014</v>
      </c>
      <c r="L3" s="436"/>
      <c r="N3" s="437"/>
      <c r="O3" s="833"/>
      <c r="P3" s="437"/>
      <c r="Q3" s="437"/>
      <c r="R3" s="437"/>
      <c r="S3" s="437"/>
    </row>
    <row r="4" spans="2:19" ht="16.5" customHeight="1" thickBot="1">
      <c r="B4" s="1942"/>
      <c r="C4" s="1942"/>
      <c r="D4" s="1942"/>
      <c r="E4" s="2048"/>
      <c r="F4" s="2048"/>
      <c r="G4" s="2048"/>
      <c r="H4" s="2048"/>
      <c r="I4" s="2048"/>
      <c r="J4" s="2048"/>
      <c r="K4" s="2048"/>
      <c r="L4" s="2048"/>
      <c r="M4" s="2048"/>
      <c r="N4" s="2048"/>
      <c r="O4" s="2048"/>
      <c r="P4" s="2048"/>
      <c r="Q4" s="2048"/>
      <c r="R4" s="2039"/>
      <c r="S4" s="2048"/>
    </row>
    <row r="5" spans="2:19" ht="16.5" customHeight="1" thickBot="1">
      <c r="B5" s="1949"/>
      <c r="C5" s="2005"/>
      <c r="D5" s="2049"/>
      <c r="E5" s="2597" t="s">
        <v>823</v>
      </c>
      <c r="F5" s="2598"/>
      <c r="G5" s="2598"/>
      <c r="H5" s="2598"/>
      <c r="I5" s="2598"/>
      <c r="J5" s="2598"/>
      <c r="K5" s="2598"/>
      <c r="L5" s="2598"/>
      <c r="M5" s="2598"/>
      <c r="N5" s="2598"/>
      <c r="O5" s="2598"/>
      <c r="P5" s="2598"/>
      <c r="Q5" s="2598"/>
      <c r="R5" s="2599"/>
      <c r="S5" s="2048"/>
    </row>
    <row r="6" spans="2:19" ht="16.5" customHeight="1" thickBot="1">
      <c r="B6" s="1972" t="s">
        <v>328</v>
      </c>
      <c r="C6" s="1946"/>
      <c r="D6" s="1973"/>
      <c r="E6" s="2050" t="s">
        <v>359</v>
      </c>
      <c r="F6" s="1958" t="s">
        <v>821</v>
      </c>
      <c r="G6" s="1959" t="s">
        <v>820</v>
      </c>
      <c r="H6" s="1959" t="s">
        <v>819</v>
      </c>
      <c r="I6" s="1959" t="s">
        <v>818</v>
      </c>
      <c r="J6" s="1959" t="s">
        <v>817</v>
      </c>
      <c r="K6" s="1959" t="s">
        <v>816</v>
      </c>
      <c r="L6" s="1959" t="s">
        <v>815</v>
      </c>
      <c r="M6" s="1959" t="s">
        <v>814</v>
      </c>
      <c r="N6" s="1959" t="s">
        <v>813</v>
      </c>
      <c r="O6" s="1959" t="s">
        <v>812</v>
      </c>
      <c r="P6" s="1959" t="s">
        <v>811</v>
      </c>
      <c r="Q6" s="1959" t="s">
        <v>810</v>
      </c>
      <c r="R6" s="2051" t="s">
        <v>397</v>
      </c>
      <c r="S6" s="2048"/>
    </row>
    <row r="7" spans="2:19" ht="47.25" customHeight="1">
      <c r="B7" s="2052" t="s">
        <v>760</v>
      </c>
      <c r="C7" s="1961"/>
      <c r="D7" s="1961"/>
      <c r="E7" s="2053" t="s">
        <v>365</v>
      </c>
      <c r="F7" s="1963" t="s">
        <v>804</v>
      </c>
      <c r="G7" s="1964" t="s">
        <v>803</v>
      </c>
      <c r="H7" s="1964" t="s">
        <v>2166</v>
      </c>
      <c r="I7" s="1964" t="s">
        <v>802</v>
      </c>
      <c r="J7" s="1964" t="s">
        <v>801</v>
      </c>
      <c r="K7" s="1964" t="s">
        <v>800</v>
      </c>
      <c r="L7" s="1964" t="s">
        <v>2167</v>
      </c>
      <c r="M7" s="1964" t="s">
        <v>799</v>
      </c>
      <c r="N7" s="1964" t="s">
        <v>798</v>
      </c>
      <c r="O7" s="1964" t="s">
        <v>797</v>
      </c>
      <c r="P7" s="1964" t="s">
        <v>796</v>
      </c>
      <c r="Q7" s="1964" t="s">
        <v>757</v>
      </c>
      <c r="R7" s="1965"/>
      <c r="S7" s="2048"/>
    </row>
    <row r="8" spans="2:19" ht="16.5" customHeight="1">
      <c r="B8" s="2054" t="s">
        <v>468</v>
      </c>
      <c r="C8" s="1968"/>
      <c r="D8" s="1968"/>
      <c r="E8" s="2055"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2048"/>
    </row>
    <row r="9" spans="2:19" ht="15.75" customHeight="1" thickBot="1">
      <c r="B9" s="2056" t="s">
        <v>752</v>
      </c>
      <c r="C9" s="2057" t="s">
        <v>825</v>
      </c>
      <c r="D9" s="2057" t="s">
        <v>824</v>
      </c>
      <c r="E9" s="1974">
        <v>0</v>
      </c>
      <c r="F9" s="1975" t="s">
        <v>786</v>
      </c>
      <c r="G9" s="1976" t="s">
        <v>785</v>
      </c>
      <c r="H9" s="1976" t="s">
        <v>2169</v>
      </c>
      <c r="I9" s="1976" t="s">
        <v>784</v>
      </c>
      <c r="J9" s="1976" t="s">
        <v>783</v>
      </c>
      <c r="K9" s="1976" t="s">
        <v>782</v>
      </c>
      <c r="L9" s="1976" t="s">
        <v>781</v>
      </c>
      <c r="M9" s="1976" t="s">
        <v>780</v>
      </c>
      <c r="N9" s="1976" t="s">
        <v>779</v>
      </c>
      <c r="O9" s="1976" t="s">
        <v>778</v>
      </c>
      <c r="P9" s="1976" t="s">
        <v>777</v>
      </c>
      <c r="Q9" s="1976" t="s">
        <v>1719</v>
      </c>
      <c r="R9" s="1977"/>
      <c r="S9" s="2048"/>
    </row>
    <row r="10" spans="2:19" ht="15.75">
      <c r="B10" s="2058" t="s">
        <v>147</v>
      </c>
      <c r="C10" s="2059">
        <v>6</v>
      </c>
      <c r="D10" s="2060">
        <v>8</v>
      </c>
      <c r="E10" s="1984">
        <v>8454.5560000000005</v>
      </c>
      <c r="F10" s="1981">
        <v>6.0949999999999998</v>
      </c>
      <c r="G10" s="1982">
        <v>3.3330000000000002</v>
      </c>
      <c r="H10" s="1982">
        <v>24.933</v>
      </c>
      <c r="I10" s="1982">
        <v>1.238</v>
      </c>
      <c r="J10" s="1982">
        <v>0.28699999999999998</v>
      </c>
      <c r="K10" s="1982">
        <v>7.2999999999999995E-2</v>
      </c>
      <c r="L10" s="1982">
        <v>18.010999999999999</v>
      </c>
      <c r="M10" s="1982">
        <v>0.22600000000000001</v>
      </c>
      <c r="N10" s="1982">
        <v>53.59</v>
      </c>
      <c r="O10" s="1982">
        <v>4.0000000000000001E-3</v>
      </c>
      <c r="P10" s="1982">
        <v>2.1559999999999999E-3</v>
      </c>
      <c r="Q10" s="1982">
        <v>3.1739999999999999</v>
      </c>
      <c r="R10" s="1983">
        <f t="shared" ref="R10:R22" si="0">SUM(F10:Q10)</f>
        <v>110.96615600000001</v>
      </c>
      <c r="S10" s="2048"/>
    </row>
    <row r="11" spans="2:19" ht="15.75">
      <c r="B11" s="2058" t="s">
        <v>148</v>
      </c>
      <c r="C11" s="2059">
        <v>6</v>
      </c>
      <c r="D11" s="2060">
        <v>8</v>
      </c>
      <c r="E11" s="1984">
        <v>8712.1239999999998</v>
      </c>
      <c r="F11" s="1981">
        <v>7.0679999999999996</v>
      </c>
      <c r="G11" s="1982">
        <v>3.2589999999999999</v>
      </c>
      <c r="H11" s="1982">
        <v>37.74</v>
      </c>
      <c r="I11" s="1982">
        <v>1.708</v>
      </c>
      <c r="J11" s="1982">
        <v>0.41699999999999998</v>
      </c>
      <c r="K11" s="1982">
        <v>16.559999999999999</v>
      </c>
      <c r="L11" s="1982">
        <v>19.443000000000001</v>
      </c>
      <c r="M11" s="1982">
        <v>0.24199999999999999</v>
      </c>
      <c r="N11" s="1982">
        <v>58.21</v>
      </c>
      <c r="O11" s="1982">
        <v>5.0000000000000001E-3</v>
      </c>
      <c r="P11" s="1982">
        <v>0</v>
      </c>
      <c r="Q11" s="1982">
        <v>3.6920000000000002</v>
      </c>
      <c r="R11" s="1983">
        <f t="shared" si="0"/>
        <v>148.34399999999999</v>
      </c>
      <c r="S11" s="2048"/>
    </row>
    <row r="12" spans="2:19" ht="15.75">
      <c r="B12" s="2058" t="s">
        <v>352</v>
      </c>
      <c r="C12" s="2059">
        <v>18</v>
      </c>
      <c r="D12" s="2060">
        <v>8</v>
      </c>
      <c r="E12" s="1984">
        <v>7640.2749999999996</v>
      </c>
      <c r="F12" s="1981">
        <v>6.55</v>
      </c>
      <c r="G12" s="1982">
        <v>3.129</v>
      </c>
      <c r="H12" s="1982">
        <v>21.957000000000001</v>
      </c>
      <c r="I12" s="1982">
        <v>1.1060000000000001</v>
      </c>
      <c r="J12" s="1982">
        <v>0</v>
      </c>
      <c r="K12" s="1982">
        <v>13.971</v>
      </c>
      <c r="L12" s="1982">
        <v>19.355</v>
      </c>
      <c r="M12" s="1982">
        <v>0.80900000000000005</v>
      </c>
      <c r="N12" s="1982">
        <v>40.15</v>
      </c>
      <c r="O12" s="1982">
        <v>5.0000000000000001E-3</v>
      </c>
      <c r="P12" s="1982">
        <v>0</v>
      </c>
      <c r="Q12" s="1982">
        <v>2.8290000000000002</v>
      </c>
      <c r="R12" s="1983">
        <f t="shared" si="0"/>
        <v>109.861</v>
      </c>
      <c r="S12" s="2048"/>
    </row>
    <row r="13" spans="2:19" ht="15.75">
      <c r="B13" s="2058" t="s">
        <v>143</v>
      </c>
      <c r="C13" s="2059">
        <v>1</v>
      </c>
      <c r="D13" s="2060">
        <v>8</v>
      </c>
      <c r="E13" s="1984">
        <v>7380.8109999999997</v>
      </c>
      <c r="F13" s="1981">
        <v>5.8310000000000004</v>
      </c>
      <c r="G13" s="1982">
        <v>3.1709999999999998</v>
      </c>
      <c r="H13" s="1982">
        <v>18.876999999999999</v>
      </c>
      <c r="I13" s="1982">
        <v>1.0129999999999999</v>
      </c>
      <c r="J13" s="1982">
        <v>2.5999999999999999E-2</v>
      </c>
      <c r="K13" s="1982">
        <v>0.57299999999999995</v>
      </c>
      <c r="L13" s="1982">
        <v>18.838999999999999</v>
      </c>
      <c r="M13" s="1982">
        <v>0.78100000000000003</v>
      </c>
      <c r="N13" s="1982">
        <v>41.16</v>
      </c>
      <c r="O13" s="1982">
        <v>0.28699999999999998</v>
      </c>
      <c r="P13" s="1982">
        <v>4.313E-3</v>
      </c>
      <c r="Q13" s="1982">
        <v>2.726</v>
      </c>
      <c r="R13" s="1983">
        <f t="shared" si="0"/>
        <v>93.288312999999988</v>
      </c>
      <c r="S13" s="2048"/>
    </row>
    <row r="14" spans="2:19" ht="15.75">
      <c r="B14" s="2058" t="s">
        <v>144</v>
      </c>
      <c r="C14" s="2059">
        <v>28</v>
      </c>
      <c r="D14" s="2060">
        <v>15</v>
      </c>
      <c r="E14" s="1984">
        <v>8197.6990000000005</v>
      </c>
      <c r="F14" s="1981">
        <v>5.4080000000000004</v>
      </c>
      <c r="G14" s="1982">
        <v>2.61</v>
      </c>
      <c r="H14" s="1982">
        <v>10.489000000000001</v>
      </c>
      <c r="I14" s="1982">
        <v>0.4</v>
      </c>
      <c r="J14" s="1982">
        <v>0</v>
      </c>
      <c r="K14" s="1982">
        <v>7.5999999999999998E-2</v>
      </c>
      <c r="L14" s="1982">
        <v>19.573</v>
      </c>
      <c r="M14" s="1982">
        <v>0.20899999999999999</v>
      </c>
      <c r="N14" s="1982">
        <v>45.27</v>
      </c>
      <c r="O14" s="1982">
        <v>0.54900000000000004</v>
      </c>
      <c r="P14" s="1982">
        <v>2.981223</v>
      </c>
      <c r="Q14" s="1982">
        <v>3.4159999999999999</v>
      </c>
      <c r="R14" s="1983">
        <f t="shared" si="0"/>
        <v>90.981223</v>
      </c>
      <c r="S14" s="2048"/>
    </row>
    <row r="15" spans="2:19" ht="15.75">
      <c r="B15" s="2058" t="s">
        <v>151</v>
      </c>
      <c r="C15" s="2059">
        <v>24</v>
      </c>
      <c r="D15" s="2060">
        <v>17</v>
      </c>
      <c r="E15" s="1984">
        <v>8909.3719999999994</v>
      </c>
      <c r="F15" s="1981">
        <v>5.0339999999999998</v>
      </c>
      <c r="G15" s="1982">
        <v>3.0920000000000001</v>
      </c>
      <c r="H15" s="1982">
        <v>10.534000000000001</v>
      </c>
      <c r="I15" s="1982">
        <v>0.32200000000000001</v>
      </c>
      <c r="J15" s="1982">
        <v>2.5999999999999999E-2</v>
      </c>
      <c r="K15" s="1982">
        <v>0.83899999999999997</v>
      </c>
      <c r="L15" s="1982">
        <v>21.821000000000002</v>
      </c>
      <c r="M15" s="1982">
        <v>0.14599999999999999</v>
      </c>
      <c r="N15" s="1982">
        <v>37.65</v>
      </c>
      <c r="O15" s="1982">
        <v>0.61799999999999999</v>
      </c>
      <c r="P15" s="1982">
        <v>2.8496830000000002</v>
      </c>
      <c r="Q15" s="1982">
        <v>3.5539999999999998</v>
      </c>
      <c r="R15" s="1983">
        <f t="shared" si="0"/>
        <v>86.485682999999995</v>
      </c>
      <c r="S15" s="2048"/>
    </row>
    <row r="16" spans="2:19" ht="15.75">
      <c r="B16" s="2058" t="s">
        <v>744</v>
      </c>
      <c r="C16" s="2059">
        <v>14</v>
      </c>
      <c r="D16" s="2060">
        <v>16</v>
      </c>
      <c r="E16" s="1984">
        <v>10313.517</v>
      </c>
      <c r="F16" s="1981">
        <v>6.1319999999999997</v>
      </c>
      <c r="G16" s="1982">
        <v>3.161</v>
      </c>
      <c r="H16" s="1982">
        <v>12.273</v>
      </c>
      <c r="I16" s="1982">
        <v>0.40500000000000003</v>
      </c>
      <c r="J16" s="1982">
        <v>2.5999999999999999E-2</v>
      </c>
      <c r="K16" s="1982">
        <v>0.56000000000000005</v>
      </c>
      <c r="L16" s="1982">
        <v>23.481999999999999</v>
      </c>
      <c r="M16" s="1982">
        <v>0.30399999999999999</v>
      </c>
      <c r="N16" s="1982">
        <v>45.29</v>
      </c>
      <c r="O16" s="1982">
        <v>0.621</v>
      </c>
      <c r="P16" s="1982">
        <v>3.3381069999999999</v>
      </c>
      <c r="Q16" s="1982">
        <v>3.968</v>
      </c>
      <c r="R16" s="1983">
        <f t="shared" si="0"/>
        <v>99.560107000000002</v>
      </c>
      <c r="S16" s="2048"/>
    </row>
    <row r="17" spans="2:25" ht="15.75">
      <c r="B17" s="2058" t="s">
        <v>153</v>
      </c>
      <c r="C17" s="2059">
        <v>11</v>
      </c>
      <c r="D17" s="2060">
        <v>16</v>
      </c>
      <c r="E17" s="1984">
        <v>9635.143</v>
      </c>
      <c r="F17" s="1981">
        <v>5.5780000000000003</v>
      </c>
      <c r="G17" s="1982">
        <v>3.7010000000000001</v>
      </c>
      <c r="H17" s="1982">
        <v>15.545</v>
      </c>
      <c r="I17" s="1982">
        <v>0.33800000000000002</v>
      </c>
      <c r="J17" s="1982">
        <v>8.6999999999999994E-2</v>
      </c>
      <c r="K17" s="1982">
        <v>5.1999999999999998E-2</v>
      </c>
      <c r="L17" s="1982">
        <v>24.016999999999999</v>
      </c>
      <c r="M17" s="1982">
        <v>0.23100000000000001</v>
      </c>
      <c r="N17" s="1982">
        <v>53.74</v>
      </c>
      <c r="O17" s="1982">
        <v>0.625</v>
      </c>
      <c r="P17" s="1982">
        <v>2.9089839999999998</v>
      </c>
      <c r="Q17" s="1982">
        <v>4.2779999999999996</v>
      </c>
      <c r="R17" s="1983">
        <f t="shared" si="0"/>
        <v>111.10098400000001</v>
      </c>
      <c r="S17" s="2048"/>
    </row>
    <row r="18" spans="2:25" ht="15.75">
      <c r="B18" s="2058" t="s">
        <v>743</v>
      </c>
      <c r="C18" s="2059">
        <v>17</v>
      </c>
      <c r="D18" s="2060">
        <v>16</v>
      </c>
      <c r="E18" s="1984">
        <v>8717.8349999999991</v>
      </c>
      <c r="F18" s="1981">
        <v>5.5090000000000003</v>
      </c>
      <c r="G18" s="1982">
        <v>2.8780000000000001</v>
      </c>
      <c r="H18" s="1982">
        <v>9.9280000000000008</v>
      </c>
      <c r="I18" s="1982">
        <v>0.154</v>
      </c>
      <c r="J18" s="1982">
        <v>0.29399999999999998</v>
      </c>
      <c r="K18" s="1982">
        <v>0.18</v>
      </c>
      <c r="L18" s="1982">
        <v>21.045000000000002</v>
      </c>
      <c r="M18" s="1982">
        <v>0.80100000000000005</v>
      </c>
      <c r="N18" s="1982">
        <v>40.700000000000003</v>
      </c>
      <c r="O18" s="1982">
        <v>0.36</v>
      </c>
      <c r="P18" s="1982">
        <v>1.651802</v>
      </c>
      <c r="Q18" s="1982">
        <v>4.5199999999999996</v>
      </c>
      <c r="R18" s="1983">
        <f t="shared" si="0"/>
        <v>88.020802000000003</v>
      </c>
      <c r="S18" s="2048"/>
    </row>
    <row r="19" spans="2:25" ht="15.75">
      <c r="B19" s="2058" t="s">
        <v>155</v>
      </c>
      <c r="C19" s="2059">
        <v>6</v>
      </c>
      <c r="D19" s="2060">
        <v>16</v>
      </c>
      <c r="E19" s="1984">
        <v>7245.4269999999997</v>
      </c>
      <c r="F19" s="1981">
        <v>5.2670000000000003</v>
      </c>
      <c r="G19" s="1982">
        <v>3.0449999999999999</v>
      </c>
      <c r="H19" s="1982">
        <v>10.824</v>
      </c>
      <c r="I19" s="1982">
        <v>0.28799999999999998</v>
      </c>
      <c r="J19" s="1982">
        <v>0.38100000000000001</v>
      </c>
      <c r="K19" s="1982">
        <v>11.821</v>
      </c>
      <c r="L19" s="1982">
        <v>21.666</v>
      </c>
      <c r="M19" s="1982">
        <v>0.28399999999999997</v>
      </c>
      <c r="N19" s="1982">
        <v>31.77</v>
      </c>
      <c r="O19" s="1982">
        <v>0.29399999999999998</v>
      </c>
      <c r="P19" s="1982">
        <v>1.118093</v>
      </c>
      <c r="Q19" s="1982">
        <v>4.6580000000000004</v>
      </c>
      <c r="R19" s="1983">
        <f t="shared" si="0"/>
        <v>91.416093000000004</v>
      </c>
      <c r="S19" s="2048"/>
    </row>
    <row r="20" spans="2:25" ht="15.75">
      <c r="B20" s="2058" t="s">
        <v>156</v>
      </c>
      <c r="C20" s="2059">
        <v>17</v>
      </c>
      <c r="D20" s="2060">
        <v>8</v>
      </c>
      <c r="E20" s="1984">
        <v>8300.9740000000002</v>
      </c>
      <c r="F20" s="1981">
        <v>6.3559999999999999</v>
      </c>
      <c r="G20" s="1982">
        <v>2.9390000000000001</v>
      </c>
      <c r="H20" s="1982">
        <v>26.192</v>
      </c>
      <c r="I20" s="1982">
        <v>1.2210000000000001</v>
      </c>
      <c r="J20" s="1982">
        <v>0.47599999999999998</v>
      </c>
      <c r="K20" s="1982">
        <v>21.09</v>
      </c>
      <c r="L20" s="1982">
        <v>18.091999999999999</v>
      </c>
      <c r="M20" s="1982">
        <v>0.28100000000000003</v>
      </c>
      <c r="N20" s="1982">
        <v>47.83</v>
      </c>
      <c r="O20" s="1982">
        <v>4.0000000000000001E-3</v>
      </c>
      <c r="P20" s="1982">
        <v>3.235E-3</v>
      </c>
      <c r="Q20" s="1982">
        <v>5.1059999999999999</v>
      </c>
      <c r="R20" s="1983">
        <f t="shared" si="0"/>
        <v>129.59023500000001</v>
      </c>
      <c r="S20" s="2048"/>
    </row>
    <row r="21" spans="2:25" ht="16.5" thickBot="1">
      <c r="B21" s="2058" t="s">
        <v>157</v>
      </c>
      <c r="C21" s="2059">
        <v>30</v>
      </c>
      <c r="D21" s="2060">
        <v>19</v>
      </c>
      <c r="E21" s="1990">
        <v>8870.0130000000008</v>
      </c>
      <c r="F21" s="1988">
        <v>4.827</v>
      </c>
      <c r="G21" s="1989">
        <v>3.3839999999999999</v>
      </c>
      <c r="H21" s="1989">
        <v>29.681000000000001</v>
      </c>
      <c r="I21" s="1989">
        <v>1.5509999999999999</v>
      </c>
      <c r="J21" s="1989">
        <v>0</v>
      </c>
      <c r="K21" s="1989">
        <v>32.119999999999997</v>
      </c>
      <c r="L21" s="1989">
        <v>19.286999999999999</v>
      </c>
      <c r="M21" s="1989">
        <v>0.315</v>
      </c>
      <c r="N21" s="1989">
        <v>54.72</v>
      </c>
      <c r="O21" s="1989">
        <v>5.0000000000000001E-3</v>
      </c>
      <c r="P21" s="1989">
        <v>2.1559999999999999E-3</v>
      </c>
      <c r="Q21" s="1989">
        <v>5.3819999999999997</v>
      </c>
      <c r="R21" s="1978">
        <f t="shared" si="0"/>
        <v>151.274156</v>
      </c>
      <c r="S21" s="2048"/>
    </row>
    <row r="22" spans="2:25" ht="16.5" thickBot="1">
      <c r="B22" s="2062" t="s">
        <v>282</v>
      </c>
      <c r="C22" s="2063"/>
      <c r="D22" s="2064"/>
      <c r="E22" s="2037">
        <f t="shared" ref="E22:Q22" si="1">SUM(E10:E21)</f>
        <v>102377.746</v>
      </c>
      <c r="F22" s="1996">
        <f t="shared" si="1"/>
        <v>69.655000000000001</v>
      </c>
      <c r="G22" s="1995">
        <f t="shared" si="1"/>
        <v>37.701999999999998</v>
      </c>
      <c r="H22" s="1995">
        <f t="shared" si="1"/>
        <v>228.97300000000001</v>
      </c>
      <c r="I22" s="1995">
        <f t="shared" si="1"/>
        <v>9.7440000000000015</v>
      </c>
      <c r="J22" s="1995">
        <f t="shared" si="1"/>
        <v>2.02</v>
      </c>
      <c r="K22" s="1995">
        <f t="shared" si="1"/>
        <v>97.914999999999992</v>
      </c>
      <c r="L22" s="1995">
        <f t="shared" si="1"/>
        <v>244.631</v>
      </c>
      <c r="M22" s="1995">
        <f t="shared" si="1"/>
        <v>4.6290000000000004</v>
      </c>
      <c r="N22" s="1995">
        <f t="shared" si="1"/>
        <v>550.08000000000004</v>
      </c>
      <c r="O22" s="1995">
        <f t="shared" si="1"/>
        <v>3.3769999999999998</v>
      </c>
      <c r="P22" s="1995">
        <f t="shared" si="1"/>
        <v>14.859751999999999</v>
      </c>
      <c r="Q22" s="1995">
        <f t="shared" si="1"/>
        <v>47.302999999999997</v>
      </c>
      <c r="R22" s="1978">
        <f t="shared" si="0"/>
        <v>1310.8887520000003</v>
      </c>
      <c r="S22" s="2065"/>
    </row>
    <row r="25" spans="2:25" ht="15.75" thickBot="1">
      <c r="S25" s="2067"/>
    </row>
    <row r="26" spans="2:25" ht="16.5" thickBot="1">
      <c r="B26" s="1949"/>
      <c r="C26" s="2005"/>
      <c r="D26" s="2049"/>
      <c r="E26" s="2590" t="s">
        <v>822</v>
      </c>
      <c r="F26" s="2591"/>
      <c r="G26" s="2591"/>
      <c r="H26" s="2591"/>
      <c r="I26" s="2591"/>
      <c r="J26" s="2592"/>
      <c r="S26" s="2067"/>
    </row>
    <row r="27" spans="2:25" ht="16.5" thickBot="1">
      <c r="B27" s="1972" t="s">
        <v>328</v>
      </c>
      <c r="C27" s="1946"/>
      <c r="D27" s="1973"/>
      <c r="E27" s="1958" t="s">
        <v>809</v>
      </c>
      <c r="F27" s="1959" t="s">
        <v>808</v>
      </c>
      <c r="G27" s="1959" t="s">
        <v>807</v>
      </c>
      <c r="H27" s="1959" t="s">
        <v>806</v>
      </c>
      <c r="I27" s="1960" t="s">
        <v>1010</v>
      </c>
      <c r="J27" s="1957" t="s">
        <v>805</v>
      </c>
    </row>
    <row r="28" spans="2:25" ht="63">
      <c r="B28" s="2052" t="s">
        <v>760</v>
      </c>
      <c r="C28" s="1961"/>
      <c r="D28" s="1961"/>
      <c r="E28" s="1963" t="s">
        <v>795</v>
      </c>
      <c r="F28" s="1964" t="s">
        <v>794</v>
      </c>
      <c r="G28" s="1964" t="s">
        <v>793</v>
      </c>
      <c r="H28" s="1964" t="s">
        <v>1945</v>
      </c>
      <c r="I28" s="1964" t="s">
        <v>1011</v>
      </c>
      <c r="J28" s="2051"/>
    </row>
    <row r="29" spans="2:25" ht="15.75">
      <c r="B29" s="2054" t="s">
        <v>468</v>
      </c>
      <c r="C29" s="1968"/>
      <c r="D29" s="1968"/>
      <c r="E29" s="1970" t="s">
        <v>789</v>
      </c>
      <c r="F29" s="1966" t="s">
        <v>789</v>
      </c>
      <c r="G29" s="1966" t="s">
        <v>789</v>
      </c>
      <c r="H29" s="1966" t="s">
        <v>789</v>
      </c>
      <c r="I29" s="1966" t="s">
        <v>789</v>
      </c>
      <c r="J29" s="1967" t="s">
        <v>788</v>
      </c>
    </row>
    <row r="30" spans="2:25" ht="16.5" customHeight="1" thickBot="1">
      <c r="B30" s="2056" t="s">
        <v>752</v>
      </c>
      <c r="C30" s="2057" t="s">
        <v>825</v>
      </c>
      <c r="D30" s="2057" t="s">
        <v>824</v>
      </c>
      <c r="E30" s="1975" t="s">
        <v>776</v>
      </c>
      <c r="F30" s="1976" t="s">
        <v>775</v>
      </c>
      <c r="G30" s="1976" t="s">
        <v>774</v>
      </c>
      <c r="H30" s="1976" t="s">
        <v>773</v>
      </c>
      <c r="I30" s="1976" t="s">
        <v>1012</v>
      </c>
      <c r="J30" s="1978"/>
    </row>
    <row r="31" spans="2:25" ht="15.75">
      <c r="B31" s="2058" t="s">
        <v>147</v>
      </c>
      <c r="C31" s="2068">
        <f t="shared" ref="C31:D42" si="2">C10</f>
        <v>6</v>
      </c>
      <c r="D31" s="2069">
        <f t="shared" si="2"/>
        <v>8</v>
      </c>
      <c r="E31" s="1984">
        <v>354.16</v>
      </c>
      <c r="F31" s="1980">
        <v>92.177999999999997</v>
      </c>
      <c r="G31" s="1980">
        <v>70.864999999999995</v>
      </c>
      <c r="H31" s="1980">
        <v>328</v>
      </c>
      <c r="I31" s="1980">
        <v>0</v>
      </c>
      <c r="J31" s="1983">
        <f t="shared" ref="J31:J42" si="3">SUM(E31:I31)</f>
        <v>845.20299999999997</v>
      </c>
    </row>
    <row r="32" spans="2:25" ht="15.75">
      <c r="B32" s="2058" t="s">
        <v>148</v>
      </c>
      <c r="C32" s="2068">
        <f t="shared" si="2"/>
        <v>6</v>
      </c>
      <c r="D32" s="2069">
        <f t="shared" si="2"/>
        <v>8</v>
      </c>
      <c r="E32" s="1984">
        <v>351.92899999999997</v>
      </c>
      <c r="F32" s="1980">
        <v>84.091999999999999</v>
      </c>
      <c r="G32" s="1980">
        <v>78.731999999999999</v>
      </c>
      <c r="H32" s="1980">
        <v>330</v>
      </c>
      <c r="I32" s="1980">
        <v>0</v>
      </c>
      <c r="J32" s="1983">
        <f t="shared" si="3"/>
        <v>844.75299999999993</v>
      </c>
      <c r="L32" s="436"/>
      <c r="M32" s="436"/>
      <c r="N32" s="436"/>
      <c r="O32" s="321"/>
      <c r="P32" s="321"/>
      <c r="Q32" s="321"/>
      <c r="R32" s="321"/>
      <c r="S32" s="321"/>
      <c r="T32" s="321"/>
      <c r="U32" s="321"/>
      <c r="V32" s="321"/>
      <c r="W32" s="321"/>
      <c r="X32" s="321"/>
      <c r="Y32" s="321"/>
    </row>
    <row r="33" spans="2:25" ht="15.75">
      <c r="B33" s="2058" t="s">
        <v>352</v>
      </c>
      <c r="C33" s="2068">
        <f t="shared" si="2"/>
        <v>18</v>
      </c>
      <c r="D33" s="2069">
        <f t="shared" si="2"/>
        <v>8</v>
      </c>
      <c r="E33" s="1984">
        <v>291.66900000000004</v>
      </c>
      <c r="F33" s="1980">
        <v>73.978999999999999</v>
      </c>
      <c r="G33" s="1980">
        <v>90.897000000000006</v>
      </c>
      <c r="H33" s="1980">
        <v>285</v>
      </c>
      <c r="I33" s="1980">
        <v>0</v>
      </c>
      <c r="J33" s="1983">
        <f t="shared" si="3"/>
        <v>741.54500000000007</v>
      </c>
      <c r="M33" s="436"/>
      <c r="N33" s="436"/>
      <c r="O33" s="321"/>
      <c r="P33" s="321"/>
      <c r="Q33" s="321"/>
      <c r="R33" s="321"/>
      <c r="S33" s="321"/>
      <c r="T33" s="321"/>
      <c r="U33" s="321"/>
      <c r="V33" s="321"/>
      <c r="W33" s="321"/>
      <c r="X33" s="321"/>
      <c r="Y33" s="321"/>
    </row>
    <row r="34" spans="2:25" ht="15.75">
      <c r="B34" s="2058" t="s">
        <v>143</v>
      </c>
      <c r="C34" s="2068">
        <f t="shared" si="2"/>
        <v>1</v>
      </c>
      <c r="D34" s="2069">
        <f t="shared" si="2"/>
        <v>8</v>
      </c>
      <c r="E34" s="1984">
        <v>251.77</v>
      </c>
      <c r="F34" s="1980">
        <v>52.302</v>
      </c>
      <c r="G34" s="1980">
        <v>70.981999999999999</v>
      </c>
      <c r="H34" s="1980">
        <v>299</v>
      </c>
      <c r="I34" s="1980">
        <v>0</v>
      </c>
      <c r="J34" s="1983">
        <f t="shared" si="3"/>
        <v>674.05399999999997</v>
      </c>
    </row>
    <row r="35" spans="2:25" ht="15.75">
      <c r="B35" s="2058" t="s">
        <v>144</v>
      </c>
      <c r="C35" s="2068">
        <f t="shared" si="2"/>
        <v>28</v>
      </c>
      <c r="D35" s="2069">
        <f t="shared" si="2"/>
        <v>15</v>
      </c>
      <c r="E35" s="1984">
        <v>442.37799999999999</v>
      </c>
      <c r="F35" s="1980">
        <v>118.22499999999999</v>
      </c>
      <c r="G35" s="1980">
        <v>72.436999999999998</v>
      </c>
      <c r="H35" s="1980">
        <v>298</v>
      </c>
      <c r="I35" s="1980">
        <v>0</v>
      </c>
      <c r="J35" s="1983">
        <f t="shared" si="3"/>
        <v>931.04</v>
      </c>
    </row>
    <row r="36" spans="2:25" ht="15.75">
      <c r="B36" s="2058" t="s">
        <v>151</v>
      </c>
      <c r="C36" s="2068">
        <f t="shared" si="2"/>
        <v>24</v>
      </c>
      <c r="D36" s="2069">
        <f t="shared" si="2"/>
        <v>17</v>
      </c>
      <c r="E36" s="1984">
        <v>527.43999999999994</v>
      </c>
      <c r="F36" s="1980">
        <v>143.523</v>
      </c>
      <c r="G36" s="1980">
        <v>110.702</v>
      </c>
      <c r="H36" s="1980">
        <v>275</v>
      </c>
      <c r="I36" s="1980">
        <v>0</v>
      </c>
      <c r="J36" s="1983">
        <f t="shared" si="3"/>
        <v>1056.665</v>
      </c>
    </row>
    <row r="37" spans="2:25" ht="15.75">
      <c r="B37" s="2058" t="s">
        <v>744</v>
      </c>
      <c r="C37" s="2068">
        <f t="shared" si="2"/>
        <v>14</v>
      </c>
      <c r="D37" s="2069">
        <f t="shared" si="2"/>
        <v>16</v>
      </c>
      <c r="E37" s="1984">
        <v>629.81200000000001</v>
      </c>
      <c r="F37" s="1980">
        <v>192.49299999999999</v>
      </c>
      <c r="G37" s="1980">
        <v>92.254000000000005</v>
      </c>
      <c r="H37" s="1980">
        <v>308</v>
      </c>
      <c r="I37" s="1980">
        <v>0</v>
      </c>
      <c r="J37" s="1983">
        <f t="shared" si="3"/>
        <v>1222.5590000000002</v>
      </c>
    </row>
    <row r="38" spans="2:25" ht="15.75">
      <c r="B38" s="2058" t="s">
        <v>153</v>
      </c>
      <c r="C38" s="2068">
        <f t="shared" si="2"/>
        <v>11</v>
      </c>
      <c r="D38" s="2069">
        <f t="shared" si="2"/>
        <v>16</v>
      </c>
      <c r="E38" s="1984">
        <v>586.70600000000002</v>
      </c>
      <c r="F38" s="1980">
        <v>163.87200000000001</v>
      </c>
      <c r="G38" s="1980">
        <v>89.275999999999996</v>
      </c>
      <c r="H38" s="1980">
        <v>301</v>
      </c>
      <c r="I38" s="1980">
        <v>0</v>
      </c>
      <c r="J38" s="1983">
        <f t="shared" si="3"/>
        <v>1140.8539999999998</v>
      </c>
    </row>
    <row r="39" spans="2:25" ht="15.75">
      <c r="B39" s="2058" t="s">
        <v>743</v>
      </c>
      <c r="C39" s="2068">
        <f t="shared" si="2"/>
        <v>17</v>
      </c>
      <c r="D39" s="2069">
        <f t="shared" si="2"/>
        <v>16</v>
      </c>
      <c r="E39" s="1984">
        <v>526.67899999999997</v>
      </c>
      <c r="F39" s="1980">
        <v>144.78800000000001</v>
      </c>
      <c r="G39" s="1980">
        <v>96.042000000000002</v>
      </c>
      <c r="H39" s="1980">
        <v>336</v>
      </c>
      <c r="I39" s="1980">
        <v>0</v>
      </c>
      <c r="J39" s="1983">
        <f t="shared" si="3"/>
        <v>1103.509</v>
      </c>
    </row>
    <row r="40" spans="2:25" ht="15.75">
      <c r="B40" s="2058" t="s">
        <v>155</v>
      </c>
      <c r="C40" s="2068">
        <f t="shared" si="2"/>
        <v>6</v>
      </c>
      <c r="D40" s="2069">
        <f t="shared" si="2"/>
        <v>16</v>
      </c>
      <c r="E40" s="1984">
        <v>383.459</v>
      </c>
      <c r="F40" s="1980">
        <v>97.852000000000004</v>
      </c>
      <c r="G40" s="1980">
        <v>78.873999999999995</v>
      </c>
      <c r="H40" s="1980">
        <v>243</v>
      </c>
      <c r="I40" s="1980">
        <v>0</v>
      </c>
      <c r="J40" s="1983">
        <f t="shared" si="3"/>
        <v>803.18500000000006</v>
      </c>
    </row>
    <row r="41" spans="2:25" ht="15.75">
      <c r="B41" s="2058" t="s">
        <v>156</v>
      </c>
      <c r="C41" s="2068">
        <f t="shared" si="2"/>
        <v>17</v>
      </c>
      <c r="D41" s="2069">
        <f t="shared" si="2"/>
        <v>8</v>
      </c>
      <c r="E41" s="1984">
        <v>328.53999999999996</v>
      </c>
      <c r="F41" s="1980">
        <v>96</v>
      </c>
      <c r="G41" s="1980">
        <v>71.504999999999995</v>
      </c>
      <c r="H41" s="1980">
        <v>314</v>
      </c>
      <c r="I41" s="1980">
        <v>0</v>
      </c>
      <c r="J41" s="1983">
        <f t="shared" si="3"/>
        <v>810.04499999999996</v>
      </c>
    </row>
    <row r="42" spans="2:25" ht="16.5" thickBot="1">
      <c r="B42" s="2058" t="s">
        <v>157</v>
      </c>
      <c r="C42" s="2068">
        <f t="shared" si="2"/>
        <v>30</v>
      </c>
      <c r="D42" s="2069">
        <f t="shared" si="2"/>
        <v>19</v>
      </c>
      <c r="E42" s="1990">
        <v>400.04100000000005</v>
      </c>
      <c r="F42" s="1987">
        <v>85.841999999999999</v>
      </c>
      <c r="G42" s="1987">
        <v>78.162000000000006</v>
      </c>
      <c r="H42" s="1987">
        <v>342</v>
      </c>
      <c r="I42" s="1991">
        <v>0</v>
      </c>
      <c r="J42" s="1978">
        <f t="shared" si="3"/>
        <v>906.04500000000007</v>
      </c>
    </row>
    <row r="43" spans="2:25" ht="16.5" thickBot="1">
      <c r="B43" s="2062" t="s">
        <v>282</v>
      </c>
      <c r="C43" s="2063"/>
      <c r="D43" s="2064"/>
      <c r="E43" s="1996">
        <f t="shared" ref="E43:J43" si="4">SUM(E31:E42)</f>
        <v>5074.5830000000005</v>
      </c>
      <c r="F43" s="1995">
        <f t="shared" si="4"/>
        <v>1345.1460000000002</v>
      </c>
      <c r="G43" s="1995">
        <f t="shared" si="4"/>
        <v>1000.7280000000001</v>
      </c>
      <c r="H43" s="1995">
        <f t="shared" si="4"/>
        <v>3659</v>
      </c>
      <c r="I43" s="1995">
        <f t="shared" si="4"/>
        <v>0</v>
      </c>
      <c r="J43" s="1978">
        <f t="shared" si="4"/>
        <v>11079.457</v>
      </c>
    </row>
  </sheetData>
  <mergeCells count="2">
    <mergeCell ref="E5:R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election activeCell="O10" sqref="O10"/>
    </sheetView>
  </sheetViews>
  <sheetFormatPr defaultRowHeight="15.75"/>
  <cols>
    <col min="1" max="1" width="4.7109375" style="1942" customWidth="1"/>
    <col min="2" max="2" width="14.28515625" style="1942" customWidth="1"/>
    <col min="3" max="4" width="6" style="1942" customWidth="1"/>
    <col min="5" max="19" width="11.5703125" style="1942" customWidth="1"/>
    <col min="20" max="21" width="9.85546875" style="1942" bestFit="1" customWidth="1"/>
    <col min="22" max="22" width="8.7109375" style="1942" bestFit="1" customWidth="1"/>
    <col min="23" max="23" width="9.42578125" style="1942" customWidth="1"/>
    <col min="24" max="24" width="16.7109375" style="1942" customWidth="1"/>
    <col min="25" max="25" width="9.42578125" style="1942" bestFit="1" customWidth="1"/>
    <col min="26" max="26" width="11.85546875" style="1942" bestFit="1" customWidth="1"/>
    <col min="27" max="27" width="7.140625" style="1951" bestFit="1" customWidth="1"/>
    <col min="28" max="28" width="14" style="1942" customWidth="1"/>
    <col min="29" max="29" width="4.28515625" style="1942" customWidth="1"/>
    <col min="30" max="16384" width="9.140625" style="1942"/>
  </cols>
  <sheetData>
    <row r="1" spans="1:40" ht="16.5" customHeight="1">
      <c r="A1" s="1938"/>
      <c r="B1" s="2041" t="s">
        <v>365</v>
      </c>
      <c r="C1" s="2042"/>
      <c r="D1" s="2041"/>
      <c r="E1" s="2043"/>
      <c r="F1" s="2043"/>
      <c r="G1" s="2043"/>
      <c r="H1" s="2043"/>
      <c r="I1" s="2043"/>
      <c r="J1" s="2043"/>
      <c r="K1" s="2043"/>
      <c r="L1" s="2043"/>
      <c r="M1" s="2043"/>
      <c r="N1" s="2043"/>
      <c r="O1" s="2043"/>
      <c r="P1" s="2043"/>
      <c r="Q1" s="2043"/>
      <c r="R1" s="2043"/>
      <c r="S1" s="2044"/>
      <c r="T1" s="2043"/>
      <c r="U1" s="436"/>
      <c r="V1" s="436"/>
      <c r="W1" s="436"/>
      <c r="X1" s="436"/>
      <c r="Y1" s="436"/>
      <c r="Z1" s="436"/>
      <c r="AA1" s="436"/>
      <c r="AB1" s="436"/>
      <c r="AC1" s="436"/>
      <c r="AD1" s="436"/>
      <c r="AE1" s="436"/>
      <c r="AF1" s="436"/>
      <c r="AG1" s="436"/>
      <c r="AH1" s="436"/>
      <c r="AI1" s="436"/>
      <c r="AJ1" s="436"/>
      <c r="AK1" s="436"/>
      <c r="AL1" s="436"/>
      <c r="AM1" s="436"/>
      <c r="AN1" s="436"/>
    </row>
    <row r="2" spans="1:40" ht="16.5" customHeight="1">
      <c r="A2" s="1943"/>
      <c r="B2" s="2041" t="s">
        <v>2376</v>
      </c>
      <c r="C2" s="2041"/>
      <c r="D2" s="2041"/>
      <c r="E2" s="2043"/>
      <c r="F2" s="2043"/>
      <c r="G2" s="2043"/>
      <c r="H2" s="2043"/>
      <c r="I2" s="2043"/>
      <c r="J2" s="2043"/>
      <c r="K2" s="2043"/>
      <c r="L2" s="2043"/>
      <c r="M2" s="2043"/>
      <c r="N2" s="2043"/>
      <c r="O2" s="2046"/>
      <c r="P2" s="2046"/>
      <c r="Q2" s="2043"/>
      <c r="R2" s="2043"/>
      <c r="S2" s="2044"/>
      <c r="T2" s="2043"/>
      <c r="U2" s="436"/>
      <c r="V2" s="436"/>
      <c r="W2" s="436"/>
      <c r="X2" s="436"/>
      <c r="Y2" s="436"/>
      <c r="Z2" s="436"/>
      <c r="AA2" s="436"/>
      <c r="AB2" s="436"/>
      <c r="AC2" s="436"/>
      <c r="AD2" s="436"/>
      <c r="AE2" s="436"/>
      <c r="AF2" s="436"/>
      <c r="AG2" s="436"/>
      <c r="AH2" s="436"/>
      <c r="AI2" s="436"/>
      <c r="AJ2" s="436"/>
      <c r="AK2" s="436"/>
      <c r="AL2" s="436"/>
      <c r="AM2" s="436"/>
      <c r="AN2" s="436"/>
    </row>
    <row r="3" spans="1:40" ht="16.5" customHeight="1">
      <c r="A3" s="1938"/>
      <c r="B3" s="437"/>
      <c r="C3" s="437"/>
      <c r="D3" s="437"/>
      <c r="E3" s="437"/>
      <c r="F3" s="437"/>
      <c r="G3" s="437"/>
      <c r="H3" s="437"/>
      <c r="I3" s="437"/>
      <c r="J3" s="437"/>
      <c r="K3" s="2047">
        <v>2013</v>
      </c>
      <c r="L3" s="436"/>
      <c r="M3" s="2045"/>
      <c r="N3" s="437"/>
      <c r="O3" s="833"/>
      <c r="P3" s="833"/>
      <c r="Q3" s="437"/>
      <c r="R3" s="437"/>
      <c r="S3" s="437"/>
      <c r="T3" s="437"/>
      <c r="U3" s="436"/>
      <c r="V3" s="436"/>
      <c r="W3" s="436"/>
      <c r="X3" s="436"/>
      <c r="Y3" s="436"/>
      <c r="Z3" s="436"/>
      <c r="AA3" s="436"/>
      <c r="AB3" s="436"/>
      <c r="AC3" s="436"/>
      <c r="AD3" s="436"/>
      <c r="AE3" s="436"/>
      <c r="AF3" s="436"/>
      <c r="AG3" s="436"/>
      <c r="AH3" s="436"/>
      <c r="AI3" s="436"/>
      <c r="AJ3" s="436"/>
      <c r="AK3" s="436"/>
      <c r="AL3" s="436"/>
      <c r="AM3" s="436"/>
      <c r="AN3" s="436"/>
    </row>
    <row r="4" spans="1:40" ht="16.5" customHeight="1" thickBot="1">
      <c r="C4" s="1946"/>
      <c r="D4" s="1946"/>
      <c r="U4" s="436"/>
      <c r="V4" s="436"/>
      <c r="W4" s="436"/>
      <c r="X4" s="436"/>
      <c r="Y4" s="436"/>
      <c r="Z4" s="436"/>
      <c r="AA4" s="436"/>
      <c r="AB4" s="436"/>
      <c r="AC4" s="436"/>
      <c r="AD4" s="436"/>
      <c r="AE4" s="436"/>
      <c r="AF4" s="436"/>
      <c r="AG4" s="436"/>
      <c r="AH4" s="436"/>
      <c r="AI4" s="436"/>
      <c r="AJ4" s="436"/>
      <c r="AK4" s="436"/>
      <c r="AL4" s="436"/>
      <c r="AM4" s="436"/>
      <c r="AN4" s="436"/>
    </row>
    <row r="5" spans="1:40" ht="16.5" customHeight="1" thickBot="1">
      <c r="B5" s="1949"/>
      <c r="C5" s="1950"/>
      <c r="D5" s="1950"/>
      <c r="E5" s="2590" t="s">
        <v>823</v>
      </c>
      <c r="F5" s="2591"/>
      <c r="G5" s="2591"/>
      <c r="H5" s="2591"/>
      <c r="I5" s="2591"/>
      <c r="J5" s="2591"/>
      <c r="K5" s="2591"/>
      <c r="L5" s="2591"/>
      <c r="M5" s="2591"/>
      <c r="N5" s="2591"/>
      <c r="O5" s="2591"/>
      <c r="P5" s="2591"/>
      <c r="Q5" s="2591"/>
      <c r="R5" s="2592"/>
      <c r="T5" s="1951"/>
      <c r="U5" s="436"/>
      <c r="V5" s="436"/>
      <c r="W5" s="436"/>
      <c r="X5" s="436"/>
      <c r="Y5" s="436"/>
      <c r="Z5" s="436"/>
      <c r="AA5" s="436"/>
      <c r="AB5" s="436"/>
      <c r="AC5" s="436"/>
      <c r="AD5" s="436"/>
      <c r="AE5" s="436"/>
      <c r="AF5" s="436"/>
      <c r="AG5" s="436"/>
      <c r="AH5" s="436"/>
      <c r="AI5" s="436"/>
      <c r="AJ5" s="436"/>
      <c r="AK5" s="436"/>
      <c r="AL5" s="436"/>
      <c r="AM5" s="436"/>
      <c r="AN5" s="436"/>
    </row>
    <row r="6" spans="1:40"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7" t="s">
        <v>397</v>
      </c>
      <c r="Z6" s="1952"/>
      <c r="AB6" s="1951"/>
    </row>
    <row r="7" spans="1:40" ht="47.25" customHeight="1">
      <c r="B7" s="1961" t="s">
        <v>760</v>
      </c>
      <c r="C7" s="1961"/>
      <c r="D7" s="2052"/>
      <c r="E7" s="1962" t="s">
        <v>365</v>
      </c>
      <c r="F7" s="1963" t="s">
        <v>804</v>
      </c>
      <c r="G7" s="1964" t="s">
        <v>803</v>
      </c>
      <c r="H7" s="1964" t="s">
        <v>1963</v>
      </c>
      <c r="I7" s="1964" t="s">
        <v>802</v>
      </c>
      <c r="J7" s="1964" t="s">
        <v>801</v>
      </c>
      <c r="K7" s="1964" t="s">
        <v>800</v>
      </c>
      <c r="L7" s="1964" t="s">
        <v>1805</v>
      </c>
      <c r="M7" s="1964" t="s">
        <v>799</v>
      </c>
      <c r="N7" s="1964" t="s">
        <v>798</v>
      </c>
      <c r="O7" s="1964" t="s">
        <v>797</v>
      </c>
      <c r="P7" s="1964" t="s">
        <v>796</v>
      </c>
      <c r="Q7" s="1964" t="s">
        <v>757</v>
      </c>
      <c r="R7" s="1965"/>
      <c r="Z7" s="1952"/>
      <c r="AB7" s="1951"/>
    </row>
    <row r="8" spans="1:40"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1951"/>
      <c r="Z8" s="1951"/>
      <c r="AA8" s="1942"/>
    </row>
    <row r="9" spans="1:40" ht="16.5" customHeight="1" thickBot="1">
      <c r="B9" s="1972" t="s">
        <v>752</v>
      </c>
      <c r="C9" s="2057" t="s">
        <v>1723</v>
      </c>
      <c r="D9" s="2057" t="s">
        <v>824</v>
      </c>
      <c r="E9" s="1974"/>
      <c r="F9" s="1975" t="s">
        <v>786</v>
      </c>
      <c r="G9" s="1976" t="s">
        <v>785</v>
      </c>
      <c r="H9" s="1976" t="s">
        <v>1964</v>
      </c>
      <c r="I9" s="1976" t="s">
        <v>784</v>
      </c>
      <c r="J9" s="1976" t="s">
        <v>783</v>
      </c>
      <c r="K9" s="1976" t="s">
        <v>782</v>
      </c>
      <c r="L9" s="1976" t="s">
        <v>781</v>
      </c>
      <c r="M9" s="1976" t="s">
        <v>780</v>
      </c>
      <c r="N9" s="1976" t="s">
        <v>779</v>
      </c>
      <c r="O9" s="1976" t="s">
        <v>778</v>
      </c>
      <c r="P9" s="1976" t="s">
        <v>777</v>
      </c>
      <c r="Q9" s="1976" t="s">
        <v>1719</v>
      </c>
      <c r="R9" s="1977"/>
      <c r="S9" s="1951"/>
      <c r="Z9" s="1951"/>
      <c r="AA9" s="1942"/>
    </row>
    <row r="10" spans="1:40">
      <c r="B10" s="1953" t="s">
        <v>147</v>
      </c>
      <c r="C10" s="2059">
        <v>14</v>
      </c>
      <c r="D10" s="2060">
        <v>18</v>
      </c>
      <c r="E10" s="1980">
        <v>8825.1990000000005</v>
      </c>
      <c r="F10" s="1981">
        <v>4.9800000000000004</v>
      </c>
      <c r="G10" s="1982">
        <v>3.41</v>
      </c>
      <c r="H10" s="1982">
        <v>28.83</v>
      </c>
      <c r="I10" s="1982">
        <v>1.22</v>
      </c>
      <c r="J10" s="1982">
        <v>0</v>
      </c>
      <c r="K10" s="1982">
        <v>0.13</v>
      </c>
      <c r="L10" s="1982">
        <v>25.37</v>
      </c>
      <c r="M10" s="1982">
        <v>0.28000000000000003</v>
      </c>
      <c r="N10" s="1982">
        <v>50.71</v>
      </c>
      <c r="O10" s="1982">
        <v>4.0000000000000001E-3</v>
      </c>
      <c r="P10" s="1982">
        <v>2.1709999999999998E-3</v>
      </c>
      <c r="Q10" s="1982">
        <v>0</v>
      </c>
      <c r="R10" s="1983">
        <f t="shared" ref="R10:R22" si="0">SUM(F10:Q10)</f>
        <v>114.93617100000002</v>
      </c>
      <c r="S10" s="1951"/>
      <c r="Z10" s="1985"/>
      <c r="AA10" s="1942"/>
    </row>
    <row r="11" spans="1:40">
      <c r="B11" s="1953" t="s">
        <v>148</v>
      </c>
      <c r="C11" s="2059">
        <v>11</v>
      </c>
      <c r="D11" s="2060">
        <v>8</v>
      </c>
      <c r="E11" s="1980">
        <v>8052.174</v>
      </c>
      <c r="F11" s="1981">
        <v>5.72</v>
      </c>
      <c r="G11" s="1982">
        <v>3.55</v>
      </c>
      <c r="H11" s="1982">
        <v>21.72</v>
      </c>
      <c r="I11" s="1982">
        <v>1.19</v>
      </c>
      <c r="J11" s="1982">
        <v>0</v>
      </c>
      <c r="K11" s="1982">
        <v>1.96</v>
      </c>
      <c r="L11" s="1982">
        <v>24.66</v>
      </c>
      <c r="M11" s="1982">
        <v>1.17</v>
      </c>
      <c r="N11" s="1982">
        <v>46.12</v>
      </c>
      <c r="O11" s="1982">
        <v>4.0000000000000001E-3</v>
      </c>
      <c r="P11" s="1982">
        <v>3.2569999999999999E-3</v>
      </c>
      <c r="Q11" s="1982">
        <v>0</v>
      </c>
      <c r="R11" s="1983">
        <f t="shared" si="0"/>
        <v>106.09725700000001</v>
      </c>
      <c r="S11" s="1951"/>
      <c r="Z11" s="1985"/>
      <c r="AA11" s="1942"/>
    </row>
    <row r="12" spans="1:40">
      <c r="B12" s="1953" t="s">
        <v>352</v>
      </c>
      <c r="C12" s="2059">
        <v>4</v>
      </c>
      <c r="D12" s="2060">
        <v>8</v>
      </c>
      <c r="E12" s="1980">
        <v>7779.5550000000003</v>
      </c>
      <c r="F12" s="1981">
        <v>5.4489999999999998</v>
      </c>
      <c r="G12" s="1982">
        <v>3.5619999999999998</v>
      </c>
      <c r="H12" s="1982">
        <v>27.277000000000001</v>
      </c>
      <c r="I12" s="1982">
        <v>1.1850000000000001</v>
      </c>
      <c r="J12" s="1982">
        <v>0.313</v>
      </c>
      <c r="K12" s="1982">
        <v>7.2999999999999995E-2</v>
      </c>
      <c r="L12" s="1982">
        <v>23.911999999999999</v>
      </c>
      <c r="M12" s="1982">
        <v>1.292</v>
      </c>
      <c r="N12" s="1982">
        <v>45.38</v>
      </c>
      <c r="O12" s="1982">
        <v>5.0000000000000001E-3</v>
      </c>
      <c r="P12" s="1982">
        <v>4.313E-3</v>
      </c>
      <c r="Q12" s="1982">
        <v>0</v>
      </c>
      <c r="R12" s="1983">
        <f t="shared" si="0"/>
        <v>108.452313</v>
      </c>
      <c r="S12" s="1951"/>
      <c r="Z12" s="1985"/>
      <c r="AA12" s="1942"/>
    </row>
    <row r="13" spans="1:40">
      <c r="B13" s="1953" t="s">
        <v>143</v>
      </c>
      <c r="C13" s="2059">
        <v>9</v>
      </c>
      <c r="D13" s="2060">
        <v>8</v>
      </c>
      <c r="E13" s="2070">
        <v>7338.3959999999997</v>
      </c>
      <c r="F13" s="1981">
        <v>5.5990000000000002</v>
      </c>
      <c r="G13" s="1982">
        <v>3.0680000000000001</v>
      </c>
      <c r="H13" s="1982">
        <v>21.693999999999999</v>
      </c>
      <c r="I13" s="1982">
        <v>0.95899999999999996</v>
      </c>
      <c r="J13" s="1982">
        <v>0</v>
      </c>
      <c r="K13" s="1982">
        <v>9.6440000000000001</v>
      </c>
      <c r="L13" s="1982">
        <v>23.863</v>
      </c>
      <c r="M13" s="1982">
        <v>0.224</v>
      </c>
      <c r="N13" s="1982">
        <v>42.05</v>
      </c>
      <c r="O13" s="1982">
        <v>0.28499999999999998</v>
      </c>
      <c r="P13" s="1982">
        <v>0.86255999999999999</v>
      </c>
      <c r="Q13" s="1982">
        <v>0</v>
      </c>
      <c r="R13" s="1983">
        <f t="shared" si="0"/>
        <v>108.24856</v>
      </c>
      <c r="S13" s="1951"/>
      <c r="Z13" s="1985"/>
      <c r="AA13" s="1942"/>
    </row>
    <row r="14" spans="1:40">
      <c r="A14" s="1979"/>
      <c r="B14" s="1953" t="s">
        <v>144</v>
      </c>
      <c r="C14" s="2059">
        <v>14</v>
      </c>
      <c r="D14" s="2060">
        <v>16</v>
      </c>
      <c r="E14" s="2070">
        <v>8105.9030000000002</v>
      </c>
      <c r="F14" s="1981">
        <v>5.0880000000000001</v>
      </c>
      <c r="G14" s="1982">
        <v>2.6989999999999998</v>
      </c>
      <c r="H14" s="1982">
        <v>9.2100000000000009</v>
      </c>
      <c r="I14" s="1982">
        <v>0.38200000000000001</v>
      </c>
      <c r="J14" s="1982">
        <v>0</v>
      </c>
      <c r="K14" s="1982">
        <v>13.834</v>
      </c>
      <c r="L14" s="1982">
        <v>26.599</v>
      </c>
      <c r="M14" s="1982">
        <v>0.313</v>
      </c>
      <c r="N14" s="1982">
        <v>41.3</v>
      </c>
      <c r="O14" s="1982">
        <v>0.55300000000000005</v>
      </c>
      <c r="P14" s="1982">
        <v>2.8766379999999998</v>
      </c>
      <c r="Q14" s="1982">
        <v>0</v>
      </c>
      <c r="R14" s="1983">
        <f t="shared" si="0"/>
        <v>102.85463799999999</v>
      </c>
      <c r="S14" s="1951"/>
      <c r="Z14" s="1985"/>
      <c r="AA14" s="1942"/>
    </row>
    <row r="15" spans="1:40">
      <c r="B15" s="1953" t="s">
        <v>151</v>
      </c>
      <c r="C15" s="2059">
        <v>28</v>
      </c>
      <c r="D15" s="2060">
        <v>16</v>
      </c>
      <c r="E15" s="2070">
        <v>9833.0030000000006</v>
      </c>
      <c r="F15" s="1981">
        <v>5.4480000000000004</v>
      </c>
      <c r="G15" s="1982">
        <v>3.581</v>
      </c>
      <c r="H15" s="1982">
        <v>12.43</v>
      </c>
      <c r="I15" s="1982">
        <v>0.32700000000000001</v>
      </c>
      <c r="J15" s="1982">
        <v>0</v>
      </c>
      <c r="K15" s="1982">
        <v>0.27800000000000002</v>
      </c>
      <c r="L15" s="1982">
        <v>31.234999999999999</v>
      </c>
      <c r="M15" s="1982">
        <v>0.27200000000000002</v>
      </c>
      <c r="N15" s="1982">
        <v>50.31</v>
      </c>
      <c r="O15" s="1982">
        <v>0.64200000000000002</v>
      </c>
      <c r="P15" s="1982">
        <v>3.394174</v>
      </c>
      <c r="Q15" s="1982">
        <v>2.282</v>
      </c>
      <c r="R15" s="1983">
        <f t="shared" si="0"/>
        <v>110.199174</v>
      </c>
      <c r="S15" s="1951"/>
      <c r="Z15" s="1985"/>
      <c r="AA15" s="1942"/>
    </row>
    <row r="16" spans="1:40">
      <c r="B16" s="1953" t="s">
        <v>744</v>
      </c>
      <c r="C16" s="2059">
        <v>1</v>
      </c>
      <c r="D16" s="2060">
        <v>16</v>
      </c>
      <c r="E16" s="1980">
        <v>10507.079</v>
      </c>
      <c r="F16" s="1981">
        <v>5.6109999999999998</v>
      </c>
      <c r="G16" s="1982">
        <v>3.9609999999999999</v>
      </c>
      <c r="H16" s="1982">
        <v>14.363</v>
      </c>
      <c r="I16" s="1982">
        <v>0.33900000000000002</v>
      </c>
      <c r="J16" s="1982">
        <v>2.5999999999999999E-2</v>
      </c>
      <c r="K16" s="1982">
        <v>7.5999999999999998E-2</v>
      </c>
      <c r="L16" s="1982">
        <v>32.116</v>
      </c>
      <c r="M16" s="1982">
        <v>0.19400000000000001</v>
      </c>
      <c r="N16" s="1982">
        <v>52.13</v>
      </c>
      <c r="O16" s="1982">
        <v>0.64200000000000002</v>
      </c>
      <c r="P16" s="1982">
        <v>3.2744930000000001</v>
      </c>
      <c r="Q16" s="1982">
        <v>2.3650000000000002</v>
      </c>
      <c r="R16" s="1983">
        <f t="shared" si="0"/>
        <v>115.097493</v>
      </c>
      <c r="S16" s="1951"/>
      <c r="Z16" s="1985"/>
      <c r="AA16" s="1942"/>
    </row>
    <row r="17" spans="1:29">
      <c r="B17" s="1953" t="s">
        <v>153</v>
      </c>
      <c r="C17" s="2059">
        <v>19</v>
      </c>
      <c r="D17" s="2060">
        <v>15</v>
      </c>
      <c r="E17" s="1980">
        <v>9570.7039999999997</v>
      </c>
      <c r="F17" s="1981">
        <v>5.5380000000000003</v>
      </c>
      <c r="G17" s="1982">
        <v>3.5720000000000001</v>
      </c>
      <c r="H17" s="1982">
        <v>11.544</v>
      </c>
      <c r="I17" s="1982">
        <v>0.311</v>
      </c>
      <c r="J17" s="1982">
        <v>0</v>
      </c>
      <c r="K17" s="1982">
        <v>7.6999999999999999E-2</v>
      </c>
      <c r="L17" s="1982">
        <v>30.657</v>
      </c>
      <c r="M17" s="1982">
        <v>0.20399999999999999</v>
      </c>
      <c r="N17" s="1982">
        <v>55.24</v>
      </c>
      <c r="O17" s="1982">
        <v>0.61499999999999999</v>
      </c>
      <c r="P17" s="1982">
        <v>2.7019690000000001</v>
      </c>
      <c r="Q17" s="1982">
        <v>2.6160000000000001</v>
      </c>
      <c r="R17" s="1983">
        <f t="shared" si="0"/>
        <v>113.075969</v>
      </c>
      <c r="S17" s="1951"/>
      <c r="Z17" s="1985"/>
      <c r="AA17" s="1942"/>
    </row>
    <row r="18" spans="1:29">
      <c r="B18" s="1953" t="s">
        <v>743</v>
      </c>
      <c r="C18" s="2059">
        <v>5</v>
      </c>
      <c r="D18" s="2060">
        <v>16</v>
      </c>
      <c r="E18" s="1980">
        <v>8815.527</v>
      </c>
      <c r="F18" s="1981">
        <v>5.8529999999999998</v>
      </c>
      <c r="G18" s="1982">
        <v>2.8170000000000002</v>
      </c>
      <c r="H18" s="1982">
        <v>9.7230000000000008</v>
      </c>
      <c r="I18" s="1982">
        <v>0.3</v>
      </c>
      <c r="J18" s="1982">
        <v>7.8E-2</v>
      </c>
      <c r="K18" s="1982">
        <v>0.39</v>
      </c>
      <c r="L18" s="1982">
        <v>25.343</v>
      </c>
      <c r="M18" s="1982">
        <v>0.19700000000000001</v>
      </c>
      <c r="N18" s="1982">
        <v>57.4</v>
      </c>
      <c r="O18" s="1982">
        <v>0.53300000000000003</v>
      </c>
      <c r="P18" s="1982">
        <v>2.8831069999999999</v>
      </c>
      <c r="Q18" s="1982">
        <v>2.1680000000000001</v>
      </c>
      <c r="R18" s="1983">
        <f t="shared" si="0"/>
        <v>107.685107</v>
      </c>
      <c r="S18" s="1951"/>
      <c r="Z18" s="1985"/>
      <c r="AA18" s="1942"/>
    </row>
    <row r="19" spans="1:29">
      <c r="B19" s="1953" t="s">
        <v>155</v>
      </c>
      <c r="C19" s="2059">
        <v>30</v>
      </c>
      <c r="D19" s="2060">
        <v>8</v>
      </c>
      <c r="E19" s="1980">
        <v>7511.5050000000001</v>
      </c>
      <c r="F19" s="1981">
        <v>5.8650000000000002</v>
      </c>
      <c r="G19" s="1982">
        <v>3.1579999999999999</v>
      </c>
      <c r="H19" s="1982">
        <v>23.498000000000001</v>
      </c>
      <c r="I19" s="1982">
        <v>0</v>
      </c>
      <c r="J19" s="1982">
        <v>0</v>
      </c>
      <c r="K19" s="1982">
        <v>7.2999999999999995E-2</v>
      </c>
      <c r="L19" s="1982">
        <v>21.934999999999999</v>
      </c>
      <c r="M19" s="1982">
        <v>0.23499999999999999</v>
      </c>
      <c r="N19" s="1982">
        <v>39.020000000000003</v>
      </c>
      <c r="O19" s="1982">
        <v>4.0000000000000001E-3</v>
      </c>
      <c r="P19" s="1982">
        <v>3.235E-3</v>
      </c>
      <c r="Q19" s="1982">
        <v>3.2090000000000001</v>
      </c>
      <c r="R19" s="1983">
        <f t="shared" si="0"/>
        <v>97.000235000000004</v>
      </c>
      <c r="S19" s="1951"/>
      <c r="Z19" s="1985"/>
      <c r="AA19" s="1942"/>
    </row>
    <row r="20" spans="1:29">
      <c r="B20" s="1953" t="s">
        <v>156</v>
      </c>
      <c r="C20" s="2059">
        <v>21</v>
      </c>
      <c r="D20" s="2060">
        <v>18</v>
      </c>
      <c r="E20" s="1980">
        <v>8190.2929999999997</v>
      </c>
      <c r="F20" s="1981">
        <v>5.5410000000000004</v>
      </c>
      <c r="G20" s="1982">
        <v>3.1890000000000001</v>
      </c>
      <c r="H20" s="1982">
        <v>23.513000000000002</v>
      </c>
      <c r="I20" s="1982">
        <v>1.153</v>
      </c>
      <c r="J20" s="1982">
        <v>0.28699999999999998</v>
      </c>
      <c r="K20" s="1982">
        <v>2.331</v>
      </c>
      <c r="L20" s="1982">
        <v>25.248000000000001</v>
      </c>
      <c r="M20" s="1982">
        <v>1.19</v>
      </c>
      <c r="N20" s="1982">
        <v>48.69</v>
      </c>
      <c r="O20" s="1982">
        <v>4.0000000000000001E-3</v>
      </c>
      <c r="P20" s="1982">
        <v>4.313E-3</v>
      </c>
      <c r="Q20" s="1982">
        <v>3.4849999999999999</v>
      </c>
      <c r="R20" s="1983">
        <f t="shared" si="0"/>
        <v>114.635313</v>
      </c>
      <c r="S20" s="1951"/>
      <c r="Z20" s="1985"/>
      <c r="AA20" s="1942"/>
    </row>
    <row r="21" spans="1:29" ht="16.5" thickBot="1">
      <c r="B21" s="1972" t="s">
        <v>157</v>
      </c>
      <c r="C21" s="2071">
        <v>9</v>
      </c>
      <c r="D21" s="2072">
        <v>18</v>
      </c>
      <c r="E21" s="1987">
        <v>9451.3089999999993</v>
      </c>
      <c r="F21" s="1988">
        <v>6.1859999999999999</v>
      </c>
      <c r="G21" s="1989">
        <v>3.383</v>
      </c>
      <c r="H21" s="1989">
        <v>32.799999999999997</v>
      </c>
      <c r="I21" s="1989">
        <v>1.1990000000000001</v>
      </c>
      <c r="J21" s="1989">
        <v>0.36499999999999999</v>
      </c>
      <c r="K21" s="1989">
        <v>0.182</v>
      </c>
      <c r="L21" s="1989">
        <v>25.95</v>
      </c>
      <c r="M21" s="1989">
        <v>0.73099999999999998</v>
      </c>
      <c r="N21" s="1989">
        <v>56.35</v>
      </c>
      <c r="O21" s="1989">
        <v>4.0000000000000001E-3</v>
      </c>
      <c r="P21" s="1989">
        <v>3.235E-3</v>
      </c>
      <c r="Q21" s="1989">
        <v>3.5880000000000001</v>
      </c>
      <c r="R21" s="1978">
        <f t="shared" si="0"/>
        <v>130.74123499999999</v>
      </c>
      <c r="S21" s="1951"/>
      <c r="Z21" s="1985"/>
      <c r="AA21" s="1942"/>
    </row>
    <row r="22" spans="1:29" ht="16.5" thickBot="1">
      <c r="A22" s="1951"/>
      <c r="B22" s="1992" t="s">
        <v>282</v>
      </c>
      <c r="C22" s="1993"/>
      <c r="D22" s="1994"/>
      <c r="E22" s="1978">
        <f t="shared" ref="E22:Q22" si="1">SUM(E10:E21)</f>
        <v>103980.647</v>
      </c>
      <c r="F22" s="1996">
        <f t="shared" si="1"/>
        <v>66.878000000000014</v>
      </c>
      <c r="G22" s="1995">
        <f t="shared" si="1"/>
        <v>39.950000000000003</v>
      </c>
      <c r="H22" s="1995">
        <f t="shared" si="1"/>
        <v>236.60200000000003</v>
      </c>
      <c r="I22" s="1995">
        <f t="shared" si="1"/>
        <v>8.5649999999999995</v>
      </c>
      <c r="J22" s="1995">
        <f t="shared" si="1"/>
        <v>1.069</v>
      </c>
      <c r="K22" s="1995">
        <f t="shared" si="1"/>
        <v>29.047999999999998</v>
      </c>
      <c r="L22" s="1995">
        <f t="shared" si="1"/>
        <v>316.88799999999998</v>
      </c>
      <c r="M22" s="1995">
        <f t="shared" si="1"/>
        <v>6.3019999999999996</v>
      </c>
      <c r="N22" s="1995">
        <f t="shared" si="1"/>
        <v>584.69999999999993</v>
      </c>
      <c r="O22" s="1995">
        <f t="shared" si="1"/>
        <v>3.2949999999999999</v>
      </c>
      <c r="P22" s="1995">
        <f t="shared" si="1"/>
        <v>16.013465</v>
      </c>
      <c r="Q22" s="1995">
        <f t="shared" si="1"/>
        <v>19.713000000000001</v>
      </c>
      <c r="R22" s="1978">
        <f t="shared" si="0"/>
        <v>1329.023465</v>
      </c>
      <c r="S22" s="1951"/>
      <c r="Z22" s="1985"/>
      <c r="AA22" s="1942"/>
      <c r="AC22" s="1997"/>
    </row>
    <row r="23" spans="1:29">
      <c r="A23" s="1951"/>
      <c r="B23" s="2073"/>
      <c r="C23" s="2073"/>
      <c r="D23" s="2073"/>
      <c r="E23" s="1985"/>
      <c r="F23" s="2004"/>
      <c r="G23" s="1985"/>
      <c r="H23" s="1985"/>
      <c r="I23" s="1985"/>
      <c r="J23" s="1985"/>
      <c r="K23" s="1985"/>
      <c r="L23" s="1985"/>
      <c r="M23" s="1985"/>
      <c r="N23" s="1985"/>
      <c r="O23" s="1985"/>
      <c r="P23" s="1985"/>
      <c r="Q23" s="1985"/>
      <c r="R23" s="1985"/>
      <c r="S23" s="2004"/>
      <c r="T23" s="1951"/>
      <c r="U23" s="1985"/>
      <c r="V23" s="1985"/>
      <c r="W23" s="1985"/>
      <c r="X23" s="1985"/>
      <c r="Y23" s="1985"/>
      <c r="Z23" s="2004"/>
      <c r="AA23" s="2004"/>
    </row>
    <row r="24" spans="1:29">
      <c r="A24" s="1951"/>
      <c r="B24" s="2073"/>
      <c r="C24" s="2073"/>
      <c r="D24" s="2073"/>
      <c r="E24" s="1985"/>
      <c r="F24" s="2004"/>
      <c r="G24" s="1985"/>
      <c r="H24" s="1985"/>
      <c r="I24" s="1985"/>
      <c r="J24" s="1985"/>
      <c r="K24" s="1985"/>
      <c r="L24" s="1985"/>
      <c r="M24" s="1985"/>
      <c r="N24" s="1985"/>
      <c r="O24" s="1985"/>
      <c r="P24" s="1985"/>
      <c r="Q24" s="1985"/>
      <c r="R24" s="1985"/>
      <c r="S24" s="2004"/>
      <c r="T24" s="1951"/>
      <c r="U24" s="1985"/>
      <c r="V24" s="1985"/>
      <c r="W24" s="1985"/>
      <c r="X24" s="1985"/>
      <c r="Y24" s="1985"/>
      <c r="Z24" s="2004"/>
      <c r="AA24" s="2004"/>
    </row>
    <row r="25" spans="1:29" ht="16.5" thickBot="1">
      <c r="A25" s="1951"/>
      <c r="B25" s="2073"/>
      <c r="C25" s="2073"/>
      <c r="D25" s="2073"/>
      <c r="E25" s="1985"/>
      <c r="F25" s="2004"/>
      <c r="G25" s="1985"/>
      <c r="H25" s="1985"/>
      <c r="I25" s="1985"/>
      <c r="J25" s="1985"/>
      <c r="K25" s="1985"/>
      <c r="L25" s="1985"/>
      <c r="M25" s="1985"/>
      <c r="N25" s="1985"/>
      <c r="O25" s="1985"/>
      <c r="P25" s="1985"/>
      <c r="Q25" s="1985"/>
      <c r="R25" s="1985"/>
      <c r="S25" s="2004"/>
      <c r="T25" s="1951"/>
      <c r="U25" s="1985"/>
      <c r="V25" s="1985"/>
      <c r="W25" s="1985"/>
      <c r="X25" s="1985"/>
      <c r="Y25" s="1985"/>
      <c r="Z25" s="2004"/>
      <c r="AA25" s="2004"/>
    </row>
    <row r="26" spans="1:29" ht="16.5" thickBot="1">
      <c r="A26" s="1951"/>
      <c r="B26" s="1949"/>
      <c r="C26" s="2005"/>
      <c r="D26" s="2049"/>
      <c r="E26" s="2590" t="s">
        <v>822</v>
      </c>
      <c r="F26" s="2591"/>
      <c r="G26" s="2591"/>
      <c r="H26" s="2591"/>
      <c r="I26" s="2591"/>
      <c r="J26" s="2592"/>
      <c r="K26" s="1985"/>
      <c r="L26" s="1985"/>
      <c r="M26" s="1985"/>
      <c r="N26" s="1985"/>
      <c r="O26" s="1985"/>
      <c r="P26" s="1985"/>
      <c r="Q26" s="1985"/>
      <c r="R26" s="1985"/>
      <c r="S26" s="2004"/>
      <c r="T26" s="1951"/>
      <c r="U26" s="1985"/>
      <c r="V26" s="1985"/>
      <c r="W26" s="1985"/>
      <c r="X26" s="1985"/>
      <c r="Y26" s="1985"/>
      <c r="Z26" s="2004"/>
      <c r="AA26" s="2004"/>
    </row>
    <row r="27" spans="1:29" ht="16.5" thickBot="1">
      <c r="A27" s="1951"/>
      <c r="B27" s="1972" t="s">
        <v>328</v>
      </c>
      <c r="C27" s="1946"/>
      <c r="D27" s="1973"/>
      <c r="E27" s="1958" t="s">
        <v>809</v>
      </c>
      <c r="F27" s="1959" t="s">
        <v>808</v>
      </c>
      <c r="G27" s="1959" t="s">
        <v>807</v>
      </c>
      <c r="H27" s="1959" t="s">
        <v>806</v>
      </c>
      <c r="I27" s="1960" t="s">
        <v>1010</v>
      </c>
      <c r="J27" s="1957" t="s">
        <v>805</v>
      </c>
      <c r="K27" s="1985"/>
      <c r="L27" s="1985"/>
      <c r="M27" s="1985"/>
      <c r="N27" s="1985"/>
      <c r="O27" s="1985"/>
      <c r="P27" s="1985"/>
      <c r="Q27" s="1985"/>
      <c r="R27" s="1985"/>
      <c r="S27" s="2004"/>
      <c r="T27" s="1951"/>
      <c r="U27" s="1985"/>
      <c r="V27" s="1985"/>
      <c r="W27" s="1985"/>
      <c r="X27" s="1985"/>
      <c r="Y27" s="1985"/>
      <c r="Z27" s="2004"/>
      <c r="AA27" s="2004"/>
    </row>
    <row r="28" spans="1:29">
      <c r="A28" s="1951"/>
      <c r="B28" s="2052" t="s">
        <v>760</v>
      </c>
      <c r="C28" s="1961"/>
      <c r="D28" s="1961"/>
      <c r="E28" s="1963" t="s">
        <v>795</v>
      </c>
      <c r="F28" s="1964" t="s">
        <v>794</v>
      </c>
      <c r="G28" s="1964" t="s">
        <v>793</v>
      </c>
      <c r="H28" s="1964" t="s">
        <v>793</v>
      </c>
      <c r="I28" s="1964" t="s">
        <v>793</v>
      </c>
      <c r="J28" s="1967"/>
      <c r="K28" s="1985"/>
      <c r="L28" s="1985"/>
      <c r="M28" s="1985"/>
      <c r="N28" s="1985"/>
      <c r="O28" s="1985"/>
      <c r="P28" s="1985"/>
      <c r="Q28" s="1985"/>
      <c r="R28" s="1985"/>
      <c r="S28" s="2004"/>
      <c r="T28" s="1951"/>
      <c r="U28" s="1985"/>
      <c r="V28" s="1985"/>
      <c r="W28" s="1985"/>
      <c r="X28" s="1985"/>
      <c r="Y28" s="1985"/>
      <c r="Z28" s="2004"/>
      <c r="AA28" s="2004"/>
    </row>
    <row r="29" spans="1:29">
      <c r="A29" s="1951"/>
      <c r="B29" s="2054" t="s">
        <v>468</v>
      </c>
      <c r="C29" s="1968"/>
      <c r="D29" s="1968"/>
      <c r="E29" s="1970" t="s">
        <v>789</v>
      </c>
      <c r="F29" s="1966" t="s">
        <v>789</v>
      </c>
      <c r="G29" s="1966" t="s">
        <v>789</v>
      </c>
      <c r="H29" s="1966" t="s">
        <v>789</v>
      </c>
      <c r="I29" s="1966" t="s">
        <v>789</v>
      </c>
      <c r="J29" s="1967" t="s">
        <v>788</v>
      </c>
      <c r="K29" s="1985"/>
      <c r="L29" s="1985"/>
      <c r="M29" s="1985"/>
      <c r="N29" s="1985"/>
      <c r="O29" s="1985"/>
      <c r="P29" s="1985"/>
      <c r="Q29" s="1985"/>
      <c r="R29" s="1985"/>
      <c r="S29" s="2004"/>
      <c r="T29" s="1951"/>
      <c r="U29" s="1985"/>
      <c r="V29" s="1985"/>
      <c r="W29" s="1985"/>
      <c r="X29" s="1985"/>
      <c r="Y29" s="1985"/>
      <c r="Z29" s="2004"/>
      <c r="AA29" s="2004"/>
    </row>
    <row r="30" spans="1:29" ht="16.5" customHeight="1" thickBot="1">
      <c r="A30" s="1951"/>
      <c r="B30" s="2056" t="s">
        <v>752</v>
      </c>
      <c r="C30" s="2057" t="s">
        <v>825</v>
      </c>
      <c r="D30" s="2057" t="s">
        <v>824</v>
      </c>
      <c r="E30" s="1975" t="s">
        <v>776</v>
      </c>
      <c r="F30" s="1976" t="s">
        <v>775</v>
      </c>
      <c r="G30" s="1976" t="s">
        <v>774</v>
      </c>
      <c r="H30" s="1976" t="s">
        <v>773</v>
      </c>
      <c r="I30" s="1976" t="s">
        <v>1012</v>
      </c>
      <c r="J30" s="1978"/>
      <c r="K30" s="1985"/>
      <c r="L30" s="1985"/>
      <c r="M30" s="1985"/>
      <c r="N30" s="1985"/>
      <c r="O30" s="1985"/>
      <c r="P30" s="1985"/>
      <c r="Q30" s="1985"/>
      <c r="R30" s="1985"/>
      <c r="S30" s="2004"/>
      <c r="T30" s="1951"/>
      <c r="U30" s="1985"/>
      <c r="V30" s="1985"/>
      <c r="W30" s="1985"/>
      <c r="X30" s="1985"/>
      <c r="Y30" s="1985"/>
      <c r="Z30" s="2004"/>
      <c r="AA30" s="2004"/>
    </row>
    <row r="31" spans="1:29">
      <c r="A31" s="1951"/>
      <c r="B31" s="2058" t="s">
        <v>147</v>
      </c>
      <c r="C31" s="2068">
        <f t="shared" ref="C31:D42" si="2">C10</f>
        <v>14</v>
      </c>
      <c r="D31" s="2069">
        <f t="shared" si="2"/>
        <v>18</v>
      </c>
      <c r="E31" s="1984">
        <v>411.46</v>
      </c>
      <c r="F31" s="1980">
        <v>114.16800000000001</v>
      </c>
      <c r="G31" s="1980">
        <v>65.251000000000005</v>
      </c>
      <c r="H31" s="1980">
        <v>350</v>
      </c>
      <c r="I31" s="1980">
        <v>0</v>
      </c>
      <c r="J31" s="1983">
        <f t="shared" ref="J31:J42" si="3">SUM(E31:I31)</f>
        <v>940.87899999999991</v>
      </c>
      <c r="K31" s="1985"/>
      <c r="L31" s="1985"/>
      <c r="M31" s="1985"/>
      <c r="N31" s="1985"/>
      <c r="O31" s="1985"/>
      <c r="P31" s="1985"/>
      <c r="Q31" s="1985"/>
      <c r="R31" s="1985"/>
      <c r="S31" s="2004"/>
      <c r="T31" s="1951"/>
      <c r="U31" s="1985"/>
      <c r="V31" s="1985"/>
      <c r="W31" s="1985"/>
      <c r="X31" s="1985"/>
      <c r="Y31" s="1985"/>
      <c r="Z31" s="2004"/>
      <c r="AA31" s="2004"/>
    </row>
    <row r="32" spans="1:29">
      <c r="A32" s="1951"/>
      <c r="B32" s="2058" t="s">
        <v>148</v>
      </c>
      <c r="C32" s="2068">
        <f t="shared" si="2"/>
        <v>11</v>
      </c>
      <c r="D32" s="2069">
        <f t="shared" si="2"/>
        <v>8</v>
      </c>
      <c r="E32" s="1984">
        <v>306.80799999999999</v>
      </c>
      <c r="F32" s="1980">
        <v>78.391999999999996</v>
      </c>
      <c r="G32" s="1980">
        <v>77.653999999999996</v>
      </c>
      <c r="H32" s="1980">
        <v>335</v>
      </c>
      <c r="I32" s="1980">
        <v>0</v>
      </c>
      <c r="J32" s="1983">
        <f t="shared" si="3"/>
        <v>797.85400000000004</v>
      </c>
      <c r="K32" s="1985"/>
      <c r="L32" s="1985"/>
      <c r="M32" s="1985"/>
      <c r="N32" s="1985"/>
      <c r="O32" s="1985"/>
      <c r="P32" s="1985"/>
      <c r="Q32" s="1985"/>
      <c r="R32" s="1985"/>
      <c r="S32" s="2004"/>
      <c r="T32" s="1951"/>
      <c r="U32" s="1985"/>
      <c r="V32" s="1985"/>
      <c r="W32" s="1985"/>
      <c r="X32" s="1985"/>
      <c r="Y32" s="1985"/>
      <c r="Z32" s="2004"/>
      <c r="AA32" s="2004"/>
    </row>
    <row r="33" spans="1:27">
      <c r="A33" s="1951"/>
      <c r="B33" s="2058" t="s">
        <v>352</v>
      </c>
      <c r="C33" s="2068">
        <f t="shared" si="2"/>
        <v>4</v>
      </c>
      <c r="D33" s="2069">
        <f t="shared" si="2"/>
        <v>8</v>
      </c>
      <c r="E33" s="1984">
        <v>279.815</v>
      </c>
      <c r="F33" s="1980">
        <v>69.703999999999994</v>
      </c>
      <c r="G33" s="1980">
        <v>87.484999999999999</v>
      </c>
      <c r="H33" s="1980">
        <v>304</v>
      </c>
      <c r="I33" s="1980">
        <v>0</v>
      </c>
      <c r="J33" s="1983">
        <f t="shared" si="3"/>
        <v>741.00400000000002</v>
      </c>
      <c r="K33" s="1985"/>
      <c r="L33" s="1985"/>
      <c r="M33" s="1985"/>
      <c r="N33" s="1985"/>
      <c r="O33" s="1985"/>
      <c r="P33" s="1985"/>
      <c r="Q33" s="1985"/>
      <c r="R33" s="1985"/>
      <c r="S33" s="2004"/>
      <c r="T33" s="1951"/>
      <c r="U33" s="1985"/>
      <c r="V33" s="1985"/>
      <c r="W33" s="1985"/>
      <c r="X33" s="1985"/>
      <c r="Y33" s="1985"/>
      <c r="Z33" s="2004"/>
      <c r="AA33" s="2004"/>
    </row>
    <row r="34" spans="1:27">
      <c r="A34" s="1951"/>
      <c r="B34" s="2058" t="s">
        <v>143</v>
      </c>
      <c r="C34" s="2068">
        <f t="shared" si="2"/>
        <v>9</v>
      </c>
      <c r="D34" s="2069">
        <f t="shared" si="2"/>
        <v>8</v>
      </c>
      <c r="E34" s="1984">
        <v>305.05</v>
      </c>
      <c r="F34" s="1980">
        <v>69.986999999999995</v>
      </c>
      <c r="G34" s="1980">
        <v>53.594999999999999</v>
      </c>
      <c r="H34" s="1980">
        <v>277</v>
      </c>
      <c r="I34" s="1980">
        <v>0</v>
      </c>
      <c r="J34" s="1983">
        <f t="shared" si="3"/>
        <v>705.63200000000006</v>
      </c>
      <c r="K34" s="1985"/>
      <c r="L34" s="1985"/>
      <c r="M34" s="1985"/>
      <c r="N34" s="1985"/>
      <c r="O34" s="1985"/>
      <c r="P34" s="1985"/>
      <c r="Q34" s="1985"/>
      <c r="R34" s="1985"/>
      <c r="S34" s="2004"/>
      <c r="T34" s="1951"/>
      <c r="U34" s="1985"/>
      <c r="V34" s="1985"/>
      <c r="W34" s="1985"/>
      <c r="X34" s="1985"/>
      <c r="Y34" s="1985"/>
      <c r="Z34" s="2004"/>
      <c r="AA34" s="2004"/>
    </row>
    <row r="35" spans="1:27">
      <c r="A35" s="1951"/>
      <c r="B35" s="2058" t="s">
        <v>144</v>
      </c>
      <c r="C35" s="2068">
        <f t="shared" si="2"/>
        <v>14</v>
      </c>
      <c r="D35" s="2069">
        <f t="shared" si="2"/>
        <v>16</v>
      </c>
      <c r="E35" s="1984">
        <v>363.53</v>
      </c>
      <c r="F35" s="1980">
        <v>109.46899999999999</v>
      </c>
      <c r="G35" s="1980">
        <v>95.281000000000006</v>
      </c>
      <c r="H35" s="1980">
        <v>368</v>
      </c>
      <c r="I35" s="1980">
        <v>0</v>
      </c>
      <c r="J35" s="1983">
        <f t="shared" si="3"/>
        <v>936.28</v>
      </c>
      <c r="K35" s="1985"/>
      <c r="L35" s="1985"/>
      <c r="M35" s="1985"/>
      <c r="N35" s="1985"/>
      <c r="O35" s="1985"/>
      <c r="P35" s="1985"/>
      <c r="Q35" s="1985"/>
      <c r="R35" s="1985"/>
      <c r="S35" s="2004"/>
      <c r="T35" s="1951"/>
      <c r="U35" s="1985"/>
      <c r="V35" s="1985"/>
      <c r="W35" s="1985"/>
      <c r="X35" s="1985"/>
      <c r="Y35" s="1985"/>
      <c r="Z35" s="2004"/>
      <c r="AA35" s="2004"/>
    </row>
    <row r="36" spans="1:27">
      <c r="A36" s="1951"/>
      <c r="B36" s="2058" t="s">
        <v>151</v>
      </c>
      <c r="C36" s="2068">
        <f t="shared" si="2"/>
        <v>28</v>
      </c>
      <c r="D36" s="2069">
        <f t="shared" si="2"/>
        <v>16</v>
      </c>
      <c r="E36" s="1984">
        <v>607.00599999999997</v>
      </c>
      <c r="F36" s="1980">
        <v>183.64400000000001</v>
      </c>
      <c r="G36" s="1980">
        <v>129.155</v>
      </c>
      <c r="H36" s="1980">
        <v>302</v>
      </c>
      <c r="I36" s="1980">
        <v>0</v>
      </c>
      <c r="J36" s="1983">
        <f t="shared" si="3"/>
        <v>1221.8049999999998</v>
      </c>
      <c r="K36" s="1985"/>
      <c r="L36" s="1985"/>
      <c r="M36" s="1985"/>
      <c r="N36" s="1985"/>
      <c r="O36" s="1985"/>
      <c r="P36" s="1985"/>
      <c r="Q36" s="1985"/>
      <c r="R36" s="1985"/>
      <c r="S36" s="2004"/>
      <c r="T36" s="1951"/>
      <c r="U36" s="1985"/>
      <c r="V36" s="1985"/>
      <c r="W36" s="1985"/>
      <c r="X36" s="1985"/>
      <c r="Y36" s="1985"/>
      <c r="Z36" s="2004"/>
      <c r="AA36" s="2004"/>
    </row>
    <row r="37" spans="1:27">
      <c r="A37" s="1951"/>
      <c r="B37" s="2058" t="s">
        <v>744</v>
      </c>
      <c r="C37" s="2068">
        <f t="shared" si="2"/>
        <v>1</v>
      </c>
      <c r="D37" s="2069">
        <f t="shared" si="2"/>
        <v>16</v>
      </c>
      <c r="E37" s="1984">
        <v>631.75400000000002</v>
      </c>
      <c r="F37" s="1980">
        <v>186.346</v>
      </c>
      <c r="G37" s="1980">
        <v>134.66999999999999</v>
      </c>
      <c r="H37" s="1980">
        <v>325</v>
      </c>
      <c r="I37" s="1980">
        <v>0</v>
      </c>
      <c r="J37" s="1983">
        <f t="shared" si="3"/>
        <v>1277.77</v>
      </c>
      <c r="K37" s="1985"/>
      <c r="L37" s="1985"/>
      <c r="M37" s="1985"/>
      <c r="N37" s="1985"/>
      <c r="O37" s="1985"/>
      <c r="P37" s="1985"/>
      <c r="Q37" s="1985"/>
      <c r="R37" s="1985"/>
      <c r="S37" s="2004"/>
      <c r="T37" s="1951"/>
      <c r="U37" s="1985"/>
      <c r="V37" s="1985"/>
      <c r="W37" s="1985"/>
      <c r="X37" s="1985"/>
      <c r="Y37" s="1985"/>
      <c r="Z37" s="2004"/>
      <c r="AA37" s="2004"/>
    </row>
    <row r="38" spans="1:27">
      <c r="A38" s="1951"/>
      <c r="B38" s="2058" t="s">
        <v>153</v>
      </c>
      <c r="C38" s="2068">
        <f t="shared" si="2"/>
        <v>19</v>
      </c>
      <c r="D38" s="2069">
        <f t="shared" si="2"/>
        <v>15</v>
      </c>
      <c r="E38" s="1984">
        <v>549.91300000000001</v>
      </c>
      <c r="F38" s="1980">
        <v>172.41</v>
      </c>
      <c r="G38" s="1980">
        <v>76.816000000000003</v>
      </c>
      <c r="H38" s="1980">
        <v>349</v>
      </c>
      <c r="I38" s="1980">
        <v>0</v>
      </c>
      <c r="J38" s="1983">
        <f t="shared" si="3"/>
        <v>1148.1390000000001</v>
      </c>
      <c r="K38" s="1985"/>
      <c r="L38" s="1985"/>
      <c r="M38" s="1985"/>
      <c r="N38" s="1985"/>
      <c r="O38" s="1985"/>
      <c r="P38" s="1985"/>
      <c r="Q38" s="1985"/>
      <c r="R38" s="1985"/>
      <c r="S38" s="2004"/>
      <c r="T38" s="1951"/>
      <c r="U38" s="1985"/>
      <c r="V38" s="1985"/>
      <c r="W38" s="1985"/>
      <c r="X38" s="1985"/>
      <c r="Y38" s="1985"/>
      <c r="Z38" s="2004"/>
      <c r="AA38" s="2004"/>
    </row>
    <row r="39" spans="1:27">
      <c r="A39" s="1951"/>
      <c r="B39" s="2058" t="s">
        <v>743</v>
      </c>
      <c r="C39" s="2068">
        <f t="shared" si="2"/>
        <v>5</v>
      </c>
      <c r="D39" s="2069">
        <f t="shared" si="2"/>
        <v>16</v>
      </c>
      <c r="E39" s="1984">
        <v>572.35699999999997</v>
      </c>
      <c r="F39" s="1980">
        <v>154.76400000000001</v>
      </c>
      <c r="G39" s="1980">
        <v>83.466999999999999</v>
      </c>
      <c r="H39" s="1980">
        <v>313</v>
      </c>
      <c r="I39" s="1980">
        <v>0</v>
      </c>
      <c r="J39" s="1983">
        <f t="shared" si="3"/>
        <v>1123.588</v>
      </c>
      <c r="K39" s="1985"/>
      <c r="L39" s="1985"/>
      <c r="M39" s="1985"/>
      <c r="N39" s="1985"/>
      <c r="O39" s="1985"/>
      <c r="P39" s="1985"/>
      <c r="Q39" s="1985"/>
      <c r="R39" s="1985"/>
      <c r="S39" s="2004"/>
      <c r="T39" s="1951"/>
      <c r="U39" s="1985"/>
      <c r="V39" s="1985"/>
      <c r="W39" s="1985"/>
      <c r="X39" s="1985"/>
      <c r="Y39" s="1985"/>
      <c r="Z39" s="2004"/>
      <c r="AA39" s="2004"/>
    </row>
    <row r="40" spans="1:27">
      <c r="A40" s="1951"/>
      <c r="B40" s="2058" t="s">
        <v>155</v>
      </c>
      <c r="C40" s="2068">
        <f t="shared" si="2"/>
        <v>30</v>
      </c>
      <c r="D40" s="2069">
        <f t="shared" si="2"/>
        <v>8</v>
      </c>
      <c r="E40" s="1984">
        <v>340.71299999999997</v>
      </c>
      <c r="F40" s="1980">
        <v>56.835000000000001</v>
      </c>
      <c r="G40" s="1980">
        <v>79.375</v>
      </c>
      <c r="H40" s="1980">
        <v>228</v>
      </c>
      <c r="I40" s="1980">
        <v>0</v>
      </c>
      <c r="J40" s="1983">
        <f t="shared" si="3"/>
        <v>704.923</v>
      </c>
      <c r="K40" s="1985"/>
      <c r="L40" s="1985"/>
      <c r="M40" s="1985"/>
      <c r="N40" s="1985"/>
      <c r="O40" s="1985"/>
      <c r="P40" s="1985"/>
      <c r="Q40" s="1985"/>
      <c r="R40" s="1985"/>
      <c r="S40" s="2004"/>
      <c r="T40" s="1951"/>
      <c r="U40" s="1985"/>
      <c r="V40" s="1985"/>
      <c r="W40" s="1985"/>
      <c r="X40" s="1985"/>
      <c r="Y40" s="1985"/>
      <c r="Z40" s="2004"/>
      <c r="AA40" s="2004"/>
    </row>
    <row r="41" spans="1:27">
      <c r="A41" s="1951"/>
      <c r="B41" s="2058" t="s">
        <v>156</v>
      </c>
      <c r="C41" s="2068">
        <f t="shared" si="2"/>
        <v>21</v>
      </c>
      <c r="D41" s="2069">
        <f t="shared" si="2"/>
        <v>18</v>
      </c>
      <c r="E41" s="1984">
        <v>354.60500000000002</v>
      </c>
      <c r="F41" s="1980">
        <v>81.143000000000001</v>
      </c>
      <c r="G41" s="1980">
        <v>73.555000000000007</v>
      </c>
      <c r="H41" s="1980">
        <v>320</v>
      </c>
      <c r="I41" s="1980">
        <v>0</v>
      </c>
      <c r="J41" s="1983">
        <f t="shared" si="3"/>
        <v>829.30300000000011</v>
      </c>
      <c r="K41" s="1985"/>
      <c r="L41" s="1985"/>
      <c r="M41" s="1985"/>
      <c r="N41" s="1985"/>
      <c r="O41" s="1985"/>
      <c r="P41" s="1985"/>
      <c r="Q41" s="1985"/>
      <c r="R41" s="1985"/>
      <c r="S41" s="2004"/>
      <c r="T41" s="1951"/>
      <c r="U41" s="1985"/>
      <c r="V41" s="1985"/>
      <c r="W41" s="1985"/>
      <c r="X41" s="1985"/>
      <c r="Y41" s="1985"/>
      <c r="Z41" s="2004"/>
      <c r="AA41" s="2004"/>
    </row>
    <row r="42" spans="1:27" ht="16.5" thickBot="1">
      <c r="A42" s="1951"/>
      <c r="B42" s="2058" t="s">
        <v>157</v>
      </c>
      <c r="C42" s="2068">
        <f t="shared" si="2"/>
        <v>9</v>
      </c>
      <c r="D42" s="2069">
        <f t="shared" si="2"/>
        <v>18</v>
      </c>
      <c r="E42" s="1990">
        <v>437.95299999999997</v>
      </c>
      <c r="F42" s="1987">
        <v>106.331</v>
      </c>
      <c r="G42" s="1987">
        <v>109.372</v>
      </c>
      <c r="H42" s="1987">
        <v>343</v>
      </c>
      <c r="I42" s="1991">
        <v>0</v>
      </c>
      <c r="J42" s="1978">
        <f t="shared" si="3"/>
        <v>996.65599999999995</v>
      </c>
      <c r="K42" s="1985"/>
      <c r="L42" s="1985"/>
      <c r="M42" s="1985"/>
      <c r="N42" s="1985"/>
      <c r="O42" s="1985"/>
      <c r="P42" s="1985"/>
      <c r="Q42" s="1985"/>
      <c r="R42" s="1985"/>
      <c r="S42" s="2004"/>
      <c r="T42" s="1951"/>
      <c r="U42" s="1985"/>
      <c r="V42" s="1985"/>
      <c r="W42" s="1985"/>
      <c r="X42" s="1985"/>
      <c r="Y42" s="1985"/>
      <c r="Z42" s="2004"/>
      <c r="AA42" s="2004"/>
    </row>
    <row r="43" spans="1:27" ht="16.5" thickBot="1">
      <c r="A43" s="1951"/>
      <c r="B43" s="2062" t="s">
        <v>282</v>
      </c>
      <c r="C43" s="2063"/>
      <c r="D43" s="2064"/>
      <c r="E43" s="1996">
        <f t="shared" ref="E43:J43" si="4">SUM(E31:E42)</f>
        <v>5160.9639999999999</v>
      </c>
      <c r="F43" s="1995">
        <f t="shared" si="4"/>
        <v>1383.193</v>
      </c>
      <c r="G43" s="1995">
        <f t="shared" si="4"/>
        <v>1065.6760000000002</v>
      </c>
      <c r="H43" s="1995">
        <f t="shared" si="4"/>
        <v>3814</v>
      </c>
      <c r="I43" s="1995">
        <f t="shared" si="4"/>
        <v>0</v>
      </c>
      <c r="J43" s="1978">
        <f t="shared" si="4"/>
        <v>11423.833000000002</v>
      </c>
      <c r="K43" s="1985"/>
      <c r="L43" s="1985"/>
      <c r="M43" s="1985"/>
      <c r="N43" s="1985"/>
      <c r="O43" s="1985"/>
      <c r="P43" s="1985"/>
      <c r="Q43" s="1985"/>
      <c r="R43" s="1985"/>
      <c r="S43" s="2004"/>
      <c r="T43" s="1951"/>
      <c r="U43" s="1985"/>
      <c r="V43" s="1985"/>
      <c r="W43" s="1985"/>
      <c r="X43" s="1985"/>
      <c r="Y43" s="1985"/>
      <c r="Z43" s="2004"/>
      <c r="AA43" s="2004"/>
    </row>
    <row r="49" spans="19:21">
      <c r="S49" s="2039"/>
      <c r="U49" s="2040"/>
    </row>
    <row r="50" spans="19:21">
      <c r="S50" s="2039"/>
    </row>
    <row r="52" spans="19:21">
      <c r="S52" s="1997"/>
    </row>
    <row r="53" spans="19:21">
      <c r="S53" s="2040"/>
    </row>
  </sheetData>
  <mergeCells count="2">
    <mergeCell ref="E26:J26"/>
    <mergeCell ref="E5:R5"/>
  </mergeCells>
  <pageMargins left="0.7" right="0.7" top="0.75" bottom="0.75" header="0.3" footer="0.3"/>
  <pageSetup scale="5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zoomScale="85" zoomScaleNormal="85" workbookViewId="0">
      <selection activeCell="Q30" sqref="Q30"/>
    </sheetView>
  </sheetViews>
  <sheetFormatPr defaultRowHeight="15.75"/>
  <cols>
    <col min="1" max="1" width="4.7109375" style="1942" customWidth="1"/>
    <col min="2" max="2" width="14.28515625" style="1942" customWidth="1"/>
    <col min="3" max="4" width="6" style="1942" customWidth="1"/>
    <col min="5" max="25" width="11.28515625" style="1942" customWidth="1"/>
    <col min="26" max="26" width="11.28515625" style="1951" customWidth="1"/>
    <col min="27" max="27" width="2.140625" style="1942" customWidth="1"/>
    <col min="28" max="30" width="11.85546875" style="1942" customWidth="1"/>
    <col min="31" max="31" width="1.5703125" style="1942" customWidth="1"/>
    <col min="32" max="16384" width="9.140625" style="1942"/>
  </cols>
  <sheetData>
    <row r="1" spans="1:29" ht="16.5" customHeight="1">
      <c r="A1" s="1938"/>
      <c r="B1" s="1939" t="s">
        <v>365</v>
      </c>
      <c r="C1" s="1940"/>
      <c r="D1" s="1940"/>
      <c r="E1" s="1940"/>
      <c r="F1" s="1940"/>
      <c r="G1" s="1940"/>
      <c r="H1" s="1940"/>
      <c r="I1" s="1941"/>
      <c r="J1" s="1941"/>
      <c r="K1" s="1941"/>
      <c r="L1" s="1941"/>
      <c r="M1" s="1941"/>
      <c r="N1" s="1941"/>
      <c r="O1" s="1941"/>
      <c r="P1" s="1941"/>
      <c r="Q1" s="1941"/>
      <c r="R1" s="1941"/>
      <c r="S1" s="1941"/>
      <c r="T1" s="1941"/>
      <c r="U1" s="1941"/>
      <c r="V1" s="1941"/>
      <c r="W1" s="1941"/>
      <c r="X1" s="1941"/>
      <c r="Y1" s="1941"/>
      <c r="Z1" s="1940"/>
      <c r="AA1" s="1941"/>
      <c r="AB1" s="1941"/>
    </row>
    <row r="2" spans="1:29" ht="16.5" customHeight="1">
      <c r="A2" s="1943"/>
      <c r="B2" s="1939" t="s">
        <v>1067</v>
      </c>
      <c r="C2" s="1939"/>
      <c r="D2" s="1939"/>
      <c r="E2" s="1584"/>
      <c r="F2" s="1584"/>
      <c r="G2" s="1584"/>
      <c r="H2" s="1584"/>
      <c r="I2" s="1584"/>
      <c r="J2" s="1944"/>
      <c r="K2" s="1941"/>
      <c r="L2" s="1941"/>
      <c r="M2" s="1941"/>
      <c r="N2" s="1941"/>
      <c r="O2" s="1941"/>
      <c r="P2" s="1941"/>
      <c r="Q2" s="1941"/>
      <c r="R2" s="1941"/>
      <c r="S2" s="1941"/>
      <c r="T2" s="1941"/>
      <c r="U2" s="1941"/>
      <c r="V2" s="1941"/>
      <c r="W2" s="1941"/>
      <c r="X2" s="1941"/>
      <c r="Y2" s="1941"/>
      <c r="Z2" s="1940"/>
      <c r="AA2" s="1941"/>
      <c r="AB2" s="1941"/>
    </row>
    <row r="3" spans="1:29" ht="16.5" customHeight="1">
      <c r="A3" s="1938"/>
      <c r="B3" s="2480"/>
      <c r="C3" s="1939"/>
      <c r="D3" s="1939"/>
      <c r="E3" s="1584"/>
      <c r="F3" s="1584"/>
      <c r="G3" s="1584"/>
      <c r="H3" s="1584"/>
      <c r="I3" s="1584"/>
      <c r="J3" s="1944"/>
      <c r="K3" s="1941"/>
      <c r="L3" s="1941"/>
      <c r="M3" s="1941"/>
      <c r="N3" s="2074">
        <v>2015</v>
      </c>
      <c r="O3" s="1941"/>
      <c r="P3" s="1941"/>
      <c r="Q3" s="1941"/>
      <c r="R3" s="1941"/>
      <c r="S3" s="1941"/>
      <c r="T3" s="1951"/>
      <c r="U3" s="1941"/>
      <c r="V3" s="1941"/>
      <c r="W3" s="1941"/>
      <c r="X3" s="1941"/>
      <c r="Y3" s="1941"/>
      <c r="Z3" s="1940"/>
      <c r="AA3" s="1941"/>
      <c r="AB3" s="1941"/>
    </row>
    <row r="4" spans="1:29" ht="16.5" customHeight="1" thickBot="1">
      <c r="C4" s="1946"/>
      <c r="D4" s="1946"/>
      <c r="T4" s="1951"/>
      <c r="U4" s="1947"/>
      <c r="V4" s="1947"/>
      <c r="W4" s="1947"/>
      <c r="X4" s="1947"/>
      <c r="Y4" s="1947"/>
      <c r="Z4" s="1938"/>
    </row>
    <row r="5" spans="1:29" ht="16.5" customHeight="1" thickBot="1">
      <c r="B5" s="1949"/>
      <c r="C5" s="1950"/>
      <c r="D5" s="1950"/>
      <c r="E5" s="2590" t="s">
        <v>823</v>
      </c>
      <c r="F5" s="2591"/>
      <c r="G5" s="2591"/>
      <c r="H5" s="2591"/>
      <c r="I5" s="2591"/>
      <c r="J5" s="2591"/>
      <c r="K5" s="2591"/>
      <c r="L5" s="2591"/>
      <c r="M5" s="2591"/>
      <c r="N5" s="2591"/>
      <c r="O5" s="2591"/>
      <c r="P5" s="2591"/>
      <c r="Q5" s="2591"/>
      <c r="R5" s="2591"/>
      <c r="S5" s="2592"/>
      <c r="T5" s="1951"/>
      <c r="U5" s="2590" t="s">
        <v>822</v>
      </c>
      <c r="V5" s="2591"/>
      <c r="W5" s="2591"/>
      <c r="X5" s="2591"/>
      <c r="Y5" s="2591"/>
      <c r="Z5" s="2592"/>
      <c r="AA5" s="1952"/>
      <c r="AB5" s="1951"/>
      <c r="AC5" s="1951"/>
    </row>
    <row r="6" spans="1:29"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1830</v>
      </c>
      <c r="S6" s="1957" t="s">
        <v>397</v>
      </c>
      <c r="T6" s="1951"/>
      <c r="U6" s="1958" t="s">
        <v>809</v>
      </c>
      <c r="V6" s="1959" t="s">
        <v>808</v>
      </c>
      <c r="W6" s="1959" t="s">
        <v>807</v>
      </c>
      <c r="X6" s="1959" t="s">
        <v>806</v>
      </c>
      <c r="Y6" s="1960" t="s">
        <v>1010</v>
      </c>
      <c r="Z6" s="1957" t="s">
        <v>805</v>
      </c>
      <c r="AA6" s="1952"/>
      <c r="AB6" s="1951"/>
      <c r="AC6" s="1951"/>
    </row>
    <row r="7" spans="1:29" ht="47.25" customHeight="1">
      <c r="B7" s="1961" t="s">
        <v>760</v>
      </c>
      <c r="C7" s="1961"/>
      <c r="D7" s="2052"/>
      <c r="E7" s="1962" t="s">
        <v>365</v>
      </c>
      <c r="F7" s="1963" t="s">
        <v>804</v>
      </c>
      <c r="G7" s="1964" t="s">
        <v>803</v>
      </c>
      <c r="H7" s="1964" t="s">
        <v>2166</v>
      </c>
      <c r="I7" s="1964" t="s">
        <v>802</v>
      </c>
      <c r="J7" s="1964" t="s">
        <v>801</v>
      </c>
      <c r="K7" s="1964" t="s">
        <v>800</v>
      </c>
      <c r="L7" s="1964" t="s">
        <v>2167</v>
      </c>
      <c r="M7" s="1964" t="s">
        <v>799</v>
      </c>
      <c r="N7" s="1964" t="s">
        <v>798</v>
      </c>
      <c r="O7" s="1964" t="s">
        <v>797</v>
      </c>
      <c r="P7" s="1964" t="s">
        <v>796</v>
      </c>
      <c r="Q7" s="1964" t="s">
        <v>757</v>
      </c>
      <c r="R7" s="1964" t="s">
        <v>2168</v>
      </c>
      <c r="S7" s="1965"/>
      <c r="T7" s="1951"/>
      <c r="U7" s="1963" t="s">
        <v>795</v>
      </c>
      <c r="V7" s="1964" t="s">
        <v>794</v>
      </c>
      <c r="W7" s="1964" t="s">
        <v>793</v>
      </c>
      <c r="X7" s="1964" t="s">
        <v>1945</v>
      </c>
      <c r="Y7" s="1966" t="s">
        <v>1011</v>
      </c>
      <c r="Z7" s="1967"/>
      <c r="AA7" s="1952"/>
      <c r="AB7" s="1951"/>
      <c r="AC7" s="1951"/>
    </row>
    <row r="8" spans="1:29"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66" t="s">
        <v>791</v>
      </c>
      <c r="S8" s="1971" t="s">
        <v>790</v>
      </c>
      <c r="T8" s="1951"/>
      <c r="U8" s="1970" t="s">
        <v>789</v>
      </c>
      <c r="V8" s="1966" t="s">
        <v>789</v>
      </c>
      <c r="W8" s="1966" t="s">
        <v>789</v>
      </c>
      <c r="X8" s="1966" t="s">
        <v>789</v>
      </c>
      <c r="Y8" s="1966" t="s">
        <v>789</v>
      </c>
      <c r="Z8" s="1967" t="s">
        <v>788</v>
      </c>
      <c r="AA8" s="1951"/>
    </row>
    <row r="9" spans="1:29" ht="16.5" customHeight="1" thickBot="1">
      <c r="B9" s="1972" t="s">
        <v>752</v>
      </c>
      <c r="C9" s="2057" t="s">
        <v>825</v>
      </c>
      <c r="D9" s="2057" t="s">
        <v>824</v>
      </c>
      <c r="E9" s="1974" t="s">
        <v>1057</v>
      </c>
      <c r="F9" s="1975" t="s">
        <v>786</v>
      </c>
      <c r="G9" s="1976" t="s">
        <v>785</v>
      </c>
      <c r="H9" s="1976" t="s">
        <v>1964</v>
      </c>
      <c r="I9" s="1976" t="s">
        <v>784</v>
      </c>
      <c r="J9" s="1976" t="s">
        <v>783</v>
      </c>
      <c r="K9" s="1976" t="s">
        <v>782</v>
      </c>
      <c r="L9" s="1976" t="s">
        <v>781</v>
      </c>
      <c r="M9" s="1976" t="s">
        <v>780</v>
      </c>
      <c r="N9" s="1976" t="s">
        <v>779</v>
      </c>
      <c r="O9" s="1976" t="s">
        <v>778</v>
      </c>
      <c r="P9" s="1976" t="s">
        <v>777</v>
      </c>
      <c r="Q9" s="1976" t="s">
        <v>1719</v>
      </c>
      <c r="R9" s="1976" t="s">
        <v>2170</v>
      </c>
      <c r="S9" s="1977"/>
      <c r="T9" s="1951"/>
      <c r="U9" s="1975" t="s">
        <v>776</v>
      </c>
      <c r="V9" s="1976" t="s">
        <v>775</v>
      </c>
      <c r="W9" s="1976" t="s">
        <v>774</v>
      </c>
      <c r="X9" s="1976" t="s">
        <v>773</v>
      </c>
      <c r="Y9" s="1976" t="s">
        <v>1012</v>
      </c>
      <c r="Z9" s="1978"/>
      <c r="AA9" s="1951"/>
    </row>
    <row r="10" spans="1:29">
      <c r="B10" s="1953" t="s">
        <v>147</v>
      </c>
      <c r="C10" s="2059">
        <v>2</v>
      </c>
      <c r="D10" s="2060">
        <v>18</v>
      </c>
      <c r="E10" s="1980">
        <v>8308.6720000000005</v>
      </c>
      <c r="F10" s="1981">
        <v>4.5449999999999999</v>
      </c>
      <c r="G10" s="1982">
        <v>3.3580000000000001</v>
      </c>
      <c r="H10" s="1982">
        <v>25.207999999999998</v>
      </c>
      <c r="I10" s="1982">
        <v>1.4039999999999999</v>
      </c>
      <c r="J10" s="1982">
        <v>0.34599999999999997</v>
      </c>
      <c r="K10" s="1982">
        <v>25.824000000000002</v>
      </c>
      <c r="L10" s="1982">
        <v>16.471</v>
      </c>
      <c r="M10" s="1982">
        <v>0.29299999999999998</v>
      </c>
      <c r="N10" s="1982">
        <v>43.89</v>
      </c>
      <c r="O10" s="1982">
        <v>5.0000000000000001E-3</v>
      </c>
      <c r="P10" s="1982">
        <v>2E-3</v>
      </c>
      <c r="Q10" s="1982">
        <v>5.141</v>
      </c>
      <c r="R10" s="1982">
        <v>3.0710000000000002</v>
      </c>
      <c r="S10" s="1983">
        <f>SUM(F10:R10)</f>
        <v>129.55800000000002</v>
      </c>
      <c r="T10" s="1951"/>
      <c r="U10" s="1984">
        <v>377.42599999999999</v>
      </c>
      <c r="V10" s="1980">
        <v>92.850999999999999</v>
      </c>
      <c r="W10" s="1980">
        <v>79.233999999999995</v>
      </c>
      <c r="X10" s="1980">
        <v>338</v>
      </c>
      <c r="Y10" s="1980">
        <v>0</v>
      </c>
      <c r="Z10" s="1983">
        <f>SUM(U10:Y10)</f>
        <v>887.51099999999997</v>
      </c>
      <c r="AA10" s="1985"/>
    </row>
    <row r="11" spans="1:29">
      <c r="B11" s="1953" t="s">
        <v>148</v>
      </c>
      <c r="C11" s="2059">
        <v>23</v>
      </c>
      <c r="D11" s="2060">
        <v>8</v>
      </c>
      <c r="E11" s="1980">
        <v>8038.3180000000002</v>
      </c>
      <c r="F11" s="1981">
        <v>5.8070000000000004</v>
      </c>
      <c r="G11" s="1982">
        <v>3.173</v>
      </c>
      <c r="H11" s="1982">
        <v>26.384</v>
      </c>
      <c r="I11" s="1982">
        <v>1.167</v>
      </c>
      <c r="J11" s="1982">
        <v>0.34599999999999997</v>
      </c>
      <c r="K11" s="1982">
        <v>45.856000000000002</v>
      </c>
      <c r="L11" s="1982">
        <v>15.177</v>
      </c>
      <c r="M11" s="1982">
        <v>0.38200000000000001</v>
      </c>
      <c r="N11" s="1982">
        <v>47.78</v>
      </c>
      <c r="O11" s="1982">
        <v>5.0000000000000001E-3</v>
      </c>
      <c r="P11" s="1982">
        <v>1E-3</v>
      </c>
      <c r="Q11" s="1982">
        <v>11.627000000000001</v>
      </c>
      <c r="R11" s="1982">
        <v>2.8639999999999999</v>
      </c>
      <c r="S11" s="1983">
        <f t="shared" ref="S11:S21" si="0">SUM(F11:R11)</f>
        <v>160.56900000000002</v>
      </c>
      <c r="T11" s="1951"/>
      <c r="U11" s="1984">
        <v>325.55700000000002</v>
      </c>
      <c r="V11" s="1980">
        <v>73.662999999999997</v>
      </c>
      <c r="W11" s="1980">
        <v>76.718000000000004</v>
      </c>
      <c r="X11" s="1980">
        <v>252</v>
      </c>
      <c r="Y11" s="1980">
        <v>0</v>
      </c>
      <c r="Z11" s="1983">
        <f t="shared" ref="Z11:Z21" si="1">SUM(U11:Y11)</f>
        <v>727.9380000000001</v>
      </c>
      <c r="AA11" s="1985"/>
    </row>
    <row r="12" spans="1:29">
      <c r="B12" s="1953" t="s">
        <v>352</v>
      </c>
      <c r="C12" s="2059">
        <v>4</v>
      </c>
      <c r="D12" s="2060">
        <v>8</v>
      </c>
      <c r="E12" s="1980">
        <v>7837</v>
      </c>
      <c r="F12" s="1981">
        <v>6.1159999999999997</v>
      </c>
      <c r="G12" s="1982">
        <v>3.0129999999999999</v>
      </c>
      <c r="H12" s="1982">
        <v>27.314</v>
      </c>
      <c r="I12" s="1982">
        <v>1.19</v>
      </c>
      <c r="J12" s="1982">
        <v>0.34599999999999997</v>
      </c>
      <c r="K12" s="1982">
        <v>27.593</v>
      </c>
      <c r="L12" s="1982">
        <v>14.991</v>
      </c>
      <c r="M12" s="1982">
        <v>1.0309999999999999</v>
      </c>
      <c r="N12" s="1982">
        <v>47.76</v>
      </c>
      <c r="O12" s="1982">
        <v>5.0000000000000001E-3</v>
      </c>
      <c r="P12" s="1982">
        <v>0</v>
      </c>
      <c r="Q12" s="1982">
        <v>6.383</v>
      </c>
      <c r="R12" s="1982">
        <v>2.76</v>
      </c>
      <c r="S12" s="1983">
        <f t="shared" si="0"/>
        <v>138.50199999999998</v>
      </c>
      <c r="T12" s="1951"/>
      <c r="U12" s="1984">
        <v>358.38499999999999</v>
      </c>
      <c r="V12" s="1980">
        <v>64.653000000000006</v>
      </c>
      <c r="W12" s="1980">
        <v>67.653000000000006</v>
      </c>
      <c r="X12" s="1980">
        <v>267</v>
      </c>
      <c r="Y12" s="1980">
        <v>0</v>
      </c>
      <c r="Z12" s="1983">
        <f t="shared" si="1"/>
        <v>757.69100000000003</v>
      </c>
      <c r="AA12" s="1985"/>
    </row>
    <row r="13" spans="1:29">
      <c r="B13" s="1953" t="s">
        <v>143</v>
      </c>
      <c r="C13" s="2059">
        <v>15</v>
      </c>
      <c r="D13" s="2060">
        <v>8</v>
      </c>
      <c r="E13" s="2070">
        <v>7417.098</v>
      </c>
      <c r="F13" s="1981">
        <v>5.069</v>
      </c>
      <c r="G13" s="1982">
        <v>3.1909999999999998</v>
      </c>
      <c r="H13" s="1982">
        <v>24.542999999999999</v>
      </c>
      <c r="I13" s="1982">
        <v>0.73399999999999999</v>
      </c>
      <c r="J13" s="1982">
        <v>0</v>
      </c>
      <c r="K13" s="1982">
        <v>24.305</v>
      </c>
      <c r="L13" s="1982">
        <v>16.850999999999999</v>
      </c>
      <c r="M13" s="1982">
        <v>0.25700000000000001</v>
      </c>
      <c r="N13" s="1982">
        <v>36.270000000000003</v>
      </c>
      <c r="O13" s="1982">
        <v>0.17100000000000001</v>
      </c>
      <c r="P13" s="1982">
        <v>1.6679999999999999</v>
      </c>
      <c r="Q13" s="1982">
        <v>7.7629999999999999</v>
      </c>
      <c r="R13" s="1982">
        <v>0.54</v>
      </c>
      <c r="S13" s="1983">
        <f t="shared" si="0"/>
        <v>121.36200000000002</v>
      </c>
      <c r="T13" s="1951"/>
      <c r="U13" s="1984">
        <v>365.40800000000002</v>
      </c>
      <c r="V13" s="1980">
        <v>39.247999999999998</v>
      </c>
      <c r="W13" s="1980">
        <v>89.186999999999998</v>
      </c>
      <c r="X13" s="1980">
        <v>209</v>
      </c>
      <c r="Y13" s="1980">
        <v>0</v>
      </c>
      <c r="Z13" s="1983">
        <f t="shared" si="1"/>
        <v>702.84300000000007</v>
      </c>
      <c r="AA13" s="1985"/>
    </row>
    <row r="14" spans="1:29">
      <c r="A14" s="1979"/>
      <c r="B14" s="1953" t="s">
        <v>144</v>
      </c>
      <c r="C14" s="2059">
        <v>31</v>
      </c>
      <c r="D14" s="2060">
        <v>18</v>
      </c>
      <c r="E14" s="2070">
        <v>7490.848</v>
      </c>
      <c r="F14" s="1981">
        <v>4.0579999999999998</v>
      </c>
      <c r="G14" s="1982">
        <v>3.2</v>
      </c>
      <c r="H14" s="1982">
        <v>12.801</v>
      </c>
      <c r="I14" s="1982">
        <v>0.27700000000000002</v>
      </c>
      <c r="J14" s="1982">
        <v>0.42399999999999999</v>
      </c>
      <c r="K14" s="1982">
        <v>16.385999999999999</v>
      </c>
      <c r="L14" s="1982">
        <v>18.623000000000001</v>
      </c>
      <c r="M14" s="1982">
        <v>0.247</v>
      </c>
      <c r="N14" s="1982">
        <v>33.729999999999997</v>
      </c>
      <c r="O14" s="1982">
        <v>0.34200000000000003</v>
      </c>
      <c r="P14" s="1982">
        <v>0.71499999999999997</v>
      </c>
      <c r="Q14" s="1982">
        <v>7.694</v>
      </c>
      <c r="R14" s="1982">
        <v>2.1640000000000001</v>
      </c>
      <c r="S14" s="1983">
        <f t="shared" si="0"/>
        <v>100.66100000000002</v>
      </c>
      <c r="T14" s="1951"/>
      <c r="U14" s="1984">
        <v>394.19199999999995</v>
      </c>
      <c r="V14" s="1980">
        <v>77.587999999999994</v>
      </c>
      <c r="W14" s="1980">
        <v>98.71</v>
      </c>
      <c r="X14" s="1980">
        <v>282</v>
      </c>
      <c r="Y14" s="1980">
        <v>0</v>
      </c>
      <c r="Z14" s="1983">
        <f t="shared" si="1"/>
        <v>852.49</v>
      </c>
      <c r="AA14" s="1985"/>
    </row>
    <row r="15" spans="1:29">
      <c r="B15" s="1953" t="s">
        <v>151</v>
      </c>
      <c r="C15" s="2059">
        <v>29</v>
      </c>
      <c r="D15" s="2060">
        <v>16</v>
      </c>
      <c r="E15" s="2070">
        <v>10618.344999999999</v>
      </c>
      <c r="F15" s="1981">
        <v>5.3979999999999997</v>
      </c>
      <c r="G15" s="1982">
        <v>3.4239999999999999</v>
      </c>
      <c r="H15" s="1982">
        <v>13.75</v>
      </c>
      <c r="I15" s="1982">
        <v>0.36699999999999999</v>
      </c>
      <c r="J15" s="1982">
        <v>0.28599999999999998</v>
      </c>
      <c r="K15" s="1982">
        <v>39.664999999999999</v>
      </c>
      <c r="L15" s="1982">
        <v>21.957999999999998</v>
      </c>
      <c r="M15" s="1982">
        <v>0.23200000000000001</v>
      </c>
      <c r="N15" s="1982">
        <v>57.49</v>
      </c>
      <c r="O15" s="1982">
        <v>0.17799999999999999</v>
      </c>
      <c r="P15" s="1982">
        <v>3.4740000000000002</v>
      </c>
      <c r="Q15" s="1982">
        <v>8.5909999999999993</v>
      </c>
      <c r="R15" s="1982">
        <v>4.0019999999999998</v>
      </c>
      <c r="S15" s="1983">
        <f t="shared" si="0"/>
        <v>158.815</v>
      </c>
      <c r="T15" s="1951"/>
      <c r="U15" s="1984">
        <v>786.76800000000003</v>
      </c>
      <c r="V15" s="1980">
        <v>171.80799999999999</v>
      </c>
      <c r="W15" s="1980">
        <v>170.30199999999999</v>
      </c>
      <c r="X15" s="1980">
        <v>321</v>
      </c>
      <c r="Y15" s="1980">
        <v>0</v>
      </c>
      <c r="Z15" s="1983">
        <f t="shared" si="1"/>
        <v>1449.8779999999999</v>
      </c>
      <c r="AA15" s="1985"/>
    </row>
    <row r="16" spans="1:29">
      <c r="B16" s="1953" t="s">
        <v>744</v>
      </c>
      <c r="C16" s="2059">
        <v>2</v>
      </c>
      <c r="D16" s="2060">
        <v>16</v>
      </c>
      <c r="E16" s="1980">
        <v>10480.882</v>
      </c>
      <c r="F16" s="1981">
        <v>5.0709999999999997</v>
      </c>
      <c r="G16" s="1982">
        <v>3.7280000000000002</v>
      </c>
      <c r="H16" s="1982">
        <v>15.643000000000001</v>
      </c>
      <c r="I16" s="1982">
        <v>0.38</v>
      </c>
      <c r="J16" s="1982">
        <v>2.5999999999999999E-2</v>
      </c>
      <c r="K16" s="1982">
        <v>32.115000000000002</v>
      </c>
      <c r="L16" s="1982">
        <v>22.428000000000001</v>
      </c>
      <c r="M16" s="1982">
        <v>0.20799999999999999</v>
      </c>
      <c r="N16" s="1982">
        <v>48.63</v>
      </c>
      <c r="O16" s="1982">
        <v>0.61299999999999999</v>
      </c>
      <c r="P16" s="1982">
        <v>3.2810000000000001</v>
      </c>
      <c r="Q16" s="1982">
        <v>8.5570000000000004</v>
      </c>
      <c r="R16" s="1982">
        <v>3.03</v>
      </c>
      <c r="S16" s="1983">
        <f t="shared" si="0"/>
        <v>143.71</v>
      </c>
      <c r="T16" s="1951"/>
      <c r="U16" s="1984">
        <v>768.21800000000007</v>
      </c>
      <c r="V16" s="1980">
        <v>176.172</v>
      </c>
      <c r="W16" s="1980">
        <v>145.518</v>
      </c>
      <c r="X16" s="1980">
        <v>283</v>
      </c>
      <c r="Y16" s="1980">
        <v>0</v>
      </c>
      <c r="Z16" s="1983">
        <f t="shared" si="1"/>
        <v>1372.9080000000001</v>
      </c>
      <c r="AA16" s="1985"/>
    </row>
    <row r="17" spans="1:33">
      <c r="B17" s="1953" t="s">
        <v>153</v>
      </c>
      <c r="C17" s="2059">
        <v>13</v>
      </c>
      <c r="D17" s="2060">
        <v>16</v>
      </c>
      <c r="E17" s="1980">
        <v>9603.4359999999997</v>
      </c>
      <c r="F17" s="1981">
        <v>6.6630000000000003</v>
      </c>
      <c r="G17" s="1982">
        <v>3.1110000000000002</v>
      </c>
      <c r="H17" s="1982">
        <v>12.595000000000001</v>
      </c>
      <c r="I17" s="1982">
        <v>0.34300000000000003</v>
      </c>
      <c r="J17" s="1982">
        <v>0.251</v>
      </c>
      <c r="K17" s="1982">
        <v>29.085000000000001</v>
      </c>
      <c r="L17" s="1982">
        <v>20.791</v>
      </c>
      <c r="M17" s="1982">
        <v>0.23899999999999999</v>
      </c>
      <c r="N17" s="1982">
        <v>57.19</v>
      </c>
      <c r="O17" s="1982">
        <v>0.621</v>
      </c>
      <c r="P17" s="1982">
        <v>3.024</v>
      </c>
      <c r="Q17" s="1982">
        <v>9.2119999999999997</v>
      </c>
      <c r="R17" s="1982">
        <v>2.907</v>
      </c>
      <c r="S17" s="1983">
        <f t="shared" si="0"/>
        <v>146.03200000000001</v>
      </c>
      <c r="T17" s="1951"/>
      <c r="U17" s="1984">
        <v>696.63300000000004</v>
      </c>
      <c r="V17" s="1980">
        <v>143.78200000000001</v>
      </c>
      <c r="W17" s="1980">
        <v>138.87200000000001</v>
      </c>
      <c r="X17" s="1980">
        <v>344</v>
      </c>
      <c r="Y17" s="1980">
        <v>0</v>
      </c>
      <c r="Z17" s="1983">
        <f t="shared" si="1"/>
        <v>1323.287</v>
      </c>
      <c r="AA17" s="1985"/>
    </row>
    <row r="18" spans="1:33">
      <c r="B18" s="1953" t="s">
        <v>743</v>
      </c>
      <c r="C18" s="2059">
        <v>1</v>
      </c>
      <c r="D18" s="2060">
        <v>16</v>
      </c>
      <c r="E18" s="1980">
        <v>8712.0159999999996</v>
      </c>
      <c r="F18" s="1981">
        <v>6.4249999999999998</v>
      </c>
      <c r="G18" s="1982">
        <v>2.847</v>
      </c>
      <c r="H18" s="1982">
        <v>10.065</v>
      </c>
      <c r="I18" s="1982">
        <v>0.31900000000000001</v>
      </c>
      <c r="J18" s="1982">
        <v>0</v>
      </c>
      <c r="K18" s="1982">
        <v>24.678000000000001</v>
      </c>
      <c r="L18" s="1982">
        <v>20.329999999999998</v>
      </c>
      <c r="M18" s="1982">
        <v>0.20399999999999999</v>
      </c>
      <c r="N18" s="1982">
        <v>50.72</v>
      </c>
      <c r="O18" s="1982">
        <v>0.50800000000000001</v>
      </c>
      <c r="P18" s="1982">
        <v>2.7189999999999999</v>
      </c>
      <c r="Q18" s="1982">
        <v>9.3849999999999998</v>
      </c>
      <c r="R18" s="1982">
        <v>2.65</v>
      </c>
      <c r="S18" s="1983">
        <f t="shared" si="0"/>
        <v>130.85</v>
      </c>
      <c r="T18" s="1951"/>
      <c r="U18" s="1984">
        <v>677.42699999999991</v>
      </c>
      <c r="V18" s="1980">
        <v>127.816</v>
      </c>
      <c r="W18" s="1980">
        <v>133.792</v>
      </c>
      <c r="X18" s="1980">
        <v>311</v>
      </c>
      <c r="Y18" s="1980">
        <v>0</v>
      </c>
      <c r="Z18" s="1983">
        <f t="shared" si="1"/>
        <v>1250.0349999999999</v>
      </c>
      <c r="AA18" s="1985"/>
    </row>
    <row r="19" spans="1:33">
      <c r="B19" s="1953" t="s">
        <v>155</v>
      </c>
      <c r="C19" s="2059">
        <v>1</v>
      </c>
      <c r="D19" s="2060">
        <v>17</v>
      </c>
      <c r="E19" s="1980">
        <v>7823.7619999999997</v>
      </c>
      <c r="F19" s="1981">
        <v>4.8949999999999996</v>
      </c>
      <c r="G19" s="1982">
        <v>2.7869999999999999</v>
      </c>
      <c r="H19" s="1982">
        <v>10.167</v>
      </c>
      <c r="I19" s="1982">
        <v>0.27700000000000002</v>
      </c>
      <c r="J19" s="1982">
        <v>0.42399999999999999</v>
      </c>
      <c r="K19" s="1982">
        <v>16.858000000000001</v>
      </c>
      <c r="L19" s="1982">
        <v>19.352</v>
      </c>
      <c r="M19" s="1982">
        <v>0.66800000000000004</v>
      </c>
      <c r="N19" s="1982">
        <v>32.1</v>
      </c>
      <c r="O19" s="1982">
        <v>0.26500000000000001</v>
      </c>
      <c r="P19" s="1982">
        <v>1.9830000000000001</v>
      </c>
      <c r="Q19" s="1982">
        <v>10.426</v>
      </c>
      <c r="R19" s="1982">
        <v>2.496</v>
      </c>
      <c r="S19" s="1983">
        <f t="shared" si="0"/>
        <v>102.69800000000001</v>
      </c>
      <c r="T19" s="1951"/>
      <c r="U19" s="1984">
        <v>536.90499999999997</v>
      </c>
      <c r="V19" s="1980">
        <v>118.527</v>
      </c>
      <c r="W19" s="1980">
        <v>101.43</v>
      </c>
      <c r="X19" s="1980">
        <v>308</v>
      </c>
      <c r="Y19" s="1980">
        <v>0</v>
      </c>
      <c r="Z19" s="1983">
        <f t="shared" si="1"/>
        <v>1064.8620000000001</v>
      </c>
      <c r="AA19" s="1985"/>
    </row>
    <row r="20" spans="1:33">
      <c r="B20" s="1953" t="s">
        <v>156</v>
      </c>
      <c r="C20" s="2059">
        <v>30</v>
      </c>
      <c r="D20" s="2060">
        <v>18</v>
      </c>
      <c r="E20" s="1980">
        <v>8549.6419999999998</v>
      </c>
      <c r="F20" s="1981">
        <v>5.49</v>
      </c>
      <c r="G20" s="1982">
        <v>2.9830000000000001</v>
      </c>
      <c r="H20" s="1982">
        <v>26.513000000000002</v>
      </c>
      <c r="I20" s="1982">
        <v>1.0489999999999999</v>
      </c>
      <c r="J20" s="1982">
        <v>0.35499999999999998</v>
      </c>
      <c r="K20" s="1982">
        <v>26.914000000000001</v>
      </c>
      <c r="L20" s="1982">
        <v>17.739000000000001</v>
      </c>
      <c r="M20" s="2274">
        <v>0.28199999999999997</v>
      </c>
      <c r="N20" s="1982">
        <v>46.65</v>
      </c>
      <c r="O20" s="1982">
        <v>5.0000000000000001E-3</v>
      </c>
      <c r="P20" s="1982">
        <v>4.0000000000000001E-3</v>
      </c>
      <c r="Q20" s="1982">
        <v>11.603999999999999</v>
      </c>
      <c r="R20" s="1982">
        <v>2.2989999999999999</v>
      </c>
      <c r="S20" s="1983">
        <f t="shared" si="0"/>
        <v>141.887</v>
      </c>
      <c r="T20" s="1951"/>
      <c r="U20" s="1984">
        <v>417.387</v>
      </c>
      <c r="V20" s="1980">
        <v>78.304000000000002</v>
      </c>
      <c r="W20" s="1980">
        <v>71.97</v>
      </c>
      <c r="X20" s="1980">
        <v>254</v>
      </c>
      <c r="Y20" s="1980">
        <v>0</v>
      </c>
      <c r="Z20" s="1983">
        <f t="shared" si="1"/>
        <v>821.66100000000006</v>
      </c>
      <c r="AA20" s="1985"/>
    </row>
    <row r="21" spans="1:33" ht="16.5" thickBot="1">
      <c r="B21" s="1972" t="s">
        <v>157</v>
      </c>
      <c r="C21" s="2071">
        <v>28</v>
      </c>
      <c r="D21" s="2072">
        <v>18</v>
      </c>
      <c r="E21" s="1987">
        <v>8289.6980000000003</v>
      </c>
      <c r="F21" s="1988">
        <v>5.4260000000000002</v>
      </c>
      <c r="G21" s="1989">
        <v>3.274</v>
      </c>
      <c r="H21" s="1989">
        <v>25.344000000000001</v>
      </c>
      <c r="I21" s="1989">
        <v>1.486</v>
      </c>
      <c r="J21" s="1989">
        <v>0.33800000000000002</v>
      </c>
      <c r="K21" s="1989">
        <v>29.545000000000002</v>
      </c>
      <c r="L21" s="1989">
        <v>15.5</v>
      </c>
      <c r="M21" s="1989">
        <v>0.25700000000000001</v>
      </c>
      <c r="N21" s="1989">
        <v>44.74</v>
      </c>
      <c r="O21" s="1989">
        <v>4.0000000000000001E-3</v>
      </c>
      <c r="P21" s="1989">
        <v>5.0000000000000001E-3</v>
      </c>
      <c r="Q21" s="1989">
        <v>11.779</v>
      </c>
      <c r="R21" s="1989">
        <v>2.4009999999999998</v>
      </c>
      <c r="S21" s="1978">
        <f t="shared" si="0"/>
        <v>140.09900000000002</v>
      </c>
      <c r="T21" s="1951"/>
      <c r="U21" s="1990">
        <v>442.03399999999999</v>
      </c>
      <c r="V21" s="1987">
        <v>81.307000000000002</v>
      </c>
      <c r="W21" s="1987">
        <v>101.485</v>
      </c>
      <c r="X21" s="1987">
        <v>294</v>
      </c>
      <c r="Y21" s="1991">
        <v>0</v>
      </c>
      <c r="Z21" s="1978">
        <f t="shared" si="1"/>
        <v>918.82600000000002</v>
      </c>
      <c r="AA21" s="1985"/>
    </row>
    <row r="22" spans="1:33" ht="16.5" thickBot="1">
      <c r="A22" s="1951"/>
      <c r="B22" s="1992" t="s">
        <v>282</v>
      </c>
      <c r="C22" s="1993"/>
      <c r="D22" s="1994"/>
      <c r="E22" s="1985">
        <f t="shared" ref="E22:R22" si="2">SUM(E10:E21)</f>
        <v>103169.717</v>
      </c>
      <c r="F22" s="2537">
        <f t="shared" si="2"/>
        <v>64.962999999999994</v>
      </c>
      <c r="G22" s="2538">
        <f t="shared" si="2"/>
        <v>38.088999999999999</v>
      </c>
      <c r="H22" s="2538">
        <f t="shared" si="2"/>
        <v>230.327</v>
      </c>
      <c r="I22" s="2538">
        <f t="shared" si="2"/>
        <v>8.9930000000000003</v>
      </c>
      <c r="J22" s="2538">
        <f t="shared" si="2"/>
        <v>3.1419999999999999</v>
      </c>
      <c r="K22" s="2538">
        <f t="shared" si="2"/>
        <v>338.82400000000001</v>
      </c>
      <c r="L22" s="2538">
        <f t="shared" si="2"/>
        <v>220.21100000000001</v>
      </c>
      <c r="M22" s="2538">
        <f t="shared" si="2"/>
        <v>4.3</v>
      </c>
      <c r="N22" s="2538">
        <f t="shared" si="2"/>
        <v>546.95000000000005</v>
      </c>
      <c r="O22" s="2538">
        <f t="shared" si="2"/>
        <v>2.722</v>
      </c>
      <c r="P22" s="2538">
        <f t="shared" si="2"/>
        <v>16.875999999999998</v>
      </c>
      <c r="Q22" s="2538">
        <f t="shared" si="2"/>
        <v>108.16200000000001</v>
      </c>
      <c r="R22" s="2538">
        <f t="shared" si="2"/>
        <v>31.183999999999997</v>
      </c>
      <c r="S22" s="1978">
        <f>SUM(F22:R22)</f>
        <v>1614.7429999999999</v>
      </c>
      <c r="T22" s="1951"/>
      <c r="U22" s="1996">
        <f t="shared" ref="U22:Z22" si="3">SUM(U10:U21)</f>
        <v>6146.3399999999983</v>
      </c>
      <c r="V22" s="1995">
        <f t="shared" si="3"/>
        <v>1245.7190000000003</v>
      </c>
      <c r="W22" s="1995">
        <f t="shared" si="3"/>
        <v>1274.8709999999999</v>
      </c>
      <c r="X22" s="1995">
        <f t="shared" si="3"/>
        <v>3463</v>
      </c>
      <c r="Y22" s="1995">
        <f t="shared" si="3"/>
        <v>0</v>
      </c>
      <c r="Z22" s="1978">
        <f t="shared" si="3"/>
        <v>12129.93</v>
      </c>
      <c r="AA22" s="1985"/>
      <c r="AD22" s="1997"/>
    </row>
    <row r="23" spans="1:33" ht="16.5" thickBot="1">
      <c r="A23" s="1951"/>
      <c r="B23" s="1998" t="s">
        <v>1802</v>
      </c>
      <c r="C23" s="1999"/>
      <c r="D23" s="2000"/>
      <c r="E23" s="2001">
        <f t="shared" ref="E23:R23" si="4">+E22/12</f>
        <v>8597.4764166666664</v>
      </c>
      <c r="F23" s="2539">
        <f t="shared" si="4"/>
        <v>5.4135833333333325</v>
      </c>
      <c r="G23" s="2539">
        <f t="shared" si="4"/>
        <v>3.1740833333333334</v>
      </c>
      <c r="H23" s="2539">
        <f t="shared" si="4"/>
        <v>19.193916666666667</v>
      </c>
      <c r="I23" s="2539">
        <f t="shared" si="4"/>
        <v>0.74941666666666673</v>
      </c>
      <c r="J23" s="2539">
        <f t="shared" si="4"/>
        <v>0.26183333333333331</v>
      </c>
      <c r="K23" s="2539">
        <f t="shared" si="4"/>
        <v>28.235333333333333</v>
      </c>
      <c r="L23" s="2539">
        <f t="shared" si="4"/>
        <v>18.350916666666667</v>
      </c>
      <c r="M23" s="2539">
        <f t="shared" si="4"/>
        <v>0.35833333333333334</v>
      </c>
      <c r="N23" s="2539">
        <f t="shared" si="4"/>
        <v>45.579166666666673</v>
      </c>
      <c r="O23" s="2539">
        <f t="shared" si="4"/>
        <v>0.22683333333333333</v>
      </c>
      <c r="P23" s="2539">
        <f t="shared" si="4"/>
        <v>1.4063333333333332</v>
      </c>
      <c r="Q23" s="2539">
        <f t="shared" si="4"/>
        <v>9.0135000000000005</v>
      </c>
      <c r="R23" s="2539">
        <f t="shared" si="4"/>
        <v>2.5986666666666665</v>
      </c>
      <c r="S23" s="2037">
        <f>+S22/12</f>
        <v>134.56191666666666</v>
      </c>
      <c r="T23" s="1951"/>
      <c r="U23" s="2003">
        <f t="shared" ref="U23:Z23" si="5">+U22/12</f>
        <v>512.19499999999982</v>
      </c>
      <c r="V23" s="2002">
        <f t="shared" si="5"/>
        <v>103.80991666666669</v>
      </c>
      <c r="W23" s="2002">
        <f t="shared" si="5"/>
        <v>106.23924999999998</v>
      </c>
      <c r="X23" s="2002">
        <f t="shared" si="5"/>
        <v>288.58333333333331</v>
      </c>
      <c r="Y23" s="2002">
        <f t="shared" si="5"/>
        <v>0</v>
      </c>
      <c r="Z23" s="2037">
        <f t="shared" si="5"/>
        <v>1010.8275</v>
      </c>
      <c r="AA23" s="2004"/>
    </row>
    <row r="24" spans="1:33" ht="16.5" thickBot="1">
      <c r="C24" s="1946"/>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3" ht="16.5" thickBot="1">
      <c r="B25" s="1949"/>
      <c r="C25" s="1950"/>
      <c r="D25" s="2005"/>
      <c r="E25" s="2590" t="s">
        <v>1047</v>
      </c>
      <c r="F25" s="2591"/>
      <c r="G25" s="2591"/>
      <c r="H25" s="2591"/>
      <c r="I25" s="2591"/>
      <c r="J25" s="2591"/>
      <c r="K25" s="2591"/>
      <c r="L25" s="2591"/>
      <c r="M25" s="2591"/>
      <c r="N25" s="2591"/>
      <c r="O25" s="2591"/>
      <c r="P25" s="2591"/>
      <c r="Q25" s="2591"/>
      <c r="R25" s="2591"/>
      <c r="S25" s="2591"/>
      <c r="T25" s="2591"/>
      <c r="U25" s="2591"/>
      <c r="V25" s="2591"/>
      <c r="W25" s="2591"/>
      <c r="X25" s="2591"/>
      <c r="Y25" s="2592"/>
      <c r="Z25" s="2489"/>
      <c r="AA25" s="1951"/>
      <c r="AB25" s="1951"/>
      <c r="AC25" s="1951"/>
      <c r="AD25" s="1951"/>
      <c r="AE25" s="1951"/>
    </row>
    <row r="26" spans="1:33" ht="16.5" thickBot="1">
      <c r="B26" s="1953" t="s">
        <v>328</v>
      </c>
      <c r="C26" s="1946"/>
      <c r="D26" s="1950"/>
      <c r="E26" s="2006" t="s">
        <v>771</v>
      </c>
      <c r="F26" s="2007" t="s">
        <v>770</v>
      </c>
      <c r="G26" s="2007" t="s">
        <v>769</v>
      </c>
      <c r="H26" s="2007" t="s">
        <v>768</v>
      </c>
      <c r="I26" s="2007" t="s">
        <v>767</v>
      </c>
      <c r="J26" s="2007" t="s">
        <v>766</v>
      </c>
      <c r="K26" s="2007" t="s">
        <v>765</v>
      </c>
      <c r="L26" s="2007" t="s">
        <v>764</v>
      </c>
      <c r="M26" s="2007" t="s">
        <v>2171</v>
      </c>
      <c r="N26" s="2007" t="s">
        <v>763</v>
      </c>
      <c r="O26" s="2007" t="s">
        <v>877</v>
      </c>
      <c r="P26" s="2007" t="s">
        <v>762</v>
      </c>
      <c r="Q26" s="2007" t="s">
        <v>761</v>
      </c>
      <c r="R26" s="2007" t="s">
        <v>878</v>
      </c>
      <c r="S26" s="2007" t="s">
        <v>879</v>
      </c>
      <c r="T26" s="2007" t="s">
        <v>1400</v>
      </c>
      <c r="U26" s="2007" t="s">
        <v>1720</v>
      </c>
      <c r="V26" s="2007" t="s">
        <v>1721</v>
      </c>
      <c r="W26" s="2007" t="s">
        <v>876</v>
      </c>
      <c r="X26" s="2007" t="s">
        <v>2172</v>
      </c>
      <c r="Y26" s="2007" t="s">
        <v>2182</v>
      </c>
      <c r="Z26" s="2008" t="s">
        <v>360</v>
      </c>
      <c r="AA26" s="1951"/>
      <c r="AB26" s="1951"/>
      <c r="AC26" s="1951"/>
      <c r="AD26" s="1951"/>
      <c r="AE26" s="1951"/>
      <c r="AF26" s="1951"/>
      <c r="AG26" s="1951"/>
    </row>
    <row r="27" spans="1:33" s="2253" customFormat="1" ht="79.5" thickBot="1">
      <c r="B27" s="2254" t="s">
        <v>760</v>
      </c>
      <c r="C27" s="2255"/>
      <c r="D27" s="2256"/>
      <c r="E27" s="2257" t="s">
        <v>365</v>
      </c>
      <c r="F27" s="2258" t="s">
        <v>759</v>
      </c>
      <c r="G27" s="2258" t="s">
        <v>2173</v>
      </c>
      <c r="H27" s="2258" t="s">
        <v>2173</v>
      </c>
      <c r="I27" s="2258" t="s">
        <v>758</v>
      </c>
      <c r="J27" s="2258" t="s">
        <v>757</v>
      </c>
      <c r="K27" s="2258" t="s">
        <v>1823</v>
      </c>
      <c r="L27" s="2258" t="s">
        <v>880</v>
      </c>
      <c r="M27" s="2258" t="s">
        <v>1824</v>
      </c>
      <c r="N27" s="2258" t="s">
        <v>2177</v>
      </c>
      <c r="O27" s="2258" t="s">
        <v>2174</v>
      </c>
      <c r="P27" s="2258" t="s">
        <v>1822</v>
      </c>
      <c r="Q27" s="2258" t="s">
        <v>2175</v>
      </c>
      <c r="R27" s="2258" t="s">
        <v>2183</v>
      </c>
      <c r="S27" s="2258" t="s">
        <v>2176</v>
      </c>
      <c r="T27" s="2258" t="s">
        <v>649</v>
      </c>
      <c r="U27" s="2258" t="s">
        <v>880</v>
      </c>
      <c r="V27" s="2258" t="s">
        <v>880</v>
      </c>
      <c r="W27" s="2258" t="s">
        <v>880</v>
      </c>
      <c r="X27" s="2262" t="s">
        <v>880</v>
      </c>
      <c r="Y27" s="2258" t="s">
        <v>880</v>
      </c>
      <c r="Z27" s="2259"/>
      <c r="AE27" s="2260"/>
      <c r="AF27" s="2261" t="s">
        <v>756</v>
      </c>
      <c r="AG27" s="2260"/>
    </row>
    <row r="28" spans="1:33" s="2171" customFormat="1" ht="18" customHeight="1">
      <c r="B28" s="2246" t="s">
        <v>468</v>
      </c>
      <c r="C28" s="2247"/>
      <c r="D28"/>
      <c r="E28" s="2248" t="s">
        <v>755</v>
      </c>
      <c r="F28" s="2249" t="s">
        <v>755</v>
      </c>
      <c r="G28" s="2249" t="s">
        <v>755</v>
      </c>
      <c r="H28" s="2249" t="s">
        <v>755</v>
      </c>
      <c r="I28" s="2249" t="s">
        <v>755</v>
      </c>
      <c r="J28" s="2249" t="s">
        <v>755</v>
      </c>
      <c r="K28" s="2249" t="s">
        <v>755</v>
      </c>
      <c r="L28" s="2249" t="s">
        <v>755</v>
      </c>
      <c r="M28" s="2249" t="s">
        <v>755</v>
      </c>
      <c r="N28" s="2249" t="s">
        <v>755</v>
      </c>
      <c r="O28" s="2249" t="s">
        <v>755</v>
      </c>
      <c r="P28" s="2250" t="s">
        <v>755</v>
      </c>
      <c r="Q28" s="2250" t="s">
        <v>755</v>
      </c>
      <c r="R28" s="2250" t="s">
        <v>755</v>
      </c>
      <c r="S28" s="2250" t="s">
        <v>755</v>
      </c>
      <c r="T28" s="2250" t="s">
        <v>755</v>
      </c>
      <c r="U28" s="2250" t="s">
        <v>755</v>
      </c>
      <c r="V28" s="2250" t="s">
        <v>755</v>
      </c>
      <c r="W28" s="2250" t="s">
        <v>755</v>
      </c>
      <c r="X28" s="2250" t="s">
        <v>755</v>
      </c>
      <c r="Y28" s="2250" t="s">
        <v>755</v>
      </c>
      <c r="Z28" s="2251" t="s">
        <v>754</v>
      </c>
      <c r="AB28" s="2252" t="s">
        <v>787</v>
      </c>
      <c r="AC28" s="2252" t="s">
        <v>826</v>
      </c>
      <c r="AD28" s="2252" t="s">
        <v>828</v>
      </c>
      <c r="AE28" s="2245"/>
      <c r="AF28" s="2593" t="s">
        <v>753</v>
      </c>
      <c r="AG28" s="2245"/>
    </row>
    <row r="29" spans="1:33" ht="16.5" thickBot="1">
      <c r="A29" s="2253"/>
      <c r="B29" s="2265" t="s">
        <v>752</v>
      </c>
      <c r="C29" s="2266" t="s">
        <v>825</v>
      </c>
      <c r="D29" s="2267" t="s">
        <v>824</v>
      </c>
      <c r="E29" s="2263" t="s">
        <v>751</v>
      </c>
      <c r="F29" s="2264" t="s">
        <v>750</v>
      </c>
      <c r="G29" s="2264" t="s">
        <v>749</v>
      </c>
      <c r="H29" s="2264" t="s">
        <v>748</v>
      </c>
      <c r="I29" s="2264" t="s">
        <v>747</v>
      </c>
      <c r="J29" s="2264" t="s">
        <v>746</v>
      </c>
      <c r="K29" s="2264" t="s">
        <v>1804</v>
      </c>
      <c r="L29" s="2264" t="s">
        <v>745</v>
      </c>
      <c r="M29" s="2264" t="s">
        <v>1825</v>
      </c>
      <c r="N29" s="2264" t="s">
        <v>2184</v>
      </c>
      <c r="O29" s="2264" t="s">
        <v>2185</v>
      </c>
      <c r="P29" s="2264" t="s">
        <v>1803</v>
      </c>
      <c r="Q29" s="2264" t="s">
        <v>1826</v>
      </c>
      <c r="R29" s="2264" t="s">
        <v>2186</v>
      </c>
      <c r="S29" s="2264" t="s">
        <v>2187</v>
      </c>
      <c r="T29" s="2264"/>
      <c r="U29" s="2264" t="s">
        <v>1827</v>
      </c>
      <c r="V29" s="2264" t="s">
        <v>1828</v>
      </c>
      <c r="W29" s="2264" t="s">
        <v>1829</v>
      </c>
      <c r="X29" s="2264">
        <v>748</v>
      </c>
      <c r="Y29" s="2264">
        <v>749</v>
      </c>
      <c r="Z29" s="2021"/>
      <c r="AB29" s="2022" t="s">
        <v>772</v>
      </c>
      <c r="AC29" s="2023" t="s">
        <v>827</v>
      </c>
      <c r="AD29" s="2023" t="s">
        <v>829</v>
      </c>
      <c r="AE29" s="1951"/>
      <c r="AF29" s="2594"/>
      <c r="AG29" s="1951"/>
    </row>
    <row r="30" spans="1:33">
      <c r="B30" s="1953" t="s">
        <v>147</v>
      </c>
      <c r="C30" s="2058"/>
      <c r="D30" s="2271"/>
      <c r="E30" s="2024">
        <v>2434</v>
      </c>
      <c r="F30" s="2025">
        <v>50</v>
      </c>
      <c r="G30" s="2025">
        <v>18</v>
      </c>
      <c r="H30" s="2025">
        <v>56</v>
      </c>
      <c r="I30" s="2025">
        <v>0</v>
      </c>
      <c r="J30" s="2025">
        <v>30</v>
      </c>
      <c r="K30" s="2025">
        <v>11</v>
      </c>
      <c r="L30" s="2025">
        <v>80</v>
      </c>
      <c r="M30" s="2025">
        <v>74</v>
      </c>
      <c r="N30" s="2025">
        <v>25</v>
      </c>
      <c r="O30" s="2025">
        <v>4</v>
      </c>
      <c r="P30" s="2025">
        <v>30</v>
      </c>
      <c r="Q30" s="2025">
        <v>25</v>
      </c>
      <c r="R30" s="2025">
        <v>0</v>
      </c>
      <c r="S30" s="2025">
        <v>0</v>
      </c>
      <c r="T30" s="2025">
        <v>121</v>
      </c>
      <c r="U30" s="2025">
        <v>67</v>
      </c>
      <c r="V30" s="2025">
        <v>67</v>
      </c>
      <c r="W30" s="2025">
        <v>66</v>
      </c>
      <c r="X30" s="2025">
        <v>50</v>
      </c>
      <c r="Y30" s="2025">
        <v>150</v>
      </c>
      <c r="Z30" s="2026">
        <f t="shared" ref="Z30:Z41" si="6">SUM(E30:Y30)</f>
        <v>3358</v>
      </c>
      <c r="AB30" s="2027">
        <f>+E10+S10+Z10</f>
        <v>9325.7410000000018</v>
      </c>
      <c r="AC30" s="2028">
        <v>197.35300000000001</v>
      </c>
      <c r="AD30" s="2029">
        <f>AB30+AC30</f>
        <v>9523.094000000001</v>
      </c>
      <c r="AE30" s="1951"/>
      <c r="AF30" s="2030">
        <f t="shared" ref="AF30:AF41" si="7">+AD30+Z30</f>
        <v>12881.094000000001</v>
      </c>
      <c r="AG30" s="1951"/>
    </row>
    <row r="31" spans="1:33">
      <c r="B31" s="1953" t="s">
        <v>148</v>
      </c>
      <c r="C31" s="2058"/>
      <c r="D31" s="2058"/>
      <c r="E31" s="2024">
        <v>2434</v>
      </c>
      <c r="F31" s="2025">
        <v>50</v>
      </c>
      <c r="G31" s="2025">
        <v>18</v>
      </c>
      <c r="H31" s="2025">
        <v>56</v>
      </c>
      <c r="I31" s="2025">
        <v>0</v>
      </c>
      <c r="J31" s="2025">
        <v>30</v>
      </c>
      <c r="K31" s="2025">
        <v>11</v>
      </c>
      <c r="L31" s="2025">
        <v>80</v>
      </c>
      <c r="M31" s="2025">
        <v>74</v>
      </c>
      <c r="N31" s="2025">
        <v>25</v>
      </c>
      <c r="O31" s="2025">
        <v>4</v>
      </c>
      <c r="P31" s="2025">
        <v>30</v>
      </c>
      <c r="Q31" s="2025">
        <v>25</v>
      </c>
      <c r="R31" s="2025">
        <v>0</v>
      </c>
      <c r="S31" s="2025">
        <v>0</v>
      </c>
      <c r="T31" s="2025">
        <v>121</v>
      </c>
      <c r="U31" s="2025">
        <v>67</v>
      </c>
      <c r="V31" s="2025">
        <v>67</v>
      </c>
      <c r="W31" s="2025">
        <v>66</v>
      </c>
      <c r="X31" s="2025">
        <v>50</v>
      </c>
      <c r="Y31" s="2025">
        <v>150</v>
      </c>
      <c r="Z31" s="2026">
        <f t="shared" si="6"/>
        <v>3358</v>
      </c>
      <c r="AB31" s="2031">
        <f t="shared" ref="AB31:AB41" si="8">+E11+S11+Z11</f>
        <v>8926.8250000000007</v>
      </c>
      <c r="AC31" s="2032">
        <v>208.01499999999999</v>
      </c>
      <c r="AD31" s="2030">
        <f t="shared" ref="AD31:AD41" si="9">AB31+AC31</f>
        <v>9134.84</v>
      </c>
      <c r="AE31" s="1951"/>
      <c r="AF31" s="2030">
        <f t="shared" si="7"/>
        <v>12492.84</v>
      </c>
      <c r="AG31" s="1951"/>
    </row>
    <row r="32" spans="1:33">
      <c r="B32" s="1953" t="s">
        <v>352</v>
      </c>
      <c r="C32" s="2058"/>
      <c r="D32" s="2058"/>
      <c r="E32" s="2024">
        <v>2434</v>
      </c>
      <c r="F32" s="2025">
        <v>50</v>
      </c>
      <c r="G32" s="2025">
        <v>18</v>
      </c>
      <c r="H32" s="2025">
        <v>56</v>
      </c>
      <c r="I32" s="2025">
        <v>0</v>
      </c>
      <c r="J32" s="2025">
        <v>30</v>
      </c>
      <c r="K32" s="2025">
        <v>11</v>
      </c>
      <c r="L32" s="2025">
        <v>80</v>
      </c>
      <c r="M32" s="2025">
        <v>74</v>
      </c>
      <c r="N32" s="2025">
        <v>25</v>
      </c>
      <c r="O32" s="2025">
        <v>4</v>
      </c>
      <c r="P32" s="2025">
        <v>30</v>
      </c>
      <c r="Q32" s="2025">
        <v>25</v>
      </c>
      <c r="R32" s="2025">
        <v>0</v>
      </c>
      <c r="S32" s="2025">
        <v>0</v>
      </c>
      <c r="T32" s="2025">
        <v>121</v>
      </c>
      <c r="U32" s="2025">
        <v>67</v>
      </c>
      <c r="V32" s="2025">
        <v>67</v>
      </c>
      <c r="W32" s="2025">
        <v>66</v>
      </c>
      <c r="X32" s="2025">
        <v>50</v>
      </c>
      <c r="Y32" s="2025">
        <v>150</v>
      </c>
      <c r="Z32" s="2026">
        <f t="shared" si="6"/>
        <v>3358</v>
      </c>
      <c r="AB32" s="2031">
        <f t="shared" si="8"/>
        <v>8733.1930000000011</v>
      </c>
      <c r="AC32" s="2032">
        <v>287.16500000000002</v>
      </c>
      <c r="AD32" s="2030">
        <f t="shared" si="9"/>
        <v>9020.358000000002</v>
      </c>
      <c r="AE32" s="1951"/>
      <c r="AF32" s="2030">
        <f t="shared" si="7"/>
        <v>12378.358000000002</v>
      </c>
      <c r="AG32" s="1951"/>
    </row>
    <row r="33" spans="2:33">
      <c r="B33" s="1953" t="s">
        <v>143</v>
      </c>
      <c r="C33" s="2058"/>
      <c r="D33" s="2058"/>
      <c r="E33" s="2024">
        <v>2434</v>
      </c>
      <c r="F33" s="2025">
        <v>50</v>
      </c>
      <c r="G33" s="2025">
        <v>18</v>
      </c>
      <c r="H33" s="2025">
        <v>56</v>
      </c>
      <c r="I33" s="2025">
        <v>0</v>
      </c>
      <c r="J33" s="2025">
        <v>30</v>
      </c>
      <c r="K33" s="2025">
        <v>11</v>
      </c>
      <c r="L33" s="2025">
        <v>80</v>
      </c>
      <c r="M33" s="2025">
        <v>74</v>
      </c>
      <c r="N33" s="2025">
        <v>25</v>
      </c>
      <c r="O33" s="2025">
        <v>4</v>
      </c>
      <c r="P33" s="2025">
        <v>30</v>
      </c>
      <c r="Q33" s="2025">
        <v>25</v>
      </c>
      <c r="R33" s="2025">
        <v>0</v>
      </c>
      <c r="S33" s="2025">
        <v>0</v>
      </c>
      <c r="T33" s="2025">
        <v>121</v>
      </c>
      <c r="U33" s="2025">
        <v>67</v>
      </c>
      <c r="V33" s="2025">
        <v>67</v>
      </c>
      <c r="W33" s="2025">
        <v>66</v>
      </c>
      <c r="X33" s="2025">
        <v>50</v>
      </c>
      <c r="Y33" s="2025">
        <v>150</v>
      </c>
      <c r="Z33" s="2026">
        <f t="shared" si="6"/>
        <v>3358</v>
      </c>
      <c r="AB33" s="2031">
        <f t="shared" si="8"/>
        <v>8241.3029999999999</v>
      </c>
      <c r="AC33" s="2032">
        <v>197.88300000000001</v>
      </c>
      <c r="AD33" s="2030">
        <f t="shared" si="9"/>
        <v>8439.1859999999997</v>
      </c>
      <c r="AE33" s="1951"/>
      <c r="AF33" s="2030">
        <f t="shared" si="7"/>
        <v>11797.186</v>
      </c>
      <c r="AG33" s="1951"/>
    </row>
    <row r="34" spans="2:33">
      <c r="B34" s="1953" t="s">
        <v>144</v>
      </c>
      <c r="C34" s="2058"/>
      <c r="D34" s="2058"/>
      <c r="E34" s="2024">
        <v>2434</v>
      </c>
      <c r="F34" s="2025">
        <v>50</v>
      </c>
      <c r="G34" s="2025">
        <v>18</v>
      </c>
      <c r="H34" s="2025">
        <v>56</v>
      </c>
      <c r="I34" s="2025">
        <v>0</v>
      </c>
      <c r="J34" s="2025">
        <v>30</v>
      </c>
      <c r="K34" s="2025">
        <v>11</v>
      </c>
      <c r="L34" s="2025">
        <v>80</v>
      </c>
      <c r="M34" s="2025">
        <v>74</v>
      </c>
      <c r="N34" s="2025">
        <v>25</v>
      </c>
      <c r="O34" s="2025">
        <v>4</v>
      </c>
      <c r="P34" s="2025">
        <v>30</v>
      </c>
      <c r="Q34" s="2025">
        <v>25</v>
      </c>
      <c r="R34" s="2025">
        <v>0</v>
      </c>
      <c r="S34" s="2025">
        <v>0</v>
      </c>
      <c r="T34" s="2025">
        <v>121</v>
      </c>
      <c r="U34" s="2025">
        <v>67</v>
      </c>
      <c r="V34" s="2025">
        <v>67</v>
      </c>
      <c r="W34" s="2025">
        <v>66</v>
      </c>
      <c r="X34" s="2025">
        <v>50</v>
      </c>
      <c r="Y34" s="2025">
        <v>150</v>
      </c>
      <c r="Z34" s="2026">
        <f t="shared" si="6"/>
        <v>3358</v>
      </c>
      <c r="AB34" s="2031">
        <f t="shared" si="8"/>
        <v>8443.9989999999998</v>
      </c>
      <c r="AC34" s="2032">
        <v>276.62</v>
      </c>
      <c r="AD34" s="2030">
        <f t="shared" si="9"/>
        <v>8720.6190000000006</v>
      </c>
      <c r="AE34" s="1951"/>
      <c r="AF34" s="2030">
        <f t="shared" si="7"/>
        <v>12078.619000000001</v>
      </c>
      <c r="AG34" s="1951"/>
    </row>
    <row r="35" spans="2:33">
      <c r="B35" s="1953" t="s">
        <v>151</v>
      </c>
      <c r="C35" s="2058"/>
      <c r="D35" s="2058"/>
      <c r="E35" s="2024">
        <v>2529</v>
      </c>
      <c r="F35" s="2025">
        <v>50</v>
      </c>
      <c r="G35" s="2025">
        <v>18</v>
      </c>
      <c r="H35" s="2025">
        <v>56</v>
      </c>
      <c r="I35" s="2025">
        <v>75</v>
      </c>
      <c r="J35" s="2025">
        <v>30</v>
      </c>
      <c r="K35" s="2025">
        <v>11</v>
      </c>
      <c r="L35" s="2025">
        <v>80</v>
      </c>
      <c r="M35" s="2025">
        <v>55</v>
      </c>
      <c r="N35" s="2025">
        <v>25</v>
      </c>
      <c r="O35" s="2025">
        <v>4</v>
      </c>
      <c r="P35" s="2025">
        <v>30</v>
      </c>
      <c r="Q35" s="2025">
        <v>25</v>
      </c>
      <c r="R35" s="2025">
        <v>0</v>
      </c>
      <c r="S35" s="2025">
        <v>15</v>
      </c>
      <c r="T35" s="2025">
        <v>128</v>
      </c>
      <c r="U35" s="2025">
        <v>67</v>
      </c>
      <c r="V35" s="2025">
        <v>67</v>
      </c>
      <c r="W35" s="2025">
        <v>66</v>
      </c>
      <c r="X35" s="2025">
        <v>50</v>
      </c>
      <c r="Y35" s="2025">
        <v>150</v>
      </c>
      <c r="Z35" s="2026">
        <f t="shared" si="6"/>
        <v>3531</v>
      </c>
      <c r="AB35" s="2031">
        <f t="shared" si="8"/>
        <v>12227.038</v>
      </c>
      <c r="AC35" s="2032">
        <v>287.48099999999999</v>
      </c>
      <c r="AD35" s="2030">
        <f t="shared" si="9"/>
        <v>12514.519</v>
      </c>
      <c r="AE35" s="1951"/>
      <c r="AF35" s="2030">
        <f t="shared" si="7"/>
        <v>16045.519</v>
      </c>
      <c r="AG35" s="1951"/>
    </row>
    <row r="36" spans="2:33">
      <c r="B36" s="1953" t="s">
        <v>744</v>
      </c>
      <c r="C36" s="2058"/>
      <c r="D36" s="2058"/>
      <c r="E36" s="2024">
        <v>2529</v>
      </c>
      <c r="F36" s="2025">
        <v>50</v>
      </c>
      <c r="G36" s="2025">
        <v>18</v>
      </c>
      <c r="H36" s="2025">
        <v>56</v>
      </c>
      <c r="I36" s="2025">
        <v>75</v>
      </c>
      <c r="J36" s="2025">
        <v>30</v>
      </c>
      <c r="K36" s="2025">
        <v>11</v>
      </c>
      <c r="L36" s="2025">
        <v>80</v>
      </c>
      <c r="M36" s="2025">
        <v>55</v>
      </c>
      <c r="N36" s="2025">
        <v>25</v>
      </c>
      <c r="O36" s="2025">
        <v>4</v>
      </c>
      <c r="P36" s="2025">
        <v>30</v>
      </c>
      <c r="Q36" s="2025">
        <v>25</v>
      </c>
      <c r="R36" s="2025">
        <v>0</v>
      </c>
      <c r="S36" s="2025">
        <v>15</v>
      </c>
      <c r="T36" s="2025">
        <v>128</v>
      </c>
      <c r="U36" s="2025">
        <v>67</v>
      </c>
      <c r="V36" s="2025">
        <v>67</v>
      </c>
      <c r="W36" s="2025">
        <v>66</v>
      </c>
      <c r="X36" s="2025">
        <v>50</v>
      </c>
      <c r="Y36" s="2025">
        <v>150</v>
      </c>
      <c r="Z36" s="2026">
        <f t="shared" si="6"/>
        <v>3531</v>
      </c>
      <c r="AB36" s="2031">
        <f t="shared" si="8"/>
        <v>11997.499999999998</v>
      </c>
      <c r="AC36" s="2032">
        <v>328.48399999999998</v>
      </c>
      <c r="AD36" s="2030">
        <f t="shared" si="9"/>
        <v>12325.983999999999</v>
      </c>
      <c r="AE36" s="1951"/>
      <c r="AF36" s="2030">
        <f t="shared" si="7"/>
        <v>15856.983999999999</v>
      </c>
      <c r="AG36" s="1951"/>
    </row>
    <row r="37" spans="2:33">
      <c r="B37" s="1953" t="s">
        <v>153</v>
      </c>
      <c r="C37" s="2058"/>
      <c r="D37" s="2058"/>
      <c r="E37" s="2024">
        <v>2529</v>
      </c>
      <c r="F37" s="2025">
        <v>50</v>
      </c>
      <c r="G37" s="2025">
        <v>18</v>
      </c>
      <c r="H37" s="2025">
        <v>56</v>
      </c>
      <c r="I37" s="2025">
        <v>75</v>
      </c>
      <c r="J37" s="2025">
        <v>30</v>
      </c>
      <c r="K37" s="2025">
        <v>11</v>
      </c>
      <c r="L37" s="2025">
        <v>80</v>
      </c>
      <c r="M37" s="2025">
        <v>55</v>
      </c>
      <c r="N37" s="2025">
        <v>25</v>
      </c>
      <c r="O37" s="2025">
        <v>4</v>
      </c>
      <c r="P37" s="2025">
        <v>30</v>
      </c>
      <c r="Q37" s="2025">
        <v>25</v>
      </c>
      <c r="R37" s="2025">
        <v>0</v>
      </c>
      <c r="S37" s="2025">
        <v>15</v>
      </c>
      <c r="T37" s="2025">
        <v>128</v>
      </c>
      <c r="U37" s="2025">
        <v>67</v>
      </c>
      <c r="V37" s="2025">
        <v>67</v>
      </c>
      <c r="W37" s="2025">
        <v>66</v>
      </c>
      <c r="X37" s="2025">
        <v>50</v>
      </c>
      <c r="Y37" s="2025">
        <v>150</v>
      </c>
      <c r="Z37" s="2026">
        <f t="shared" si="6"/>
        <v>3531</v>
      </c>
      <c r="AB37" s="2031">
        <f t="shared" si="8"/>
        <v>11072.754999999999</v>
      </c>
      <c r="AC37" s="2032">
        <v>342.24200000000002</v>
      </c>
      <c r="AD37" s="2030">
        <f t="shared" si="9"/>
        <v>11414.996999999999</v>
      </c>
      <c r="AE37" s="1951"/>
      <c r="AF37" s="2030">
        <f t="shared" si="7"/>
        <v>14945.996999999999</v>
      </c>
      <c r="AG37" s="1951"/>
    </row>
    <row r="38" spans="2:33">
      <c r="B38" s="1953" t="s">
        <v>743</v>
      </c>
      <c r="C38" s="2058"/>
      <c r="D38" s="2058"/>
      <c r="E38" s="2024">
        <v>2529</v>
      </c>
      <c r="F38" s="2025">
        <v>50</v>
      </c>
      <c r="G38" s="2025">
        <v>18</v>
      </c>
      <c r="H38" s="2025">
        <v>56</v>
      </c>
      <c r="I38" s="2025">
        <v>75</v>
      </c>
      <c r="J38" s="2025">
        <v>30</v>
      </c>
      <c r="K38" s="2025">
        <v>11</v>
      </c>
      <c r="L38" s="2025">
        <v>80</v>
      </c>
      <c r="M38" s="2025">
        <v>55</v>
      </c>
      <c r="N38" s="2025">
        <v>25</v>
      </c>
      <c r="O38" s="2025">
        <v>4</v>
      </c>
      <c r="P38" s="2025">
        <v>30</v>
      </c>
      <c r="Q38" s="2025">
        <v>0</v>
      </c>
      <c r="R38" s="2025">
        <v>0</v>
      </c>
      <c r="S38" s="2025">
        <v>15</v>
      </c>
      <c r="T38" s="2025">
        <v>127</v>
      </c>
      <c r="U38" s="2025">
        <v>67</v>
      </c>
      <c r="V38" s="2025">
        <v>67</v>
      </c>
      <c r="W38" s="2025">
        <v>66</v>
      </c>
      <c r="X38" s="2025">
        <v>50</v>
      </c>
      <c r="Y38" s="2025">
        <v>150</v>
      </c>
      <c r="Z38" s="2026">
        <f t="shared" si="6"/>
        <v>3505</v>
      </c>
      <c r="AB38" s="2031">
        <f t="shared" si="8"/>
        <v>10092.901</v>
      </c>
      <c r="AC38" s="2032">
        <v>381.06799999999998</v>
      </c>
      <c r="AD38" s="2030">
        <f t="shared" si="9"/>
        <v>10473.968999999999</v>
      </c>
      <c r="AE38" s="1951"/>
      <c r="AF38" s="2030">
        <f t="shared" si="7"/>
        <v>13978.968999999999</v>
      </c>
      <c r="AG38" s="1951"/>
    </row>
    <row r="39" spans="2:33">
      <c r="B39" s="1953" t="s">
        <v>155</v>
      </c>
      <c r="C39" s="2058"/>
      <c r="D39" s="2058"/>
      <c r="E39" s="2024">
        <v>2529</v>
      </c>
      <c r="F39" s="2025">
        <v>50</v>
      </c>
      <c r="G39" s="2025">
        <v>18</v>
      </c>
      <c r="H39" s="2025">
        <v>56</v>
      </c>
      <c r="I39" s="2025">
        <v>75</v>
      </c>
      <c r="J39" s="2025">
        <v>30</v>
      </c>
      <c r="K39" s="2025">
        <v>11</v>
      </c>
      <c r="L39" s="2025">
        <v>80</v>
      </c>
      <c r="M39" s="2025">
        <v>55</v>
      </c>
      <c r="N39" s="2025">
        <v>25</v>
      </c>
      <c r="O39" s="2025">
        <v>4</v>
      </c>
      <c r="P39" s="2025">
        <v>30</v>
      </c>
      <c r="Q39" s="2025">
        <v>0</v>
      </c>
      <c r="R39" s="2025">
        <v>0</v>
      </c>
      <c r="S39" s="2025">
        <v>0</v>
      </c>
      <c r="T39" s="2025">
        <v>126</v>
      </c>
      <c r="U39" s="2025">
        <v>67</v>
      </c>
      <c r="V39" s="2025">
        <v>67</v>
      </c>
      <c r="W39" s="2025">
        <v>66</v>
      </c>
      <c r="X39" s="2025">
        <v>50</v>
      </c>
      <c r="Y39" s="2025">
        <v>150</v>
      </c>
      <c r="Z39" s="2026">
        <f t="shared" si="6"/>
        <v>3489</v>
      </c>
      <c r="AB39" s="2031">
        <f t="shared" si="8"/>
        <v>8991.3220000000001</v>
      </c>
      <c r="AC39" s="2032">
        <v>285.55700000000002</v>
      </c>
      <c r="AD39" s="2030">
        <f t="shared" si="9"/>
        <v>9276.8790000000008</v>
      </c>
      <c r="AE39" s="1951"/>
      <c r="AF39" s="2030">
        <f t="shared" si="7"/>
        <v>12765.879000000001</v>
      </c>
      <c r="AG39" s="1951"/>
    </row>
    <row r="40" spans="2:33">
      <c r="B40" s="1953" t="s">
        <v>156</v>
      </c>
      <c r="C40" s="2058"/>
      <c r="D40" s="2058"/>
      <c r="E40" s="2024">
        <v>2434</v>
      </c>
      <c r="F40" s="2025">
        <v>50</v>
      </c>
      <c r="G40" s="2025">
        <v>18</v>
      </c>
      <c r="H40" s="2025">
        <v>56</v>
      </c>
      <c r="I40" s="2025">
        <v>0</v>
      </c>
      <c r="J40" s="2025">
        <v>30</v>
      </c>
      <c r="K40" s="2025">
        <v>11</v>
      </c>
      <c r="L40" s="2025">
        <v>80</v>
      </c>
      <c r="M40" s="2025">
        <v>74</v>
      </c>
      <c r="N40" s="2025">
        <v>25</v>
      </c>
      <c r="O40" s="2025">
        <v>4</v>
      </c>
      <c r="P40" s="2025">
        <v>30</v>
      </c>
      <c r="Q40" s="2025">
        <v>0</v>
      </c>
      <c r="R40" s="2025">
        <v>25</v>
      </c>
      <c r="S40" s="2025">
        <v>0</v>
      </c>
      <c r="T40" s="2025">
        <v>121</v>
      </c>
      <c r="U40" s="2025">
        <v>67</v>
      </c>
      <c r="V40" s="2025">
        <v>67</v>
      </c>
      <c r="W40" s="2025">
        <v>66</v>
      </c>
      <c r="X40" s="2025">
        <v>50</v>
      </c>
      <c r="Y40" s="2025">
        <v>150</v>
      </c>
      <c r="Z40" s="2026">
        <f t="shared" si="6"/>
        <v>3358</v>
      </c>
      <c r="AB40" s="2031">
        <f t="shared" si="8"/>
        <v>9513.19</v>
      </c>
      <c r="AC40" s="2032">
        <v>245.202</v>
      </c>
      <c r="AD40" s="2030">
        <f t="shared" si="9"/>
        <v>9758.3919999999998</v>
      </c>
      <c r="AE40" s="1951"/>
      <c r="AF40" s="2030">
        <f t="shared" si="7"/>
        <v>13116.392</v>
      </c>
      <c r="AG40" s="1951"/>
    </row>
    <row r="41" spans="2:33" ht="16.5" thickBot="1">
      <c r="B41" s="1953" t="s">
        <v>157</v>
      </c>
      <c r="C41" s="2058"/>
      <c r="D41" s="2056"/>
      <c r="E41" s="2024">
        <v>2434</v>
      </c>
      <c r="F41" s="2025">
        <v>50</v>
      </c>
      <c r="G41" s="2025">
        <v>18</v>
      </c>
      <c r="H41" s="2025">
        <v>56</v>
      </c>
      <c r="I41" s="2025">
        <v>0</v>
      </c>
      <c r="J41" s="2025">
        <v>30</v>
      </c>
      <c r="K41" s="2025">
        <v>11</v>
      </c>
      <c r="L41" s="2025">
        <v>80</v>
      </c>
      <c r="M41" s="2025">
        <v>74</v>
      </c>
      <c r="N41" s="2025">
        <v>25</v>
      </c>
      <c r="O41" s="2025">
        <v>4</v>
      </c>
      <c r="P41" s="2025">
        <v>30</v>
      </c>
      <c r="Q41" s="2025">
        <v>0</v>
      </c>
      <c r="R41" s="2025">
        <v>25</v>
      </c>
      <c r="S41" s="2025">
        <v>0</v>
      </c>
      <c r="T41" s="2025">
        <v>126</v>
      </c>
      <c r="U41" s="2025">
        <v>67</v>
      </c>
      <c r="V41" s="2025">
        <v>67</v>
      </c>
      <c r="W41" s="2025">
        <v>66</v>
      </c>
      <c r="X41" s="2025">
        <v>50</v>
      </c>
      <c r="Y41" s="2025">
        <v>150</v>
      </c>
      <c r="Z41" s="2026">
        <f t="shared" si="6"/>
        <v>3363</v>
      </c>
      <c r="AB41" s="2033">
        <f t="shared" si="8"/>
        <v>9348.6229999999996</v>
      </c>
      <c r="AC41" s="2034">
        <v>239.905</v>
      </c>
      <c r="AD41" s="2035">
        <f t="shared" si="9"/>
        <v>9588.5280000000002</v>
      </c>
      <c r="AE41" s="1951"/>
      <c r="AF41" s="2030">
        <f t="shared" si="7"/>
        <v>12951.528</v>
      </c>
      <c r="AG41" s="1951"/>
    </row>
    <row r="42" spans="2:33" ht="16.5" thickBot="1">
      <c r="B42" s="2062" t="s">
        <v>282</v>
      </c>
      <c r="C42" s="2063"/>
      <c r="D42" s="2064"/>
      <c r="E42" s="2003">
        <f t="shared" ref="E42:Y42" si="10">SUM(E30:E41)</f>
        <v>29683</v>
      </c>
      <c r="F42" s="2002">
        <f t="shared" si="10"/>
        <v>600</v>
      </c>
      <c r="G42" s="2002">
        <f t="shared" si="10"/>
        <v>216</v>
      </c>
      <c r="H42" s="2002">
        <f t="shared" si="10"/>
        <v>672</v>
      </c>
      <c r="I42" s="2002">
        <f t="shared" si="10"/>
        <v>375</v>
      </c>
      <c r="J42" s="2002">
        <f t="shared" si="10"/>
        <v>360</v>
      </c>
      <c r="K42" s="2002">
        <f t="shared" si="10"/>
        <v>132</v>
      </c>
      <c r="L42" s="2002">
        <f t="shared" si="10"/>
        <v>960</v>
      </c>
      <c r="M42" s="2002">
        <f t="shared" si="10"/>
        <v>793</v>
      </c>
      <c r="N42" s="2002">
        <f t="shared" si="10"/>
        <v>300</v>
      </c>
      <c r="O42" s="2002">
        <f t="shared" si="10"/>
        <v>48</v>
      </c>
      <c r="P42" s="2002">
        <f t="shared" si="10"/>
        <v>360</v>
      </c>
      <c r="Q42" s="2002">
        <f t="shared" ref="Q42" si="11">SUM(Q30:Q41)</f>
        <v>200</v>
      </c>
      <c r="R42" s="2002">
        <f t="shared" si="10"/>
        <v>50</v>
      </c>
      <c r="S42" s="2002">
        <f t="shared" si="10"/>
        <v>60</v>
      </c>
      <c r="T42" s="2002">
        <f t="shared" si="10"/>
        <v>1489</v>
      </c>
      <c r="U42" s="2002">
        <f t="shared" si="10"/>
        <v>804</v>
      </c>
      <c r="V42" s="2002">
        <f t="shared" si="10"/>
        <v>804</v>
      </c>
      <c r="W42" s="2002">
        <f t="shared" si="10"/>
        <v>792</v>
      </c>
      <c r="X42" s="2002">
        <f t="shared" si="10"/>
        <v>600</v>
      </c>
      <c r="Y42" s="2002">
        <f t="shared" si="10"/>
        <v>1800</v>
      </c>
      <c r="Z42" s="2036">
        <f t="shared" ref="Z42" si="12">SUM(Z30:Z41)</f>
        <v>41098</v>
      </c>
      <c r="AB42" s="2037">
        <f>SUM(AB30:AB41)</f>
        <v>116914.39000000001</v>
      </c>
      <c r="AC42" s="2037">
        <f>SUM(AC30:AC41)</f>
        <v>3276.9749999999999</v>
      </c>
      <c r="AD42" s="2037">
        <f>SUM(AD30:AD41)</f>
        <v>120191.36500000001</v>
      </c>
      <c r="AE42" s="1951"/>
      <c r="AF42" s="2037">
        <f>SUM(AF30:AF41)</f>
        <v>161289.36499999999</v>
      </c>
      <c r="AG42" s="1951"/>
    </row>
    <row r="43" spans="2:33" ht="16.5" thickBot="1">
      <c r="B43" s="1992" t="s">
        <v>1802</v>
      </c>
      <c r="C43" s="1993"/>
      <c r="D43" s="1994"/>
      <c r="E43" s="2003">
        <f t="shared" ref="E43:Y43" si="13">+E42/12</f>
        <v>2473.5833333333335</v>
      </c>
      <c r="F43" s="2002">
        <f t="shared" si="13"/>
        <v>50</v>
      </c>
      <c r="G43" s="2002">
        <f t="shared" si="13"/>
        <v>18</v>
      </c>
      <c r="H43" s="2002">
        <f t="shared" si="13"/>
        <v>56</v>
      </c>
      <c r="I43" s="2002">
        <f t="shared" si="13"/>
        <v>31.25</v>
      </c>
      <c r="J43" s="2002">
        <f t="shared" si="13"/>
        <v>30</v>
      </c>
      <c r="K43" s="2002">
        <f t="shared" si="13"/>
        <v>11</v>
      </c>
      <c r="L43" s="2002">
        <f t="shared" si="13"/>
        <v>80</v>
      </c>
      <c r="M43" s="2002">
        <f t="shared" si="13"/>
        <v>66.083333333333329</v>
      </c>
      <c r="N43" s="2002">
        <f t="shared" si="13"/>
        <v>25</v>
      </c>
      <c r="O43" s="2002">
        <f t="shared" si="13"/>
        <v>4</v>
      </c>
      <c r="P43" s="2002">
        <f t="shared" si="13"/>
        <v>30</v>
      </c>
      <c r="Q43" s="2002">
        <f t="shared" ref="Q43" si="14">+Q42/12</f>
        <v>16.666666666666668</v>
      </c>
      <c r="R43" s="2002">
        <f t="shared" si="13"/>
        <v>4.166666666666667</v>
      </c>
      <c r="S43" s="2002">
        <f t="shared" si="13"/>
        <v>5</v>
      </c>
      <c r="T43" s="2002">
        <f t="shared" si="13"/>
        <v>124.08333333333333</v>
      </c>
      <c r="U43" s="2002">
        <f t="shared" si="13"/>
        <v>67</v>
      </c>
      <c r="V43" s="2002">
        <f t="shared" si="13"/>
        <v>67</v>
      </c>
      <c r="W43" s="2002">
        <f t="shared" si="13"/>
        <v>66</v>
      </c>
      <c r="X43" s="2002">
        <f t="shared" si="13"/>
        <v>50</v>
      </c>
      <c r="Y43" s="2002">
        <f t="shared" si="13"/>
        <v>150</v>
      </c>
      <c r="Z43" s="2036">
        <f t="shared" ref="Z43" si="15">+Z42/12</f>
        <v>3424.8333333333335</v>
      </c>
      <c r="AB43" s="2037">
        <f>+AB42/12</f>
        <v>9742.8658333333351</v>
      </c>
      <c r="AC43" s="2037">
        <f>+AC42/12</f>
        <v>273.08125000000001</v>
      </c>
      <c r="AD43" s="2037">
        <f>+AD42/12</f>
        <v>10015.947083333334</v>
      </c>
      <c r="AE43" s="1951"/>
      <c r="AF43" s="2038">
        <f>+AF42/12</f>
        <v>13440.780416666666</v>
      </c>
      <c r="AG43" s="1951"/>
    </row>
    <row r="52" spans="18:20">
      <c r="R52" s="2039"/>
      <c r="T52" s="2040"/>
    </row>
    <row r="53" spans="18:20">
      <c r="R53" s="2039"/>
    </row>
    <row r="55" spans="18:20">
      <c r="R55" s="1997"/>
    </row>
    <row r="56" spans="18:20">
      <c r="R56" s="2040"/>
    </row>
  </sheetData>
  <mergeCells count="4">
    <mergeCell ref="U5:Z5"/>
    <mergeCell ref="AF28:AF29"/>
    <mergeCell ref="E5:S5"/>
    <mergeCell ref="E25:Y25"/>
  </mergeCells>
  <pageMargins left="0.45" right="0.45" top="0.75" bottom="0.75" header="0.3" footer="0.3"/>
  <pageSetup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zoomScale="145" zoomScaleNormal="145" workbookViewId="0">
      <selection activeCell="O10" sqref="O10"/>
    </sheetView>
  </sheetViews>
  <sheetFormatPr defaultColWidth="9.140625" defaultRowHeight="15"/>
  <cols>
    <col min="1" max="1" width="1.85546875" style="1804" customWidth="1"/>
    <col min="2" max="3" width="20.7109375" style="1804" customWidth="1"/>
    <col min="4" max="4" width="33.140625" style="1804" bestFit="1" customWidth="1"/>
    <col min="5" max="5" width="20.7109375" style="1804" customWidth="1"/>
    <col min="6" max="6" width="1.42578125" style="1804" customWidth="1"/>
    <col min="7" max="8" width="9.140625" style="1804"/>
    <col min="9" max="9" width="9.7109375" style="1804" bestFit="1" customWidth="1"/>
    <col min="10" max="10" width="13.5703125" style="1804" bestFit="1" customWidth="1"/>
    <col min="11" max="11" width="9.140625" style="1804"/>
    <col min="12" max="12" width="14.5703125" style="1804" bestFit="1" customWidth="1"/>
    <col min="13" max="16384" width="9.140625" style="1804"/>
  </cols>
  <sheetData>
    <row r="1" spans="1:15" s="437" customFormat="1" ht="15.75">
      <c r="A1" s="1802"/>
      <c r="B1" s="2600" t="s">
        <v>365</v>
      </c>
      <c r="C1" s="2600"/>
      <c r="D1" s="2600"/>
      <c r="E1" s="2600"/>
      <c r="F1" s="1541"/>
      <c r="G1" s="1541"/>
      <c r="H1" s="1541"/>
      <c r="I1" s="1541"/>
      <c r="J1" s="1541"/>
      <c r="K1" s="1541"/>
      <c r="L1" s="1541"/>
      <c r="M1" s="1541"/>
      <c r="N1" s="1541"/>
      <c r="O1" s="1541"/>
    </row>
    <row r="2" spans="1:15" s="437" customFormat="1">
      <c r="A2" s="1802"/>
      <c r="B2" s="2601" t="s">
        <v>463</v>
      </c>
      <c r="C2" s="2601"/>
      <c r="D2" s="2601"/>
      <c r="E2" s="2601"/>
      <c r="F2" s="1541"/>
      <c r="G2" s="1541"/>
      <c r="H2" s="1541"/>
      <c r="I2" s="1541"/>
      <c r="J2" s="1541"/>
      <c r="K2" s="1541"/>
      <c r="L2" s="1541"/>
      <c r="M2" s="1541"/>
      <c r="N2" s="1541"/>
      <c r="O2" s="1541"/>
    </row>
    <row r="3" spans="1:15" s="437" customFormat="1" ht="12.75">
      <c r="A3" s="1802"/>
      <c r="B3" s="2602"/>
      <c r="C3" s="2602"/>
      <c r="D3" s="2602"/>
      <c r="E3" s="2602"/>
      <c r="F3" s="1539"/>
      <c r="G3" s="1539"/>
      <c r="H3" s="1539"/>
      <c r="I3" s="1539"/>
      <c r="J3" s="1539"/>
      <c r="K3" s="1539"/>
      <c r="L3" s="1539"/>
      <c r="M3" s="1539"/>
      <c r="N3" s="1539"/>
      <c r="O3" s="1539"/>
    </row>
    <row r="4" spans="1:15">
      <c r="A4" s="1803"/>
      <c r="B4" s="1803"/>
      <c r="C4" s="1803"/>
      <c r="D4" s="1803"/>
      <c r="E4" s="1803"/>
      <c r="F4" s="1803"/>
    </row>
    <row r="5" spans="1:15">
      <c r="A5" s="1803"/>
      <c r="B5" s="1805" t="s">
        <v>994</v>
      </c>
      <c r="C5" s="1803"/>
      <c r="D5" s="1803"/>
      <c r="E5" s="1803"/>
      <c r="F5" s="1803"/>
    </row>
    <row r="6" spans="1:15">
      <c r="A6" s="1803"/>
      <c r="B6" s="1803"/>
      <c r="C6" s="1803"/>
      <c r="D6" s="1803"/>
      <c r="E6" s="1803"/>
      <c r="F6" s="1803"/>
    </row>
    <row r="7" spans="1:15">
      <c r="A7" s="1803"/>
      <c r="B7" s="1755" t="s">
        <v>366</v>
      </c>
      <c r="C7" s="1755" t="s">
        <v>367</v>
      </c>
      <c r="D7" s="1756" t="s">
        <v>24</v>
      </c>
      <c r="E7" s="1757" t="s">
        <v>158</v>
      </c>
      <c r="F7" s="1803"/>
    </row>
    <row r="8" spans="1:15">
      <c r="A8" s="1803"/>
      <c r="B8" s="1761">
        <v>1110000</v>
      </c>
      <c r="C8" s="1761">
        <v>146140</v>
      </c>
      <c r="D8" s="1761" t="s">
        <v>368</v>
      </c>
      <c r="E8" s="1760">
        <v>-435114328.92000002</v>
      </c>
      <c r="F8" s="1803"/>
      <c r="H8" s="1800"/>
      <c r="I8" s="1800"/>
      <c r="J8" s="1758"/>
      <c r="K8" s="1800"/>
      <c r="L8" s="1765"/>
    </row>
    <row r="9" spans="1:15">
      <c r="A9" s="1803"/>
      <c r="B9" s="1759">
        <v>1110000</v>
      </c>
      <c r="C9" s="1761">
        <v>146200</v>
      </c>
      <c r="D9" s="1761" t="s">
        <v>369</v>
      </c>
      <c r="E9" s="1760">
        <v>-94800959.049999997</v>
      </c>
      <c r="F9" s="1803"/>
      <c r="J9" s="1765"/>
      <c r="L9" s="1765"/>
    </row>
    <row r="10" spans="1:15">
      <c r="A10" s="1803"/>
      <c r="B10" s="1759">
        <v>1110000</v>
      </c>
      <c r="C10" s="1761">
        <v>146201</v>
      </c>
      <c r="D10" s="1761" t="s">
        <v>1808</v>
      </c>
      <c r="E10" s="1760">
        <v>683481.64</v>
      </c>
      <c r="F10" s="1803"/>
      <c r="J10" s="1765"/>
      <c r="L10" s="1765"/>
    </row>
    <row r="11" spans="1:15">
      <c r="A11" s="1803"/>
      <c r="B11" s="1759">
        <v>1110000</v>
      </c>
      <c r="C11" s="1761">
        <v>146210</v>
      </c>
      <c r="D11" s="1761" t="s">
        <v>370</v>
      </c>
      <c r="E11" s="1760">
        <v>-13941125.18</v>
      </c>
      <c r="F11" s="1803"/>
      <c r="J11" s="1765"/>
      <c r="L11" s="1765"/>
    </row>
    <row r="12" spans="1:15">
      <c r="A12" s="1803"/>
      <c r="B12" s="1759">
        <v>1110000</v>
      </c>
      <c r="C12" s="1761">
        <v>146230</v>
      </c>
      <c r="D12" s="1761" t="s">
        <v>483</v>
      </c>
      <c r="E12" s="1760">
        <v>-16627348.130000001</v>
      </c>
      <c r="F12" s="1803"/>
      <c r="J12" s="1765"/>
      <c r="L12" s="1765"/>
    </row>
    <row r="13" spans="1:15">
      <c r="A13" s="1803"/>
      <c r="B13" s="1762"/>
      <c r="C13" s="1762"/>
      <c r="D13" s="1763" t="s">
        <v>1485</v>
      </c>
      <c r="E13" s="1764">
        <f>SUM(E8:E12)</f>
        <v>-559800279.63999999</v>
      </c>
      <c r="G13" s="2357" t="s">
        <v>1969</v>
      </c>
    </row>
    <row r="14" spans="1:15">
      <c r="A14" s="1803"/>
      <c r="B14" s="1803"/>
      <c r="C14" s="1803"/>
      <c r="D14" s="1803"/>
      <c r="E14" s="1803"/>
      <c r="F14" s="1803"/>
      <c r="J14" s="1765"/>
      <c r="L14" s="1765"/>
    </row>
    <row r="15" spans="1:15">
      <c r="A15" s="1803"/>
      <c r="B15" s="1803"/>
      <c r="C15" s="1803"/>
      <c r="D15" s="1803"/>
      <c r="E15" s="1803"/>
      <c r="F15" s="1803"/>
    </row>
    <row r="16" spans="1:15">
      <c r="A16" s="1803"/>
      <c r="B16" s="1803"/>
      <c r="C16" s="1803"/>
      <c r="D16" s="1803"/>
      <c r="E16" s="1803"/>
      <c r="F16" s="1803"/>
    </row>
    <row r="17" spans="1:6">
      <c r="A17" s="1803"/>
      <c r="B17" s="1803"/>
      <c r="C17" s="1803"/>
      <c r="D17" s="1803"/>
      <c r="E17" s="1803"/>
      <c r="F17" s="1803"/>
    </row>
    <row r="18" spans="1:6">
      <c r="A18" s="1803"/>
      <c r="B18" s="1803"/>
      <c r="C18" s="1803"/>
      <c r="D18" s="1803"/>
      <c r="E18" s="1803"/>
      <c r="F18" s="1803"/>
    </row>
  </sheetData>
  <mergeCells count="3">
    <mergeCell ref="B1:E1"/>
    <mergeCell ref="B2:E2"/>
    <mergeCell ref="B3:E3"/>
  </mergeCells>
  <pageMargins left="0.7" right="0.7" top="0.75" bottom="0.75" header="0.3" footer="0.3"/>
  <pageSetup scale="9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59"/>
  <sheetViews>
    <sheetView zoomScaleNormal="100" workbookViewId="0">
      <selection activeCell="O10" sqref="O10"/>
    </sheetView>
  </sheetViews>
  <sheetFormatPr defaultColWidth="9.140625" defaultRowHeight="15"/>
  <cols>
    <col min="1" max="1" width="4.85546875" style="1804" customWidth="1"/>
    <col min="2" max="3" width="17.85546875" style="1804" customWidth="1"/>
    <col min="4" max="4" width="42.42578125" style="1804" customWidth="1"/>
    <col min="5" max="5" width="17.7109375" style="1804" customWidth="1"/>
    <col min="6" max="6" width="18" style="1800" customWidth="1"/>
    <col min="7" max="8" width="18" style="1804" customWidth="1"/>
    <col min="9" max="12" width="17.7109375" style="1804" customWidth="1"/>
    <col min="13" max="14" width="9.140625" style="1804"/>
    <col min="15" max="15" width="15" style="1804" customWidth="1"/>
    <col min="16" max="16384" width="9.140625" style="1804"/>
  </cols>
  <sheetData>
    <row r="1" spans="1:17" s="437" customFormat="1" ht="15.75">
      <c r="A1" s="1802"/>
      <c r="B1" s="1578" t="s">
        <v>365</v>
      </c>
      <c r="C1" s="1577"/>
      <c r="D1" s="1577"/>
      <c r="E1" s="1577"/>
      <c r="F1" s="1577"/>
      <c r="G1" s="1577"/>
      <c r="H1" s="1577"/>
      <c r="I1" s="1577"/>
      <c r="J1" s="1577"/>
      <c r="K1" s="1577"/>
      <c r="L1" s="1577"/>
      <c r="M1" s="1541"/>
      <c r="N1" s="1541"/>
      <c r="O1" s="1541"/>
      <c r="P1" s="1541"/>
      <c r="Q1" s="1541"/>
    </row>
    <row r="2" spans="1:17" s="437" customFormat="1" ht="15.75">
      <c r="A2" s="1802"/>
      <c r="B2" s="1578" t="s">
        <v>464</v>
      </c>
      <c r="C2" s="1577"/>
      <c r="D2" s="1577"/>
      <c r="E2" s="1577"/>
      <c r="F2" s="1577"/>
      <c r="G2" s="1577"/>
      <c r="H2" s="1577"/>
      <c r="I2" s="1577"/>
      <c r="J2" s="1577"/>
      <c r="K2" s="1577"/>
      <c r="L2" s="1577"/>
      <c r="M2" s="1541"/>
      <c r="N2" s="1541"/>
      <c r="O2" s="1541"/>
      <c r="P2" s="1541"/>
      <c r="Q2" s="1541"/>
    </row>
    <row r="3" spans="1:17" s="437" customFormat="1" ht="12.75">
      <c r="A3" s="1802"/>
      <c r="B3" s="1539"/>
      <c r="C3" s="1539"/>
      <c r="D3" s="1539"/>
      <c r="E3" s="1539"/>
      <c r="F3" s="1539"/>
      <c r="G3" s="1539"/>
      <c r="H3" s="1539"/>
      <c r="I3" s="1539"/>
      <c r="J3" s="1539"/>
      <c r="K3" s="1539"/>
      <c r="L3" s="1539"/>
      <c r="M3" s="1539"/>
      <c r="N3" s="1539"/>
      <c r="O3" s="1539"/>
      <c r="P3" s="1539"/>
      <c r="Q3" s="1539"/>
    </row>
    <row r="4" spans="1:17">
      <c r="A4" s="1803"/>
      <c r="B4" s="1766" t="s">
        <v>1976</v>
      </c>
      <c r="C4" s="1767"/>
      <c r="D4" s="1767"/>
      <c r="E4" s="1767"/>
      <c r="F4" s="1767"/>
      <c r="G4" s="1767"/>
      <c r="H4" s="1767"/>
      <c r="I4" s="1767"/>
      <c r="J4" s="1767"/>
      <c r="K4" s="1767"/>
      <c r="L4" s="1767"/>
    </row>
    <row r="5" spans="1:17" s="436" customFormat="1" ht="13.5" thickBot="1">
      <c r="A5" s="437"/>
      <c r="B5" s="437"/>
      <c r="C5" s="437"/>
      <c r="D5" s="437"/>
      <c r="E5" s="437"/>
      <c r="F5" s="437"/>
      <c r="G5" s="437"/>
      <c r="H5" s="437"/>
      <c r="I5" s="437"/>
      <c r="J5" s="437"/>
      <c r="K5" s="437"/>
      <c r="L5" s="437"/>
    </row>
    <row r="6" spans="1:17" ht="29.25" customHeight="1" thickBot="1">
      <c r="A6" s="1803"/>
      <c r="B6" s="1768" t="s">
        <v>366</v>
      </c>
      <c r="C6" s="1769" t="s">
        <v>367</v>
      </c>
      <c r="D6" s="1770" t="s">
        <v>911</v>
      </c>
      <c r="E6" s="1771" t="s">
        <v>910</v>
      </c>
      <c r="F6" s="1772" t="s">
        <v>990</v>
      </c>
      <c r="G6" s="1773" t="s">
        <v>989</v>
      </c>
      <c r="H6" s="1774" t="s">
        <v>907</v>
      </c>
      <c r="I6" s="1775" t="s">
        <v>104</v>
      </c>
      <c r="J6" s="1776" t="s">
        <v>872</v>
      </c>
      <c r="K6" s="1776" t="s">
        <v>908</v>
      </c>
      <c r="L6" s="1777" t="s">
        <v>909</v>
      </c>
    </row>
    <row r="7" spans="1:17">
      <c r="A7" s="1803"/>
      <c r="B7" s="1576">
        <v>1651000</v>
      </c>
      <c r="C7" s="1575">
        <v>132008</v>
      </c>
      <c r="D7" s="1575" t="s">
        <v>484</v>
      </c>
      <c r="E7" s="1574" t="s">
        <v>908</v>
      </c>
      <c r="F7" s="1573">
        <v>2179964.31</v>
      </c>
      <c r="G7" s="1573">
        <v>2201686.75</v>
      </c>
      <c r="H7" s="1778">
        <f t="shared" ref="H7:H51" si="0">AVERAGE(F7:G7)</f>
        <v>2190825.5300000003</v>
      </c>
      <c r="I7" s="1572" t="str">
        <f t="shared" ref="I7:L27" si="1">IF($E7=I$6,$H7,"")</f>
        <v/>
      </c>
      <c r="J7" s="1571" t="str">
        <f t="shared" si="1"/>
        <v/>
      </c>
      <c r="K7" s="1571">
        <f t="shared" si="1"/>
        <v>2190825.5300000003</v>
      </c>
      <c r="L7" s="1570" t="str">
        <f t="shared" si="1"/>
        <v/>
      </c>
      <c r="O7" s="1788"/>
    </row>
    <row r="8" spans="1:17">
      <c r="A8" s="1803"/>
      <c r="B8" s="1781"/>
      <c r="C8" s="1782">
        <v>132012</v>
      </c>
      <c r="D8" s="1782" t="s">
        <v>485</v>
      </c>
      <c r="E8" s="1779" t="s">
        <v>908</v>
      </c>
      <c r="F8" s="1784">
        <v>4468325.49</v>
      </c>
      <c r="G8" s="1784">
        <v>4262187.6900000004</v>
      </c>
      <c r="H8" s="1787">
        <f t="shared" si="0"/>
        <v>4365256.59</v>
      </c>
      <c r="I8" s="1785" t="str">
        <f t="shared" si="1"/>
        <v/>
      </c>
      <c r="J8" s="1786" t="str">
        <f t="shared" si="1"/>
        <v/>
      </c>
      <c r="K8" s="1786">
        <f t="shared" si="1"/>
        <v>4365256.59</v>
      </c>
      <c r="L8" s="1787" t="str">
        <f t="shared" si="1"/>
        <v/>
      </c>
      <c r="O8" s="1788"/>
    </row>
    <row r="9" spans="1:17">
      <c r="A9" s="1803"/>
      <c r="B9" s="1781"/>
      <c r="C9" s="1782">
        <v>132013</v>
      </c>
      <c r="D9" s="1782" t="s">
        <v>486</v>
      </c>
      <c r="E9" s="1783" t="s">
        <v>909</v>
      </c>
      <c r="F9" s="1784">
        <v>0</v>
      </c>
      <c r="G9" s="1784">
        <v>0</v>
      </c>
      <c r="H9" s="1787">
        <f t="shared" si="0"/>
        <v>0</v>
      </c>
      <c r="I9" s="1785" t="str">
        <f t="shared" si="1"/>
        <v/>
      </c>
      <c r="J9" s="1786" t="str">
        <f t="shared" si="1"/>
        <v/>
      </c>
      <c r="K9" s="1786" t="str">
        <f t="shared" si="1"/>
        <v/>
      </c>
      <c r="L9" s="1787">
        <f t="shared" si="1"/>
        <v>0</v>
      </c>
      <c r="O9" s="1788"/>
    </row>
    <row r="10" spans="1:17">
      <c r="A10" s="1803"/>
      <c r="B10" s="1781"/>
      <c r="C10" s="1782">
        <v>132016</v>
      </c>
      <c r="D10" s="1782" t="s">
        <v>487</v>
      </c>
      <c r="E10" s="1783" t="s">
        <v>104</v>
      </c>
      <c r="F10" s="1784">
        <v>348197.31</v>
      </c>
      <c r="G10" s="1784">
        <v>353349.33</v>
      </c>
      <c r="H10" s="1787">
        <f t="shared" si="0"/>
        <v>350773.32</v>
      </c>
      <c r="I10" s="1785">
        <f t="shared" si="1"/>
        <v>350773.32</v>
      </c>
      <c r="J10" s="1786" t="str">
        <f t="shared" si="1"/>
        <v/>
      </c>
      <c r="K10" s="1786" t="str">
        <f t="shared" si="1"/>
        <v/>
      </c>
      <c r="L10" s="1787" t="str">
        <f t="shared" si="1"/>
        <v/>
      </c>
      <c r="O10" s="1788"/>
    </row>
    <row r="11" spans="1:17">
      <c r="A11" s="1803"/>
      <c r="B11" s="1781"/>
      <c r="C11" s="1782">
        <v>132045</v>
      </c>
      <c r="D11" s="1782" t="s">
        <v>488</v>
      </c>
      <c r="E11" s="1783" t="s">
        <v>909</v>
      </c>
      <c r="F11" s="1784">
        <v>181287.66</v>
      </c>
      <c r="G11" s="1784">
        <v>203981.49</v>
      </c>
      <c r="H11" s="1787">
        <f t="shared" si="0"/>
        <v>192634.57500000001</v>
      </c>
      <c r="I11" s="1785" t="str">
        <f t="shared" si="1"/>
        <v/>
      </c>
      <c r="J11" s="1786" t="str">
        <f t="shared" si="1"/>
        <v/>
      </c>
      <c r="K11" s="1786" t="str">
        <f t="shared" si="1"/>
        <v/>
      </c>
      <c r="L11" s="1787">
        <f t="shared" si="1"/>
        <v>192634.57500000001</v>
      </c>
      <c r="O11" s="1788"/>
    </row>
    <row r="12" spans="1:17">
      <c r="A12" s="1803"/>
      <c r="B12" s="1781"/>
      <c r="C12" s="1782">
        <v>132055</v>
      </c>
      <c r="D12" s="1782" t="s">
        <v>489</v>
      </c>
      <c r="E12" s="1783" t="s">
        <v>909</v>
      </c>
      <c r="F12" s="1784">
        <v>1937443.73</v>
      </c>
      <c r="G12" s="1784">
        <v>1130693.2</v>
      </c>
      <c r="H12" s="1787">
        <f t="shared" si="0"/>
        <v>1534068.4649999999</v>
      </c>
      <c r="I12" s="1785" t="str">
        <f t="shared" si="1"/>
        <v/>
      </c>
      <c r="J12" s="1786" t="str">
        <f t="shared" si="1"/>
        <v/>
      </c>
      <c r="K12" s="1786" t="str">
        <f t="shared" si="1"/>
        <v/>
      </c>
      <c r="L12" s="1787">
        <f t="shared" si="1"/>
        <v>1534068.4649999999</v>
      </c>
      <c r="O12" s="1788"/>
    </row>
    <row r="13" spans="1:17">
      <c r="A13" s="1803"/>
      <c r="B13" s="1781"/>
      <c r="C13" s="1782">
        <v>132722</v>
      </c>
      <c r="D13" s="1782" t="s">
        <v>490</v>
      </c>
      <c r="E13" s="1783" t="s">
        <v>908</v>
      </c>
      <c r="F13" s="1784">
        <v>0</v>
      </c>
      <c r="G13" s="1784">
        <v>0</v>
      </c>
      <c r="H13" s="1787">
        <f t="shared" si="0"/>
        <v>0</v>
      </c>
      <c r="I13" s="1785" t="str">
        <f t="shared" si="1"/>
        <v/>
      </c>
      <c r="J13" s="1786" t="str">
        <f t="shared" si="1"/>
        <v/>
      </c>
      <c r="K13" s="1786">
        <f t="shared" si="1"/>
        <v>0</v>
      </c>
      <c r="L13" s="1787" t="str">
        <f t="shared" si="1"/>
        <v/>
      </c>
      <c r="O13" s="1788"/>
    </row>
    <row r="14" spans="1:17">
      <c r="A14" s="1803"/>
      <c r="B14" s="1781"/>
      <c r="C14" s="1782">
        <v>132723</v>
      </c>
      <c r="D14" s="1782" t="s">
        <v>491</v>
      </c>
      <c r="E14" s="1783" t="s">
        <v>908</v>
      </c>
      <c r="F14" s="1784">
        <v>0</v>
      </c>
      <c r="G14" s="1784">
        <v>0</v>
      </c>
      <c r="H14" s="1787">
        <f t="shared" si="0"/>
        <v>0</v>
      </c>
      <c r="I14" s="1785" t="str">
        <f t="shared" si="1"/>
        <v/>
      </c>
      <c r="J14" s="1786" t="str">
        <f t="shared" si="1"/>
        <v/>
      </c>
      <c r="K14" s="1786">
        <f t="shared" si="1"/>
        <v>0</v>
      </c>
      <c r="L14" s="1787" t="str">
        <f t="shared" si="1"/>
        <v/>
      </c>
      <c r="O14" s="1788"/>
    </row>
    <row r="15" spans="1:17">
      <c r="A15" s="1803"/>
      <c r="B15" s="1781">
        <v>1652000</v>
      </c>
      <c r="C15" s="1782">
        <v>132101</v>
      </c>
      <c r="D15" s="1782" t="s">
        <v>492</v>
      </c>
      <c r="E15" s="1783" t="s">
        <v>908</v>
      </c>
      <c r="F15" s="1784">
        <v>11851142.529999999</v>
      </c>
      <c r="G15" s="1784">
        <v>11864822.09</v>
      </c>
      <c r="H15" s="1787">
        <f t="shared" si="0"/>
        <v>11857982.309999999</v>
      </c>
      <c r="I15" s="1785" t="str">
        <f t="shared" si="1"/>
        <v/>
      </c>
      <c r="J15" s="1786" t="str">
        <f t="shared" si="1"/>
        <v/>
      </c>
      <c r="K15" s="1786">
        <f t="shared" si="1"/>
        <v>11857982.309999999</v>
      </c>
      <c r="L15" s="1787" t="str">
        <f t="shared" si="1"/>
        <v/>
      </c>
      <c r="O15" s="1788"/>
    </row>
    <row r="16" spans="1:17">
      <c r="A16" s="1803"/>
      <c r="B16" s="1781"/>
      <c r="C16" s="1782">
        <v>132200</v>
      </c>
      <c r="D16" s="1782" t="s">
        <v>493</v>
      </c>
      <c r="E16" s="1783" t="s">
        <v>104</v>
      </c>
      <c r="F16" s="1784">
        <v>5000</v>
      </c>
      <c r="G16" s="1784">
        <v>5000</v>
      </c>
      <c r="H16" s="1787">
        <f t="shared" si="0"/>
        <v>5000</v>
      </c>
      <c r="I16" s="1785">
        <f t="shared" si="1"/>
        <v>5000</v>
      </c>
      <c r="J16" s="1786" t="str">
        <f t="shared" si="1"/>
        <v/>
      </c>
      <c r="K16" s="1786" t="str">
        <f t="shared" si="1"/>
        <v/>
      </c>
      <c r="L16" s="1787" t="str">
        <f t="shared" si="1"/>
        <v/>
      </c>
      <c r="O16" s="1788"/>
    </row>
    <row r="17" spans="1:15">
      <c r="A17" s="1803"/>
      <c r="B17" s="1781"/>
      <c r="C17" s="1782">
        <v>132924</v>
      </c>
      <c r="D17" s="1782" t="s">
        <v>494</v>
      </c>
      <c r="E17" s="1783" t="s">
        <v>104</v>
      </c>
      <c r="F17" s="1784">
        <v>519896.5</v>
      </c>
      <c r="G17" s="1784">
        <v>727667</v>
      </c>
      <c r="H17" s="1787">
        <f t="shared" si="0"/>
        <v>623781.75</v>
      </c>
      <c r="I17" s="1785">
        <f t="shared" si="1"/>
        <v>623781.75</v>
      </c>
      <c r="J17" s="1786" t="str">
        <f t="shared" si="1"/>
        <v/>
      </c>
      <c r="K17" s="1786" t="str">
        <f t="shared" si="1"/>
        <v/>
      </c>
      <c r="L17" s="1787" t="str">
        <f t="shared" si="1"/>
        <v/>
      </c>
      <c r="O17" s="1788"/>
    </row>
    <row r="18" spans="1:15">
      <c r="A18" s="1803"/>
      <c r="B18" s="1781">
        <v>1652100</v>
      </c>
      <c r="C18" s="1782">
        <v>132095</v>
      </c>
      <c r="D18" s="1782" t="s">
        <v>495</v>
      </c>
      <c r="E18" s="1783" t="s">
        <v>104</v>
      </c>
      <c r="F18" s="1784">
        <v>633634.18999999994</v>
      </c>
      <c r="G18" s="1784">
        <v>579127.84</v>
      </c>
      <c r="H18" s="1787">
        <f t="shared" si="0"/>
        <v>606381.0149999999</v>
      </c>
      <c r="I18" s="1785">
        <f t="shared" si="1"/>
        <v>606381.0149999999</v>
      </c>
      <c r="J18" s="1786" t="str">
        <f t="shared" si="1"/>
        <v/>
      </c>
      <c r="K18" s="1786" t="str">
        <f t="shared" si="1"/>
        <v/>
      </c>
      <c r="L18" s="1787" t="str">
        <f t="shared" si="1"/>
        <v/>
      </c>
      <c r="O18" s="1788"/>
    </row>
    <row r="19" spans="1:15">
      <c r="A19" s="1803"/>
      <c r="B19" s="1781"/>
      <c r="C19" s="1782">
        <v>132096</v>
      </c>
      <c r="D19" s="1782" t="s">
        <v>1394</v>
      </c>
      <c r="E19" s="1783" t="s">
        <v>104</v>
      </c>
      <c r="F19" s="1784">
        <v>-61209.45</v>
      </c>
      <c r="G19" s="1784">
        <v>0</v>
      </c>
      <c r="H19" s="1787">
        <f t="shared" si="0"/>
        <v>-30604.724999999999</v>
      </c>
      <c r="I19" s="1785">
        <f t="shared" si="1"/>
        <v>-30604.724999999999</v>
      </c>
      <c r="J19" s="1786" t="str">
        <f t="shared" si="1"/>
        <v/>
      </c>
      <c r="K19" s="1786" t="str">
        <f t="shared" si="1"/>
        <v/>
      </c>
      <c r="L19" s="1787" t="str">
        <f t="shared" si="1"/>
        <v/>
      </c>
      <c r="O19" s="1788"/>
    </row>
    <row r="20" spans="1:15">
      <c r="A20" s="1803"/>
      <c r="B20" s="1781"/>
      <c r="C20" s="1782">
        <v>132097</v>
      </c>
      <c r="D20" s="1782" t="s">
        <v>1393</v>
      </c>
      <c r="E20" s="1783" t="s">
        <v>104</v>
      </c>
      <c r="F20" s="1784">
        <v>6556730</v>
      </c>
      <c r="G20" s="1784">
        <v>6356831</v>
      </c>
      <c r="H20" s="1787">
        <f t="shared" si="0"/>
        <v>6456780.5</v>
      </c>
      <c r="I20" s="1785">
        <f t="shared" si="1"/>
        <v>6456780.5</v>
      </c>
      <c r="J20" s="1786" t="str">
        <f t="shared" si="1"/>
        <v/>
      </c>
      <c r="K20" s="1786" t="str">
        <f t="shared" si="1"/>
        <v/>
      </c>
      <c r="L20" s="1787" t="str">
        <f t="shared" si="1"/>
        <v/>
      </c>
      <c r="O20" s="1788"/>
    </row>
    <row r="21" spans="1:15">
      <c r="A21" s="1803"/>
      <c r="B21" s="2235"/>
      <c r="C21" s="2236">
        <v>132098</v>
      </c>
      <c r="D21" s="2236" t="s">
        <v>1809</v>
      </c>
      <c r="E21" s="2240" t="s">
        <v>104</v>
      </c>
      <c r="F21" s="2237">
        <v>165230.1</v>
      </c>
      <c r="G21" s="2237">
        <v>3038769.76</v>
      </c>
      <c r="H21" s="1787">
        <f t="shared" si="0"/>
        <v>1601999.93</v>
      </c>
      <c r="I21" s="1785">
        <f t="shared" si="1"/>
        <v>1601999.93</v>
      </c>
      <c r="J21" s="2239"/>
      <c r="K21" s="2239" t="str">
        <f t="shared" si="1"/>
        <v/>
      </c>
      <c r="L21" s="2238" t="str">
        <f t="shared" si="1"/>
        <v/>
      </c>
      <c r="O21" s="1788"/>
    </row>
    <row r="22" spans="1:15">
      <c r="A22" s="1803"/>
      <c r="B22" s="1781"/>
      <c r="C22" s="1782">
        <v>132310</v>
      </c>
      <c r="D22" s="1782" t="s">
        <v>496</v>
      </c>
      <c r="E22" s="1783" t="s">
        <v>908</v>
      </c>
      <c r="F22" s="1784">
        <v>29745</v>
      </c>
      <c r="G22" s="1784">
        <v>32791.68</v>
      </c>
      <c r="H22" s="1787">
        <f t="shared" si="0"/>
        <v>31268.34</v>
      </c>
      <c r="I22" s="1785" t="str">
        <f t="shared" si="1"/>
        <v/>
      </c>
      <c r="J22" s="1786" t="str">
        <f t="shared" si="1"/>
        <v/>
      </c>
      <c r="K22" s="1786">
        <f t="shared" si="1"/>
        <v>31268.34</v>
      </c>
      <c r="L22" s="1787" t="str">
        <f t="shared" si="1"/>
        <v/>
      </c>
      <c r="O22" s="1788"/>
    </row>
    <row r="23" spans="1:15">
      <c r="A23" s="1803"/>
      <c r="B23" s="1781"/>
      <c r="C23" s="1782">
        <v>132320</v>
      </c>
      <c r="D23" s="1782" t="s">
        <v>1484</v>
      </c>
      <c r="E23" s="1783" t="s">
        <v>104</v>
      </c>
      <c r="F23" s="1784">
        <v>158744.51999999999</v>
      </c>
      <c r="G23" s="1784">
        <v>158744.51999999999</v>
      </c>
      <c r="H23" s="1787">
        <f t="shared" si="0"/>
        <v>158744.51999999999</v>
      </c>
      <c r="I23" s="1785">
        <f t="shared" si="1"/>
        <v>158744.51999999999</v>
      </c>
      <c r="J23" s="1786" t="str">
        <f t="shared" si="1"/>
        <v/>
      </c>
      <c r="K23" s="1786" t="str">
        <f t="shared" si="1"/>
        <v/>
      </c>
      <c r="L23" s="1787" t="str">
        <f t="shared" si="1"/>
        <v/>
      </c>
      <c r="O23" s="1788"/>
    </row>
    <row r="24" spans="1:15">
      <c r="A24" s="1803"/>
      <c r="B24" s="1781"/>
      <c r="C24" s="1782">
        <v>132603</v>
      </c>
      <c r="D24" s="1782" t="s">
        <v>497</v>
      </c>
      <c r="E24" s="1783" t="s">
        <v>104</v>
      </c>
      <c r="F24" s="1784">
        <v>3110.24</v>
      </c>
      <c r="G24" s="1784">
        <v>2073.56</v>
      </c>
      <c r="H24" s="1787">
        <f t="shared" si="0"/>
        <v>2591.8999999999996</v>
      </c>
      <c r="I24" s="1785">
        <f t="shared" si="1"/>
        <v>2591.8999999999996</v>
      </c>
      <c r="J24" s="1786" t="str">
        <f t="shared" si="1"/>
        <v/>
      </c>
      <c r="K24" s="1786" t="str">
        <f t="shared" si="1"/>
        <v/>
      </c>
      <c r="L24" s="1787" t="str">
        <f>IF($E24=L$6,$H24,"")</f>
        <v/>
      </c>
      <c r="O24" s="1788"/>
    </row>
    <row r="25" spans="1:15">
      <c r="A25" s="1803"/>
      <c r="B25" s="1781"/>
      <c r="C25" s="1782">
        <v>132606</v>
      </c>
      <c r="D25" s="1782" t="s">
        <v>498</v>
      </c>
      <c r="E25" s="1783" t="s">
        <v>104</v>
      </c>
      <c r="F25" s="1784">
        <v>0</v>
      </c>
      <c r="G25" s="1784">
        <v>0</v>
      </c>
      <c r="H25" s="1787">
        <f t="shared" si="0"/>
        <v>0</v>
      </c>
      <c r="I25" s="1785">
        <f t="shared" si="1"/>
        <v>0</v>
      </c>
      <c r="J25" s="1786" t="str">
        <f t="shared" si="1"/>
        <v/>
      </c>
      <c r="K25" s="1786" t="str">
        <f t="shared" si="1"/>
        <v/>
      </c>
      <c r="L25" s="1787" t="str">
        <f t="shared" si="1"/>
        <v/>
      </c>
      <c r="O25" s="1788"/>
    </row>
    <row r="26" spans="1:15">
      <c r="A26" s="1803"/>
      <c r="B26" s="1781"/>
      <c r="C26" s="1782">
        <v>132620</v>
      </c>
      <c r="D26" s="1782" t="s">
        <v>499</v>
      </c>
      <c r="E26" s="1783" t="s">
        <v>104</v>
      </c>
      <c r="F26" s="1784">
        <v>1101448.23</v>
      </c>
      <c r="G26" s="1784">
        <v>1476099.77</v>
      </c>
      <c r="H26" s="1787">
        <f t="shared" si="0"/>
        <v>1288774</v>
      </c>
      <c r="I26" s="1785">
        <f t="shared" si="1"/>
        <v>1288774</v>
      </c>
      <c r="J26" s="1786" t="str">
        <f t="shared" si="1"/>
        <v/>
      </c>
      <c r="K26" s="1786" t="str">
        <f t="shared" si="1"/>
        <v/>
      </c>
      <c r="L26" s="1787" t="str">
        <f t="shared" si="1"/>
        <v/>
      </c>
      <c r="O26" s="1788"/>
    </row>
    <row r="27" spans="1:15">
      <c r="A27" s="1803"/>
      <c r="B27" s="1781"/>
      <c r="C27" s="1782">
        <v>132621</v>
      </c>
      <c r="D27" s="1782" t="s">
        <v>500</v>
      </c>
      <c r="E27" s="1783" t="s">
        <v>104</v>
      </c>
      <c r="F27" s="1784">
        <v>334556.3</v>
      </c>
      <c r="G27" s="1784">
        <v>557593.74</v>
      </c>
      <c r="H27" s="1787">
        <f t="shared" si="0"/>
        <v>446075.02</v>
      </c>
      <c r="I27" s="1785">
        <f t="shared" si="1"/>
        <v>446075.02</v>
      </c>
      <c r="J27" s="1786" t="str">
        <f t="shared" si="1"/>
        <v/>
      </c>
      <c r="K27" s="1786" t="str">
        <f t="shared" si="1"/>
        <v/>
      </c>
      <c r="L27" s="1787" t="str">
        <f t="shared" si="1"/>
        <v/>
      </c>
      <c r="O27" s="1788"/>
    </row>
    <row r="28" spans="1:15">
      <c r="A28" s="1803"/>
      <c r="B28" s="1781"/>
      <c r="C28" s="1782">
        <v>132622</v>
      </c>
      <c r="D28" s="1782" t="s">
        <v>501</v>
      </c>
      <c r="E28" s="1783" t="s">
        <v>104</v>
      </c>
      <c r="F28" s="1784">
        <v>0</v>
      </c>
      <c r="G28" s="1784">
        <v>0</v>
      </c>
      <c r="H28" s="1787">
        <f t="shared" si="0"/>
        <v>0</v>
      </c>
      <c r="I28" s="1785">
        <f t="shared" ref="I28:L47" si="2">IF($E28=I$6,$H28,"")</f>
        <v>0</v>
      </c>
      <c r="J28" s="1786" t="str">
        <f t="shared" si="2"/>
        <v/>
      </c>
      <c r="K28" s="1786" t="str">
        <f t="shared" si="2"/>
        <v/>
      </c>
      <c r="L28" s="1787" t="str">
        <f t="shared" si="2"/>
        <v/>
      </c>
      <c r="O28" s="1788"/>
    </row>
    <row r="29" spans="1:15">
      <c r="A29" s="1803"/>
      <c r="B29" s="2235"/>
      <c r="C29" s="1782">
        <v>132623</v>
      </c>
      <c r="D29" s="2236" t="s">
        <v>1810</v>
      </c>
      <c r="E29" s="1783" t="s">
        <v>104</v>
      </c>
      <c r="F29" s="2237">
        <v>355000.02</v>
      </c>
      <c r="G29" s="2237">
        <v>286249.98</v>
      </c>
      <c r="H29" s="1787">
        <f t="shared" si="0"/>
        <v>320625</v>
      </c>
      <c r="I29" s="1785">
        <f t="shared" si="2"/>
        <v>320625</v>
      </c>
      <c r="J29" s="2239"/>
      <c r="K29" s="2239" t="str">
        <f t="shared" si="2"/>
        <v/>
      </c>
      <c r="L29" s="2238" t="str">
        <f t="shared" si="2"/>
        <v/>
      </c>
      <c r="O29" s="1788"/>
    </row>
    <row r="30" spans="1:15">
      <c r="A30" s="1803"/>
      <c r="B30" s="1781"/>
      <c r="C30" s="1782">
        <v>132630</v>
      </c>
      <c r="D30" s="1782" t="s">
        <v>502</v>
      </c>
      <c r="E30" s="1783" t="s">
        <v>104</v>
      </c>
      <c r="F30" s="1784">
        <v>0</v>
      </c>
      <c r="G30" s="1784">
        <v>0</v>
      </c>
      <c r="H30" s="1787">
        <f t="shared" si="0"/>
        <v>0</v>
      </c>
      <c r="I30" s="1785">
        <f t="shared" si="2"/>
        <v>0</v>
      </c>
      <c r="J30" s="1786" t="str">
        <f t="shared" si="2"/>
        <v/>
      </c>
      <c r="K30" s="1786" t="str">
        <f t="shared" si="2"/>
        <v/>
      </c>
      <c r="L30" s="1787" t="str">
        <f t="shared" si="2"/>
        <v/>
      </c>
      <c r="O30" s="1788"/>
    </row>
    <row r="31" spans="1:15">
      <c r="A31" s="1803"/>
      <c r="B31" s="1781"/>
      <c r="C31" s="1782">
        <v>132650</v>
      </c>
      <c r="D31" s="1782" t="s">
        <v>371</v>
      </c>
      <c r="E31" s="1783" t="s">
        <v>104</v>
      </c>
      <c r="F31" s="1784">
        <v>5641550.0099999998</v>
      </c>
      <c r="G31" s="1784">
        <v>7036051.9900000002</v>
      </c>
      <c r="H31" s="1787">
        <f t="shared" si="0"/>
        <v>6338801</v>
      </c>
      <c r="I31" s="1785">
        <f t="shared" si="2"/>
        <v>6338801</v>
      </c>
      <c r="J31" s="1786" t="str">
        <f t="shared" si="2"/>
        <v/>
      </c>
      <c r="K31" s="1786" t="str">
        <f t="shared" si="2"/>
        <v/>
      </c>
      <c r="L31" s="1787" t="str">
        <f t="shared" si="2"/>
        <v/>
      </c>
      <c r="O31" s="1788"/>
    </row>
    <row r="32" spans="1:15">
      <c r="A32" s="1803"/>
      <c r="B32" s="1781"/>
      <c r="C32" s="1782">
        <v>132700</v>
      </c>
      <c r="D32" s="1782" t="s">
        <v>372</v>
      </c>
      <c r="E32" s="1783" t="s">
        <v>908</v>
      </c>
      <c r="F32" s="1784">
        <v>42666.64</v>
      </c>
      <c r="G32" s="1784">
        <v>42666.64</v>
      </c>
      <c r="H32" s="1787">
        <f t="shared" si="0"/>
        <v>42666.64</v>
      </c>
      <c r="I32" s="1785" t="str">
        <f t="shared" si="2"/>
        <v/>
      </c>
      <c r="J32" s="1786" t="str">
        <f t="shared" si="2"/>
        <v/>
      </c>
      <c r="K32" s="1786">
        <f t="shared" si="2"/>
        <v>42666.64</v>
      </c>
      <c r="L32" s="1787" t="str">
        <f t="shared" si="2"/>
        <v/>
      </c>
      <c r="O32" s="1788"/>
    </row>
    <row r="33" spans="1:15">
      <c r="A33" s="1803"/>
      <c r="B33" s="1781"/>
      <c r="C33" s="1782">
        <v>132705</v>
      </c>
      <c r="D33" s="1782" t="s">
        <v>503</v>
      </c>
      <c r="E33" s="1783" t="s">
        <v>104</v>
      </c>
      <c r="F33" s="1784">
        <v>325282.5</v>
      </c>
      <c r="G33" s="1784">
        <v>326050.98</v>
      </c>
      <c r="H33" s="1787">
        <f t="shared" si="0"/>
        <v>325666.74</v>
      </c>
      <c r="I33" s="1785">
        <f t="shared" si="2"/>
        <v>325666.74</v>
      </c>
      <c r="J33" s="1786" t="str">
        <f t="shared" si="2"/>
        <v/>
      </c>
      <c r="K33" s="1786" t="str">
        <f t="shared" si="2"/>
        <v/>
      </c>
      <c r="L33" s="1787" t="str">
        <f t="shared" si="2"/>
        <v/>
      </c>
      <c r="O33" s="1788"/>
    </row>
    <row r="34" spans="1:15">
      <c r="A34" s="1803"/>
      <c r="B34" s="1781"/>
      <c r="C34" s="1782">
        <v>132740</v>
      </c>
      <c r="D34" s="1782" t="s">
        <v>504</v>
      </c>
      <c r="E34" s="1783" t="s">
        <v>104</v>
      </c>
      <c r="F34" s="1784">
        <v>0</v>
      </c>
      <c r="G34" s="1784">
        <v>0</v>
      </c>
      <c r="H34" s="1787">
        <f t="shared" si="0"/>
        <v>0</v>
      </c>
      <c r="I34" s="1785">
        <f t="shared" si="2"/>
        <v>0</v>
      </c>
      <c r="J34" s="1786" t="str">
        <f t="shared" si="2"/>
        <v/>
      </c>
      <c r="K34" s="1786" t="str">
        <f t="shared" si="2"/>
        <v/>
      </c>
      <c r="L34" s="1787" t="str">
        <f t="shared" si="2"/>
        <v/>
      </c>
      <c r="O34" s="1788"/>
    </row>
    <row r="35" spans="1:15">
      <c r="A35" s="1803"/>
      <c r="B35" s="1781"/>
      <c r="C35" s="1782">
        <v>132755</v>
      </c>
      <c r="D35" s="1782" t="s">
        <v>1483</v>
      </c>
      <c r="E35" s="1783" t="s">
        <v>909</v>
      </c>
      <c r="F35" s="1784">
        <v>10622.2</v>
      </c>
      <c r="G35" s="1784">
        <v>0</v>
      </c>
      <c r="H35" s="1787">
        <f t="shared" si="0"/>
        <v>5311.1</v>
      </c>
      <c r="I35" s="1785" t="str">
        <f t="shared" si="2"/>
        <v/>
      </c>
      <c r="J35" s="1786" t="str">
        <f t="shared" si="2"/>
        <v/>
      </c>
      <c r="K35" s="1786" t="str">
        <f t="shared" si="2"/>
        <v/>
      </c>
      <c r="L35" s="1787">
        <f t="shared" si="2"/>
        <v>5311.1</v>
      </c>
      <c r="O35" s="1788"/>
    </row>
    <row r="36" spans="1:15">
      <c r="A36" s="1803"/>
      <c r="B36" s="1781"/>
      <c r="C36" s="1782">
        <v>132825</v>
      </c>
      <c r="D36" s="1782" t="s">
        <v>505</v>
      </c>
      <c r="E36" s="1783" t="s">
        <v>104</v>
      </c>
      <c r="F36" s="1784">
        <v>0</v>
      </c>
      <c r="G36" s="1784">
        <v>968540.91</v>
      </c>
      <c r="H36" s="1787">
        <f t="shared" si="0"/>
        <v>484270.45500000002</v>
      </c>
      <c r="I36" s="1785">
        <f t="shared" si="2"/>
        <v>484270.45500000002</v>
      </c>
      <c r="J36" s="1786" t="str">
        <f t="shared" si="2"/>
        <v/>
      </c>
      <c r="K36" s="1786" t="str">
        <f t="shared" si="2"/>
        <v/>
      </c>
      <c r="L36" s="1787" t="str">
        <f t="shared" si="2"/>
        <v/>
      </c>
      <c r="O36" s="1788"/>
    </row>
    <row r="37" spans="1:15">
      <c r="A37" s="1803"/>
      <c r="B37" s="1781"/>
      <c r="C37" s="1782">
        <v>132831</v>
      </c>
      <c r="D37" s="1782" t="s">
        <v>506</v>
      </c>
      <c r="E37" s="1783" t="s">
        <v>104</v>
      </c>
      <c r="F37" s="1784">
        <v>983688</v>
      </c>
      <c r="G37" s="1784">
        <v>983688</v>
      </c>
      <c r="H37" s="1787">
        <f t="shared" si="0"/>
        <v>983688</v>
      </c>
      <c r="I37" s="1785">
        <f t="shared" si="2"/>
        <v>983688</v>
      </c>
      <c r="J37" s="1786" t="str">
        <f t="shared" si="2"/>
        <v/>
      </c>
      <c r="K37" s="1786" t="str">
        <f t="shared" si="2"/>
        <v/>
      </c>
      <c r="L37" s="1787" t="str">
        <f t="shared" si="2"/>
        <v/>
      </c>
      <c r="O37" s="1788"/>
    </row>
    <row r="38" spans="1:15">
      <c r="A38" s="1803"/>
      <c r="B38" s="1781"/>
      <c r="C38" s="1782">
        <v>132900</v>
      </c>
      <c r="D38" s="1782" t="s">
        <v>507</v>
      </c>
      <c r="E38" s="1783" t="s">
        <v>909</v>
      </c>
      <c r="F38" s="1784">
        <v>1324543.74</v>
      </c>
      <c r="G38" s="1784">
        <v>1274956.6599999999</v>
      </c>
      <c r="H38" s="1787">
        <f t="shared" si="0"/>
        <v>1299750.2</v>
      </c>
      <c r="I38" s="1785" t="str">
        <f t="shared" si="2"/>
        <v/>
      </c>
      <c r="J38" s="1786" t="str">
        <f t="shared" si="2"/>
        <v/>
      </c>
      <c r="K38" s="1786" t="str">
        <f t="shared" si="2"/>
        <v/>
      </c>
      <c r="L38" s="1787">
        <f t="shared" si="2"/>
        <v>1299750.2</v>
      </c>
      <c r="O38" s="1788"/>
    </row>
    <row r="39" spans="1:15">
      <c r="A39" s="1803"/>
      <c r="B39" s="1781"/>
      <c r="C39" s="1782">
        <v>132901</v>
      </c>
      <c r="D39" s="1782" t="s">
        <v>508</v>
      </c>
      <c r="E39" s="1783" t="s">
        <v>104</v>
      </c>
      <c r="F39" s="1784">
        <v>861967.12</v>
      </c>
      <c r="G39" s="1784">
        <v>876202.23</v>
      </c>
      <c r="H39" s="1787">
        <f t="shared" si="0"/>
        <v>869084.67500000005</v>
      </c>
      <c r="I39" s="1785">
        <f t="shared" si="2"/>
        <v>869084.67500000005</v>
      </c>
      <c r="J39" s="1786" t="str">
        <f t="shared" si="2"/>
        <v/>
      </c>
      <c r="K39" s="1786" t="str">
        <f t="shared" si="2"/>
        <v/>
      </c>
      <c r="L39" s="1787" t="str">
        <f t="shared" si="2"/>
        <v/>
      </c>
      <c r="O39" s="1788"/>
    </row>
    <row r="40" spans="1:15">
      <c r="A40" s="1803"/>
      <c r="B40" s="1781"/>
      <c r="C40" s="1782">
        <v>132903</v>
      </c>
      <c r="D40" s="1782" t="s">
        <v>509</v>
      </c>
      <c r="E40" s="1783" t="s">
        <v>104</v>
      </c>
      <c r="F40" s="1784">
        <v>2671244.13</v>
      </c>
      <c r="G40" s="1784">
        <v>2723258.24</v>
      </c>
      <c r="H40" s="1787">
        <f t="shared" si="0"/>
        <v>2697251.1850000001</v>
      </c>
      <c r="I40" s="1785">
        <f t="shared" si="2"/>
        <v>2697251.1850000001</v>
      </c>
      <c r="J40" s="1786" t="str">
        <f t="shared" si="2"/>
        <v/>
      </c>
      <c r="K40" s="1786" t="str">
        <f t="shared" si="2"/>
        <v/>
      </c>
      <c r="L40" s="1787" t="str">
        <f t="shared" si="2"/>
        <v/>
      </c>
      <c r="O40" s="1788"/>
    </row>
    <row r="41" spans="1:15">
      <c r="A41" s="1803"/>
      <c r="B41" s="1781"/>
      <c r="C41" s="1782">
        <v>132904</v>
      </c>
      <c r="D41" s="1782" t="s">
        <v>510</v>
      </c>
      <c r="E41" s="1783" t="s">
        <v>104</v>
      </c>
      <c r="F41" s="1784">
        <v>345591.05</v>
      </c>
      <c r="G41" s="1784">
        <v>349194.59</v>
      </c>
      <c r="H41" s="1787">
        <f t="shared" si="0"/>
        <v>347392.82</v>
      </c>
      <c r="I41" s="1785">
        <f t="shared" si="2"/>
        <v>347392.82</v>
      </c>
      <c r="J41" s="1786" t="str">
        <f t="shared" si="2"/>
        <v/>
      </c>
      <c r="K41" s="1786" t="str">
        <f t="shared" si="2"/>
        <v/>
      </c>
      <c r="L41" s="1787" t="str">
        <f t="shared" si="2"/>
        <v/>
      </c>
      <c r="O41" s="1788"/>
    </row>
    <row r="42" spans="1:15">
      <c r="A42" s="1803"/>
      <c r="B42" s="1781"/>
      <c r="C42" s="1782">
        <v>132909</v>
      </c>
      <c r="D42" s="1782" t="s">
        <v>1392</v>
      </c>
      <c r="E42" s="1783" t="s">
        <v>909</v>
      </c>
      <c r="F42" s="1784">
        <v>0</v>
      </c>
      <c r="G42" s="1784">
        <v>0</v>
      </c>
      <c r="H42" s="1787">
        <f t="shared" si="0"/>
        <v>0</v>
      </c>
      <c r="I42" s="1785" t="str">
        <f t="shared" si="2"/>
        <v/>
      </c>
      <c r="J42" s="1786" t="str">
        <f t="shared" si="2"/>
        <v/>
      </c>
      <c r="K42" s="1786" t="str">
        <f t="shared" si="2"/>
        <v/>
      </c>
      <c r="L42" s="1787">
        <f t="shared" si="2"/>
        <v>0</v>
      </c>
      <c r="O42" s="1788"/>
    </row>
    <row r="43" spans="1:15">
      <c r="A43" s="1803"/>
      <c r="B43" s="1781"/>
      <c r="C43" s="1782">
        <v>132910</v>
      </c>
      <c r="D43" s="1782" t="s">
        <v>511</v>
      </c>
      <c r="E43" s="1783" t="s">
        <v>909</v>
      </c>
      <c r="F43" s="1784">
        <v>8098927.8399999999</v>
      </c>
      <c r="G43" s="1784">
        <v>7162883.8099999996</v>
      </c>
      <c r="H43" s="1787">
        <f t="shared" si="0"/>
        <v>7630905.8249999993</v>
      </c>
      <c r="I43" s="1785" t="str">
        <f t="shared" si="2"/>
        <v/>
      </c>
      <c r="J43" s="1786" t="str">
        <f t="shared" si="2"/>
        <v/>
      </c>
      <c r="K43" s="1786" t="str">
        <f t="shared" si="2"/>
        <v/>
      </c>
      <c r="L43" s="1787">
        <f t="shared" si="2"/>
        <v>7630905.8249999993</v>
      </c>
      <c r="O43" s="1788"/>
    </row>
    <row r="44" spans="1:15">
      <c r="A44" s="1803"/>
      <c r="B44" s="1781"/>
      <c r="C44" s="1782">
        <v>132926</v>
      </c>
      <c r="D44" s="1782" t="s">
        <v>373</v>
      </c>
      <c r="E44" s="1783" t="s">
        <v>104</v>
      </c>
      <c r="F44" s="1784">
        <v>842957.2</v>
      </c>
      <c r="G44" s="1784">
        <v>0</v>
      </c>
      <c r="H44" s="1787">
        <f t="shared" si="0"/>
        <v>421478.6</v>
      </c>
      <c r="I44" s="1785">
        <f t="shared" si="2"/>
        <v>421478.6</v>
      </c>
      <c r="J44" s="1786" t="str">
        <f t="shared" si="2"/>
        <v/>
      </c>
      <c r="K44" s="1786" t="str">
        <f t="shared" si="2"/>
        <v/>
      </c>
      <c r="L44" s="1787" t="str">
        <f t="shared" si="2"/>
        <v/>
      </c>
      <c r="O44" s="1788"/>
    </row>
    <row r="45" spans="1:15">
      <c r="A45" s="1803"/>
      <c r="B45" s="1781"/>
      <c r="C45" s="1782">
        <v>132998</v>
      </c>
      <c r="D45" s="1782" t="s">
        <v>512</v>
      </c>
      <c r="E45" s="1783" t="s">
        <v>908</v>
      </c>
      <c r="F45" s="1784">
        <v>-163313.57999999999</v>
      </c>
      <c r="G45" s="1784">
        <v>-142240.85999999999</v>
      </c>
      <c r="H45" s="1787">
        <f t="shared" si="0"/>
        <v>-152777.21999999997</v>
      </c>
      <c r="I45" s="1785" t="str">
        <f t="shared" si="2"/>
        <v/>
      </c>
      <c r="J45" s="1786" t="str">
        <f t="shared" si="2"/>
        <v/>
      </c>
      <c r="K45" s="1786">
        <f t="shared" si="2"/>
        <v>-152777.21999999997</v>
      </c>
      <c r="L45" s="1787" t="str">
        <f t="shared" si="2"/>
        <v/>
      </c>
      <c r="O45" s="1788"/>
    </row>
    <row r="46" spans="1:15">
      <c r="A46" s="1803"/>
      <c r="B46" s="1781"/>
      <c r="C46" s="1782">
        <v>132999</v>
      </c>
      <c r="D46" s="1782" t="s">
        <v>513</v>
      </c>
      <c r="E46" s="1783" t="s">
        <v>104</v>
      </c>
      <c r="F46" s="1784">
        <v>-1077818.77</v>
      </c>
      <c r="G46" s="1784">
        <v>-654061.98</v>
      </c>
      <c r="H46" s="1787">
        <f t="shared" si="0"/>
        <v>-865940.375</v>
      </c>
      <c r="I46" s="1785">
        <f t="shared" si="2"/>
        <v>-865940.375</v>
      </c>
      <c r="J46" s="1786" t="str">
        <f t="shared" si="2"/>
        <v/>
      </c>
      <c r="K46" s="1786" t="str">
        <f t="shared" si="2"/>
        <v/>
      </c>
      <c r="L46" s="1787" t="str">
        <f t="shared" si="2"/>
        <v/>
      </c>
      <c r="O46" s="1788"/>
    </row>
    <row r="47" spans="1:15">
      <c r="A47" s="1803"/>
      <c r="B47" s="1781"/>
      <c r="C47" s="1782">
        <v>134000</v>
      </c>
      <c r="D47" s="1782" t="s">
        <v>514</v>
      </c>
      <c r="E47" s="1783" t="s">
        <v>104</v>
      </c>
      <c r="F47" s="1784">
        <v>1241132.3500000001</v>
      </c>
      <c r="G47" s="1784">
        <v>796302.84</v>
      </c>
      <c r="H47" s="1787">
        <f t="shared" si="0"/>
        <v>1018717.595</v>
      </c>
      <c r="I47" s="1785">
        <f t="shared" si="2"/>
        <v>1018717.595</v>
      </c>
      <c r="J47" s="1786" t="str">
        <f t="shared" si="2"/>
        <v/>
      </c>
      <c r="K47" s="1786" t="str">
        <f t="shared" si="2"/>
        <v/>
      </c>
      <c r="L47" s="1787" t="str">
        <f t="shared" si="2"/>
        <v/>
      </c>
      <c r="O47" s="1788"/>
    </row>
    <row r="48" spans="1:15">
      <c r="A48" s="1803"/>
      <c r="B48" s="1781">
        <v>1653000</v>
      </c>
      <c r="C48" s="1782">
        <v>132303</v>
      </c>
      <c r="D48" s="1782" t="s">
        <v>515</v>
      </c>
      <c r="E48" s="1783" t="s">
        <v>104</v>
      </c>
      <c r="F48" s="1784">
        <v>2553080.77</v>
      </c>
      <c r="G48" s="1784">
        <v>2548547.1800000002</v>
      </c>
      <c r="H48" s="1787">
        <f t="shared" si="0"/>
        <v>2550813.9750000001</v>
      </c>
      <c r="I48" s="1785">
        <f t="shared" ref="I48:L52" si="3">IF($E48=I$6,$H48,"")</f>
        <v>2550813.9750000001</v>
      </c>
      <c r="J48" s="1786" t="str">
        <f t="shared" si="3"/>
        <v/>
      </c>
      <c r="K48" s="1786" t="str">
        <f t="shared" si="3"/>
        <v/>
      </c>
      <c r="L48" s="1787" t="str">
        <f t="shared" si="3"/>
        <v/>
      </c>
      <c r="O48" s="1788"/>
    </row>
    <row r="49" spans="1:15">
      <c r="A49" s="1803"/>
      <c r="B49" s="1781"/>
      <c r="C49" s="1782">
        <v>132304</v>
      </c>
      <c r="D49" s="1782" t="s">
        <v>516</v>
      </c>
      <c r="E49" s="1783" t="s">
        <v>104</v>
      </c>
      <c r="F49" s="1784">
        <v>0</v>
      </c>
      <c r="G49" s="1784">
        <v>0</v>
      </c>
      <c r="H49" s="1787">
        <f t="shared" si="0"/>
        <v>0</v>
      </c>
      <c r="I49" s="1785">
        <f t="shared" si="3"/>
        <v>0</v>
      </c>
      <c r="J49" s="1786" t="str">
        <f t="shared" si="3"/>
        <v/>
      </c>
      <c r="K49" s="1786" t="str">
        <f t="shared" si="3"/>
        <v/>
      </c>
      <c r="L49" s="1787" t="str">
        <f t="shared" si="3"/>
        <v/>
      </c>
      <c r="O49" s="1788"/>
    </row>
    <row r="50" spans="1:15">
      <c r="A50" s="1803"/>
      <c r="B50" s="1781"/>
      <c r="C50" s="1782">
        <v>203000</v>
      </c>
      <c r="D50" s="1782" t="s">
        <v>1391</v>
      </c>
      <c r="E50" s="1783" t="s">
        <v>104</v>
      </c>
      <c r="F50" s="1784">
        <v>472.22</v>
      </c>
      <c r="G50" s="1784">
        <v>1444.44</v>
      </c>
      <c r="H50" s="1780">
        <f t="shared" si="0"/>
        <v>958.33</v>
      </c>
      <c r="I50" s="1785">
        <f t="shared" si="3"/>
        <v>958.33</v>
      </c>
      <c r="J50" s="1786" t="str">
        <f t="shared" si="3"/>
        <v/>
      </c>
      <c r="K50" s="1786" t="str">
        <f t="shared" si="3"/>
        <v/>
      </c>
      <c r="L50" s="1787" t="str">
        <f t="shared" si="3"/>
        <v/>
      </c>
      <c r="O50" s="1788"/>
    </row>
    <row r="51" spans="1:15">
      <c r="A51" s="1803"/>
      <c r="B51" s="1781">
        <v>1655000</v>
      </c>
      <c r="C51" s="1782">
        <v>132400</v>
      </c>
      <c r="D51" s="1782" t="s">
        <v>374</v>
      </c>
      <c r="E51" s="1783" t="s">
        <v>104</v>
      </c>
      <c r="F51" s="1784">
        <v>0</v>
      </c>
      <c r="G51" s="1784">
        <v>0</v>
      </c>
      <c r="H51" s="1787">
        <f t="shared" si="0"/>
        <v>0</v>
      </c>
      <c r="I51" s="1785">
        <f t="shared" si="3"/>
        <v>0</v>
      </c>
      <c r="J51" s="1786" t="str">
        <f t="shared" si="3"/>
        <v/>
      </c>
      <c r="K51" s="1786" t="str">
        <f t="shared" si="3"/>
        <v/>
      </c>
      <c r="L51" s="1787" t="str">
        <f t="shared" si="3"/>
        <v/>
      </c>
      <c r="O51" s="1788"/>
    </row>
    <row r="52" spans="1:15" ht="15.75" thickBot="1">
      <c r="A52" s="1803"/>
      <c r="B52" s="1569"/>
      <c r="C52" s="1568"/>
      <c r="D52" s="1568"/>
      <c r="E52" s="1567"/>
      <c r="F52" s="1566"/>
      <c r="G52" s="1566"/>
      <c r="H52" s="1791"/>
      <c r="I52" s="1789" t="str">
        <f t="shared" si="3"/>
        <v/>
      </c>
      <c r="J52" s="1790" t="str">
        <f t="shared" si="3"/>
        <v/>
      </c>
      <c r="K52" s="1790" t="str">
        <f t="shared" si="3"/>
        <v/>
      </c>
      <c r="L52" s="1791" t="str">
        <f t="shared" si="3"/>
        <v/>
      </c>
    </row>
    <row r="53" spans="1:15" ht="15.75" thickBot="1">
      <c r="A53" s="1803"/>
      <c r="B53" s="1797"/>
      <c r="C53" s="1797"/>
      <c r="D53" s="1792" t="s">
        <v>375</v>
      </c>
      <c r="E53" s="1793"/>
      <c r="F53" s="1794">
        <f t="shared" ref="F53:L53" si="4">SUM(F7:F52)</f>
        <v>54470840.100000016</v>
      </c>
      <c r="G53" s="1795">
        <f t="shared" si="4"/>
        <v>57531155.069999993</v>
      </c>
      <c r="H53" s="1796">
        <f t="shared" si="4"/>
        <v>56000997.584999993</v>
      </c>
      <c r="I53" s="1794">
        <f t="shared" si="4"/>
        <v>27003105.229999993</v>
      </c>
      <c r="J53" s="1795">
        <f t="shared" si="4"/>
        <v>0</v>
      </c>
      <c r="K53" s="1795">
        <f t="shared" si="4"/>
        <v>18335222.190000001</v>
      </c>
      <c r="L53" s="1796">
        <f t="shared" si="4"/>
        <v>10662670.164999999</v>
      </c>
    </row>
    <row r="54" spans="1:15">
      <c r="A54" s="1803"/>
      <c r="B54" s="1797"/>
      <c r="C54" s="1797"/>
      <c r="D54" s="1798"/>
      <c r="E54" s="1798"/>
      <c r="F54" s="1799"/>
      <c r="G54" s="1799"/>
      <c r="H54" s="1799"/>
      <c r="I54" s="1799"/>
      <c r="J54" s="1799"/>
      <c r="K54" s="1799"/>
      <c r="L54" s="1799"/>
    </row>
    <row r="56" spans="1:15">
      <c r="G56" s="1565" t="s">
        <v>305</v>
      </c>
      <c r="H56" s="1560"/>
      <c r="I56" s="823">
        <v>0</v>
      </c>
      <c r="J56" s="823">
        <v>1</v>
      </c>
      <c r="K56" s="824">
        <f>Allocator.net.plant</f>
        <v>0.26273925856404062</v>
      </c>
      <c r="L56" s="824">
        <f>Allocator.wages.salary</f>
        <v>7.8815542097072699E-2</v>
      </c>
    </row>
    <row r="57" spans="1:15">
      <c r="G57" s="1565" t="s">
        <v>1005</v>
      </c>
      <c r="H57" s="1560"/>
      <c r="I57" s="1564">
        <f>I53*I56</f>
        <v>0</v>
      </c>
      <c r="J57" s="1564">
        <f>J53*J56</f>
        <v>0</v>
      </c>
      <c r="K57" s="1564">
        <f>K53*K56</f>
        <v>4817382.6838075453</v>
      </c>
      <c r="L57" s="1564">
        <f>L53*L56</f>
        <v>840384.12925675849</v>
      </c>
    </row>
    <row r="58" spans="1:15">
      <c r="G58" s="1563"/>
      <c r="H58" s="1540"/>
      <c r="I58" s="1540"/>
      <c r="J58" s="1540"/>
      <c r="K58" s="1540"/>
      <c r="L58" s="1540"/>
    </row>
    <row r="59" spans="1:15" ht="15.75" thickBot="1">
      <c r="G59" s="1562" t="s">
        <v>1120</v>
      </c>
      <c r="H59" s="1561">
        <f>SUM(I57:L57)</f>
        <v>5657766.8130643042</v>
      </c>
      <c r="I59" s="1560"/>
      <c r="J59" s="1540"/>
      <c r="K59" s="1540"/>
      <c r="L59" s="1560"/>
    </row>
  </sheetData>
  <dataValidations disablePrompts="1" count="1">
    <dataValidation type="list" allowBlank="1" showInputMessage="1" showErrorMessage="1" sqref="E7:E52">
      <formula1>$I$6:$L$6</formula1>
    </dataValidation>
  </dataValidations>
  <pageMargins left="0.34" right="0.38" top="0.5" bottom="0.5" header="0.3" footer="0.3"/>
  <pageSetup scale="59"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topLeftCell="B1" workbookViewId="0">
      <selection activeCell="C47" sqref="C47"/>
    </sheetView>
  </sheetViews>
  <sheetFormatPr defaultColWidth="19.5703125" defaultRowHeight="12.75"/>
  <cols>
    <col min="1" max="1" width="6.140625" style="986" customWidth="1"/>
    <col min="2" max="2" width="24.140625" style="986" customWidth="1"/>
    <col min="3" max="3" width="40" style="986" customWidth="1"/>
    <col min="4" max="4" width="41.5703125" style="993" customWidth="1"/>
    <col min="5" max="5" width="20.7109375" style="986" customWidth="1"/>
    <col min="6" max="6" width="3.140625" style="986" customWidth="1"/>
    <col min="7" max="241" width="19.5703125" style="986"/>
    <col min="242" max="242" width="7.140625" style="986" customWidth="1"/>
    <col min="243" max="243" width="24.140625" style="986" customWidth="1"/>
    <col min="244" max="244" width="28.42578125" style="986" customWidth="1"/>
    <col min="245" max="245" width="19.5703125" style="986" customWidth="1"/>
    <col min="246" max="246" width="24.140625" style="986" customWidth="1"/>
    <col min="247" max="247" width="19.5703125" style="986"/>
    <col min="248" max="248" width="5.5703125" style="986" customWidth="1"/>
    <col min="249" max="249" width="24.140625" style="986" customWidth="1"/>
    <col min="250" max="250" width="34.140625" style="986" customWidth="1"/>
    <col min="251" max="251" width="41.5703125" style="986" customWidth="1"/>
    <col min="252" max="252" width="25.140625" style="986" customWidth="1"/>
    <col min="253" max="253" width="19.5703125" style="986"/>
    <col min="254" max="254" width="7" style="986" customWidth="1"/>
    <col min="255" max="255" width="4.85546875" style="986" bestFit="1" customWidth="1"/>
    <col min="256" max="256" width="9.140625" style="986" bestFit="1" customWidth="1"/>
    <col min="257" max="257" width="12.5703125" style="986" customWidth="1"/>
    <col min="258" max="258" width="56.7109375" style="986" bestFit="1" customWidth="1"/>
    <col min="259" max="497" width="19.5703125" style="986"/>
    <col min="498" max="498" width="7.140625" style="986" customWidth="1"/>
    <col min="499" max="499" width="24.140625" style="986" customWidth="1"/>
    <col min="500" max="500" width="28.42578125" style="986" customWidth="1"/>
    <col min="501" max="501" width="19.5703125" style="986" customWidth="1"/>
    <col min="502" max="502" width="24.140625" style="986" customWidth="1"/>
    <col min="503" max="503" width="19.5703125" style="986"/>
    <col min="504" max="504" width="5.5703125" style="986" customWidth="1"/>
    <col min="505" max="505" width="24.140625" style="986" customWidth="1"/>
    <col min="506" max="506" width="34.140625" style="986" customWidth="1"/>
    <col min="507" max="507" width="41.5703125" style="986" customWidth="1"/>
    <col min="508" max="508" width="25.140625" style="986" customWidth="1"/>
    <col min="509" max="509" width="19.5703125" style="986"/>
    <col min="510" max="510" width="7" style="986" customWidth="1"/>
    <col min="511" max="511" width="4.85546875" style="986" bestFit="1" customWidth="1"/>
    <col min="512" max="512" width="9.140625" style="986" bestFit="1" customWidth="1"/>
    <col min="513" max="513" width="12.5703125" style="986" customWidth="1"/>
    <col min="514" max="514" width="56.7109375" style="986" bestFit="1" customWidth="1"/>
    <col min="515" max="753" width="19.5703125" style="986"/>
    <col min="754" max="754" width="7.140625" style="986" customWidth="1"/>
    <col min="755" max="755" width="24.140625" style="986" customWidth="1"/>
    <col min="756" max="756" width="28.42578125" style="986" customWidth="1"/>
    <col min="757" max="757" width="19.5703125" style="986" customWidth="1"/>
    <col min="758" max="758" width="24.140625" style="986" customWidth="1"/>
    <col min="759" max="759" width="19.5703125" style="986"/>
    <col min="760" max="760" width="5.5703125" style="986" customWidth="1"/>
    <col min="761" max="761" width="24.140625" style="986" customWidth="1"/>
    <col min="762" max="762" width="34.140625" style="986" customWidth="1"/>
    <col min="763" max="763" width="41.5703125" style="986" customWidth="1"/>
    <col min="764" max="764" width="25.140625" style="986" customWidth="1"/>
    <col min="765" max="765" width="19.5703125" style="986"/>
    <col min="766" max="766" width="7" style="986" customWidth="1"/>
    <col min="767" max="767" width="4.85546875" style="986" bestFit="1" customWidth="1"/>
    <col min="768" max="768" width="9.140625" style="986" bestFit="1" customWidth="1"/>
    <col min="769" max="769" width="12.5703125" style="986" customWidth="1"/>
    <col min="770" max="770" width="56.7109375" style="986" bestFit="1" customWidth="1"/>
    <col min="771" max="1009" width="19.5703125" style="986"/>
    <col min="1010" max="1010" width="7.140625" style="986" customWidth="1"/>
    <col min="1011" max="1011" width="24.140625" style="986" customWidth="1"/>
    <col min="1012" max="1012" width="28.42578125" style="986" customWidth="1"/>
    <col min="1013" max="1013" width="19.5703125" style="986" customWidth="1"/>
    <col min="1014" max="1014" width="24.140625" style="986" customWidth="1"/>
    <col min="1015" max="1015" width="19.5703125" style="986"/>
    <col min="1016" max="1016" width="5.5703125" style="986" customWidth="1"/>
    <col min="1017" max="1017" width="24.140625" style="986" customWidth="1"/>
    <col min="1018" max="1018" width="34.140625" style="986" customWidth="1"/>
    <col min="1019" max="1019" width="41.5703125" style="986" customWidth="1"/>
    <col min="1020" max="1020" width="25.140625" style="986" customWidth="1"/>
    <col min="1021" max="1021" width="19.5703125" style="986"/>
    <col min="1022" max="1022" width="7" style="986" customWidth="1"/>
    <col min="1023" max="1023" width="4.85546875" style="986" bestFit="1" customWidth="1"/>
    <col min="1024" max="1024" width="9.140625" style="986" bestFit="1" customWidth="1"/>
    <col min="1025" max="1025" width="12.5703125" style="986" customWidth="1"/>
    <col min="1026" max="1026" width="56.7109375" style="986" bestFit="1" customWidth="1"/>
    <col min="1027" max="1265" width="19.5703125" style="986"/>
    <col min="1266" max="1266" width="7.140625" style="986" customWidth="1"/>
    <col min="1267" max="1267" width="24.140625" style="986" customWidth="1"/>
    <col min="1268" max="1268" width="28.42578125" style="986" customWidth="1"/>
    <col min="1269" max="1269" width="19.5703125" style="986" customWidth="1"/>
    <col min="1270" max="1270" width="24.140625" style="986" customWidth="1"/>
    <col min="1271" max="1271" width="19.5703125" style="986"/>
    <col min="1272" max="1272" width="5.5703125" style="986" customWidth="1"/>
    <col min="1273" max="1273" width="24.140625" style="986" customWidth="1"/>
    <col min="1274" max="1274" width="34.140625" style="986" customWidth="1"/>
    <col min="1275" max="1275" width="41.5703125" style="986" customWidth="1"/>
    <col min="1276" max="1276" width="25.140625" style="986" customWidth="1"/>
    <col min="1277" max="1277" width="19.5703125" style="986"/>
    <col min="1278" max="1278" width="7" style="986" customWidth="1"/>
    <col min="1279" max="1279" width="4.85546875" style="986" bestFit="1" customWidth="1"/>
    <col min="1280" max="1280" width="9.140625" style="986" bestFit="1" customWidth="1"/>
    <col min="1281" max="1281" width="12.5703125" style="986" customWidth="1"/>
    <col min="1282" max="1282" width="56.7109375" style="986" bestFit="1" customWidth="1"/>
    <col min="1283" max="1521" width="19.5703125" style="986"/>
    <col min="1522" max="1522" width="7.140625" style="986" customWidth="1"/>
    <col min="1523" max="1523" width="24.140625" style="986" customWidth="1"/>
    <col min="1524" max="1524" width="28.42578125" style="986" customWidth="1"/>
    <col min="1525" max="1525" width="19.5703125" style="986" customWidth="1"/>
    <col min="1526" max="1526" width="24.140625" style="986" customWidth="1"/>
    <col min="1527" max="1527" width="19.5703125" style="986"/>
    <col min="1528" max="1528" width="5.5703125" style="986" customWidth="1"/>
    <col min="1529" max="1529" width="24.140625" style="986" customWidth="1"/>
    <col min="1530" max="1530" width="34.140625" style="986" customWidth="1"/>
    <col min="1531" max="1531" width="41.5703125" style="986" customWidth="1"/>
    <col min="1532" max="1532" width="25.140625" style="986" customWidth="1"/>
    <col min="1533" max="1533" width="19.5703125" style="986"/>
    <col min="1534" max="1534" width="7" style="986" customWidth="1"/>
    <col min="1535" max="1535" width="4.85546875" style="986" bestFit="1" customWidth="1"/>
    <col min="1536" max="1536" width="9.140625" style="986" bestFit="1" customWidth="1"/>
    <col min="1537" max="1537" width="12.5703125" style="986" customWidth="1"/>
    <col min="1538" max="1538" width="56.7109375" style="986" bestFit="1" customWidth="1"/>
    <col min="1539" max="1777" width="19.5703125" style="986"/>
    <col min="1778" max="1778" width="7.140625" style="986" customWidth="1"/>
    <col min="1779" max="1779" width="24.140625" style="986" customWidth="1"/>
    <col min="1780" max="1780" width="28.42578125" style="986" customWidth="1"/>
    <col min="1781" max="1781" width="19.5703125" style="986" customWidth="1"/>
    <col min="1782" max="1782" width="24.140625" style="986" customWidth="1"/>
    <col min="1783" max="1783" width="19.5703125" style="986"/>
    <col min="1784" max="1784" width="5.5703125" style="986" customWidth="1"/>
    <col min="1785" max="1785" width="24.140625" style="986" customWidth="1"/>
    <col min="1786" max="1786" width="34.140625" style="986" customWidth="1"/>
    <col min="1787" max="1787" width="41.5703125" style="986" customWidth="1"/>
    <col min="1788" max="1788" width="25.140625" style="986" customWidth="1"/>
    <col min="1789" max="1789" width="19.5703125" style="986"/>
    <col min="1790" max="1790" width="7" style="986" customWidth="1"/>
    <col min="1791" max="1791" width="4.85546875" style="986" bestFit="1" customWidth="1"/>
    <col min="1792" max="1792" width="9.140625" style="986" bestFit="1" customWidth="1"/>
    <col min="1793" max="1793" width="12.5703125" style="986" customWidth="1"/>
    <col min="1794" max="1794" width="56.7109375" style="986" bestFit="1" customWidth="1"/>
    <col min="1795" max="2033" width="19.5703125" style="986"/>
    <col min="2034" max="2034" width="7.140625" style="986" customWidth="1"/>
    <col min="2035" max="2035" width="24.140625" style="986" customWidth="1"/>
    <col min="2036" max="2036" width="28.42578125" style="986" customWidth="1"/>
    <col min="2037" max="2037" width="19.5703125" style="986" customWidth="1"/>
    <col min="2038" max="2038" width="24.140625" style="986" customWidth="1"/>
    <col min="2039" max="2039" width="19.5703125" style="986"/>
    <col min="2040" max="2040" width="5.5703125" style="986" customWidth="1"/>
    <col min="2041" max="2041" width="24.140625" style="986" customWidth="1"/>
    <col min="2042" max="2042" width="34.140625" style="986" customWidth="1"/>
    <col min="2043" max="2043" width="41.5703125" style="986" customWidth="1"/>
    <col min="2044" max="2044" width="25.140625" style="986" customWidth="1"/>
    <col min="2045" max="2045" width="19.5703125" style="986"/>
    <col min="2046" max="2046" width="7" style="986" customWidth="1"/>
    <col min="2047" max="2047" width="4.85546875" style="986" bestFit="1" customWidth="1"/>
    <col min="2048" max="2048" width="9.140625" style="986" bestFit="1" customWidth="1"/>
    <col min="2049" max="2049" width="12.5703125" style="986" customWidth="1"/>
    <col min="2050" max="2050" width="56.7109375" style="986" bestFit="1" customWidth="1"/>
    <col min="2051" max="2289" width="19.5703125" style="986"/>
    <col min="2290" max="2290" width="7.140625" style="986" customWidth="1"/>
    <col min="2291" max="2291" width="24.140625" style="986" customWidth="1"/>
    <col min="2292" max="2292" width="28.42578125" style="986" customWidth="1"/>
    <col min="2293" max="2293" width="19.5703125" style="986" customWidth="1"/>
    <col min="2294" max="2294" width="24.140625" style="986" customWidth="1"/>
    <col min="2295" max="2295" width="19.5703125" style="986"/>
    <col min="2296" max="2296" width="5.5703125" style="986" customWidth="1"/>
    <col min="2297" max="2297" width="24.140625" style="986" customWidth="1"/>
    <col min="2298" max="2298" width="34.140625" style="986" customWidth="1"/>
    <col min="2299" max="2299" width="41.5703125" style="986" customWidth="1"/>
    <col min="2300" max="2300" width="25.140625" style="986" customWidth="1"/>
    <col min="2301" max="2301" width="19.5703125" style="986"/>
    <col min="2302" max="2302" width="7" style="986" customWidth="1"/>
    <col min="2303" max="2303" width="4.85546875" style="986" bestFit="1" customWidth="1"/>
    <col min="2304" max="2304" width="9.140625" style="986" bestFit="1" customWidth="1"/>
    <col min="2305" max="2305" width="12.5703125" style="986" customWidth="1"/>
    <col min="2306" max="2306" width="56.7109375" style="986" bestFit="1" customWidth="1"/>
    <col min="2307" max="2545" width="19.5703125" style="986"/>
    <col min="2546" max="2546" width="7.140625" style="986" customWidth="1"/>
    <col min="2547" max="2547" width="24.140625" style="986" customWidth="1"/>
    <col min="2548" max="2548" width="28.42578125" style="986" customWidth="1"/>
    <col min="2549" max="2549" width="19.5703125" style="986" customWidth="1"/>
    <col min="2550" max="2550" width="24.140625" style="986" customWidth="1"/>
    <col min="2551" max="2551" width="19.5703125" style="986"/>
    <col min="2552" max="2552" width="5.5703125" style="986" customWidth="1"/>
    <col min="2553" max="2553" width="24.140625" style="986" customWidth="1"/>
    <col min="2554" max="2554" width="34.140625" style="986" customWidth="1"/>
    <col min="2555" max="2555" width="41.5703125" style="986" customWidth="1"/>
    <col min="2556" max="2556" width="25.140625" style="986" customWidth="1"/>
    <col min="2557" max="2557" width="19.5703125" style="986"/>
    <col min="2558" max="2558" width="7" style="986" customWidth="1"/>
    <col min="2559" max="2559" width="4.85546875" style="986" bestFit="1" customWidth="1"/>
    <col min="2560" max="2560" width="9.140625" style="986" bestFit="1" customWidth="1"/>
    <col min="2561" max="2561" width="12.5703125" style="986" customWidth="1"/>
    <col min="2562" max="2562" width="56.7109375" style="986" bestFit="1" customWidth="1"/>
    <col min="2563" max="2801" width="19.5703125" style="986"/>
    <col min="2802" max="2802" width="7.140625" style="986" customWidth="1"/>
    <col min="2803" max="2803" width="24.140625" style="986" customWidth="1"/>
    <col min="2804" max="2804" width="28.42578125" style="986" customWidth="1"/>
    <col min="2805" max="2805" width="19.5703125" style="986" customWidth="1"/>
    <col min="2806" max="2806" width="24.140625" style="986" customWidth="1"/>
    <col min="2807" max="2807" width="19.5703125" style="986"/>
    <col min="2808" max="2808" width="5.5703125" style="986" customWidth="1"/>
    <col min="2809" max="2809" width="24.140625" style="986" customWidth="1"/>
    <col min="2810" max="2810" width="34.140625" style="986" customWidth="1"/>
    <col min="2811" max="2811" width="41.5703125" style="986" customWidth="1"/>
    <col min="2812" max="2812" width="25.140625" style="986" customWidth="1"/>
    <col min="2813" max="2813" width="19.5703125" style="986"/>
    <col min="2814" max="2814" width="7" style="986" customWidth="1"/>
    <col min="2815" max="2815" width="4.85546875" style="986" bestFit="1" customWidth="1"/>
    <col min="2816" max="2816" width="9.140625" style="986" bestFit="1" customWidth="1"/>
    <col min="2817" max="2817" width="12.5703125" style="986" customWidth="1"/>
    <col min="2818" max="2818" width="56.7109375" style="986" bestFit="1" customWidth="1"/>
    <col min="2819" max="3057" width="19.5703125" style="986"/>
    <col min="3058" max="3058" width="7.140625" style="986" customWidth="1"/>
    <col min="3059" max="3059" width="24.140625" style="986" customWidth="1"/>
    <col min="3060" max="3060" width="28.42578125" style="986" customWidth="1"/>
    <col min="3061" max="3061" width="19.5703125" style="986" customWidth="1"/>
    <col min="3062" max="3062" width="24.140625" style="986" customWidth="1"/>
    <col min="3063" max="3063" width="19.5703125" style="986"/>
    <col min="3064" max="3064" width="5.5703125" style="986" customWidth="1"/>
    <col min="3065" max="3065" width="24.140625" style="986" customWidth="1"/>
    <col min="3066" max="3066" width="34.140625" style="986" customWidth="1"/>
    <col min="3067" max="3067" width="41.5703125" style="986" customWidth="1"/>
    <col min="3068" max="3068" width="25.140625" style="986" customWidth="1"/>
    <col min="3069" max="3069" width="19.5703125" style="986"/>
    <col min="3070" max="3070" width="7" style="986" customWidth="1"/>
    <col min="3071" max="3071" width="4.85546875" style="986" bestFit="1" customWidth="1"/>
    <col min="3072" max="3072" width="9.140625" style="986" bestFit="1" customWidth="1"/>
    <col min="3073" max="3073" width="12.5703125" style="986" customWidth="1"/>
    <col min="3074" max="3074" width="56.7109375" style="986" bestFit="1" customWidth="1"/>
    <col min="3075" max="3313" width="19.5703125" style="986"/>
    <col min="3314" max="3314" width="7.140625" style="986" customWidth="1"/>
    <col min="3315" max="3315" width="24.140625" style="986" customWidth="1"/>
    <col min="3316" max="3316" width="28.42578125" style="986" customWidth="1"/>
    <col min="3317" max="3317" width="19.5703125" style="986" customWidth="1"/>
    <col min="3318" max="3318" width="24.140625" style="986" customWidth="1"/>
    <col min="3319" max="3319" width="19.5703125" style="986"/>
    <col min="3320" max="3320" width="5.5703125" style="986" customWidth="1"/>
    <col min="3321" max="3321" width="24.140625" style="986" customWidth="1"/>
    <col min="3322" max="3322" width="34.140625" style="986" customWidth="1"/>
    <col min="3323" max="3323" width="41.5703125" style="986" customWidth="1"/>
    <col min="3324" max="3324" width="25.140625" style="986" customWidth="1"/>
    <col min="3325" max="3325" width="19.5703125" style="986"/>
    <col min="3326" max="3326" width="7" style="986" customWidth="1"/>
    <col min="3327" max="3327" width="4.85546875" style="986" bestFit="1" customWidth="1"/>
    <col min="3328" max="3328" width="9.140625" style="986" bestFit="1" customWidth="1"/>
    <col min="3329" max="3329" width="12.5703125" style="986" customWidth="1"/>
    <col min="3330" max="3330" width="56.7109375" style="986" bestFit="1" customWidth="1"/>
    <col min="3331" max="3569" width="19.5703125" style="986"/>
    <col min="3570" max="3570" width="7.140625" style="986" customWidth="1"/>
    <col min="3571" max="3571" width="24.140625" style="986" customWidth="1"/>
    <col min="3572" max="3572" width="28.42578125" style="986" customWidth="1"/>
    <col min="3573" max="3573" width="19.5703125" style="986" customWidth="1"/>
    <col min="3574" max="3574" width="24.140625" style="986" customWidth="1"/>
    <col min="3575" max="3575" width="19.5703125" style="986"/>
    <col min="3576" max="3576" width="5.5703125" style="986" customWidth="1"/>
    <col min="3577" max="3577" width="24.140625" style="986" customWidth="1"/>
    <col min="3578" max="3578" width="34.140625" style="986" customWidth="1"/>
    <col min="3579" max="3579" width="41.5703125" style="986" customWidth="1"/>
    <col min="3580" max="3580" width="25.140625" style="986" customWidth="1"/>
    <col min="3581" max="3581" width="19.5703125" style="986"/>
    <col min="3582" max="3582" width="7" style="986" customWidth="1"/>
    <col min="3583" max="3583" width="4.85546875" style="986" bestFit="1" customWidth="1"/>
    <col min="3584" max="3584" width="9.140625" style="986" bestFit="1" customWidth="1"/>
    <col min="3585" max="3585" width="12.5703125" style="986" customWidth="1"/>
    <col min="3586" max="3586" width="56.7109375" style="986" bestFit="1" customWidth="1"/>
    <col min="3587" max="3825" width="19.5703125" style="986"/>
    <col min="3826" max="3826" width="7.140625" style="986" customWidth="1"/>
    <col min="3827" max="3827" width="24.140625" style="986" customWidth="1"/>
    <col min="3828" max="3828" width="28.42578125" style="986" customWidth="1"/>
    <col min="3829" max="3829" width="19.5703125" style="986" customWidth="1"/>
    <col min="3830" max="3830" width="24.140625" style="986" customWidth="1"/>
    <col min="3831" max="3831" width="19.5703125" style="986"/>
    <col min="3832" max="3832" width="5.5703125" style="986" customWidth="1"/>
    <col min="3833" max="3833" width="24.140625" style="986" customWidth="1"/>
    <col min="3834" max="3834" width="34.140625" style="986" customWidth="1"/>
    <col min="3835" max="3835" width="41.5703125" style="986" customWidth="1"/>
    <col min="3836" max="3836" width="25.140625" style="986" customWidth="1"/>
    <col min="3837" max="3837" width="19.5703125" style="986"/>
    <col min="3838" max="3838" width="7" style="986" customWidth="1"/>
    <col min="3839" max="3839" width="4.85546875" style="986" bestFit="1" customWidth="1"/>
    <col min="3840" max="3840" width="9.140625" style="986" bestFit="1" customWidth="1"/>
    <col min="3841" max="3841" width="12.5703125" style="986" customWidth="1"/>
    <col min="3842" max="3842" width="56.7109375" style="986" bestFit="1" customWidth="1"/>
    <col min="3843" max="4081" width="19.5703125" style="986"/>
    <col min="4082" max="4082" width="7.140625" style="986" customWidth="1"/>
    <col min="4083" max="4083" width="24.140625" style="986" customWidth="1"/>
    <col min="4084" max="4084" width="28.42578125" style="986" customWidth="1"/>
    <col min="4085" max="4085" width="19.5703125" style="986" customWidth="1"/>
    <col min="4086" max="4086" width="24.140625" style="986" customWidth="1"/>
    <col min="4087" max="4087" width="19.5703125" style="986"/>
    <col min="4088" max="4088" width="5.5703125" style="986" customWidth="1"/>
    <col min="4089" max="4089" width="24.140625" style="986" customWidth="1"/>
    <col min="4090" max="4090" width="34.140625" style="986" customWidth="1"/>
    <col min="4091" max="4091" width="41.5703125" style="986" customWidth="1"/>
    <col min="4092" max="4092" width="25.140625" style="986" customWidth="1"/>
    <col min="4093" max="4093" width="19.5703125" style="986"/>
    <col min="4094" max="4094" width="7" style="986" customWidth="1"/>
    <col min="4095" max="4095" width="4.85546875" style="986" bestFit="1" customWidth="1"/>
    <col min="4096" max="4096" width="9.140625" style="986" bestFit="1" customWidth="1"/>
    <col min="4097" max="4097" width="12.5703125" style="986" customWidth="1"/>
    <col min="4098" max="4098" width="56.7109375" style="986" bestFit="1" customWidth="1"/>
    <col min="4099" max="4337" width="19.5703125" style="986"/>
    <col min="4338" max="4338" width="7.140625" style="986" customWidth="1"/>
    <col min="4339" max="4339" width="24.140625" style="986" customWidth="1"/>
    <col min="4340" max="4340" width="28.42578125" style="986" customWidth="1"/>
    <col min="4341" max="4341" width="19.5703125" style="986" customWidth="1"/>
    <col min="4342" max="4342" width="24.140625" style="986" customWidth="1"/>
    <col min="4343" max="4343" width="19.5703125" style="986"/>
    <col min="4344" max="4344" width="5.5703125" style="986" customWidth="1"/>
    <col min="4345" max="4345" width="24.140625" style="986" customWidth="1"/>
    <col min="4346" max="4346" width="34.140625" style="986" customWidth="1"/>
    <col min="4347" max="4347" width="41.5703125" style="986" customWidth="1"/>
    <col min="4348" max="4348" width="25.140625" style="986" customWidth="1"/>
    <col min="4349" max="4349" width="19.5703125" style="986"/>
    <col min="4350" max="4350" width="7" style="986" customWidth="1"/>
    <col min="4351" max="4351" width="4.85546875" style="986" bestFit="1" customWidth="1"/>
    <col min="4352" max="4352" width="9.140625" style="986" bestFit="1" customWidth="1"/>
    <col min="4353" max="4353" width="12.5703125" style="986" customWidth="1"/>
    <col min="4354" max="4354" width="56.7109375" style="986" bestFit="1" customWidth="1"/>
    <col min="4355" max="4593" width="19.5703125" style="986"/>
    <col min="4594" max="4594" width="7.140625" style="986" customWidth="1"/>
    <col min="4595" max="4595" width="24.140625" style="986" customWidth="1"/>
    <col min="4596" max="4596" width="28.42578125" style="986" customWidth="1"/>
    <col min="4597" max="4597" width="19.5703125" style="986" customWidth="1"/>
    <col min="4598" max="4598" width="24.140625" style="986" customWidth="1"/>
    <col min="4599" max="4599" width="19.5703125" style="986"/>
    <col min="4600" max="4600" width="5.5703125" style="986" customWidth="1"/>
    <col min="4601" max="4601" width="24.140625" style="986" customWidth="1"/>
    <col min="4602" max="4602" width="34.140625" style="986" customWidth="1"/>
    <col min="4603" max="4603" width="41.5703125" style="986" customWidth="1"/>
    <col min="4604" max="4604" width="25.140625" style="986" customWidth="1"/>
    <col min="4605" max="4605" width="19.5703125" style="986"/>
    <col min="4606" max="4606" width="7" style="986" customWidth="1"/>
    <col min="4607" max="4607" width="4.85546875" style="986" bestFit="1" customWidth="1"/>
    <col min="4608" max="4608" width="9.140625" style="986" bestFit="1" customWidth="1"/>
    <col min="4609" max="4609" width="12.5703125" style="986" customWidth="1"/>
    <col min="4610" max="4610" width="56.7109375" style="986" bestFit="1" customWidth="1"/>
    <col min="4611" max="4849" width="19.5703125" style="986"/>
    <col min="4850" max="4850" width="7.140625" style="986" customWidth="1"/>
    <col min="4851" max="4851" width="24.140625" style="986" customWidth="1"/>
    <col min="4852" max="4852" width="28.42578125" style="986" customWidth="1"/>
    <col min="4853" max="4853" width="19.5703125" style="986" customWidth="1"/>
    <col min="4854" max="4854" width="24.140625" style="986" customWidth="1"/>
    <col min="4855" max="4855" width="19.5703125" style="986"/>
    <col min="4856" max="4856" width="5.5703125" style="986" customWidth="1"/>
    <col min="4857" max="4857" width="24.140625" style="986" customWidth="1"/>
    <col min="4858" max="4858" width="34.140625" style="986" customWidth="1"/>
    <col min="4859" max="4859" width="41.5703125" style="986" customWidth="1"/>
    <col min="4860" max="4860" width="25.140625" style="986" customWidth="1"/>
    <col min="4861" max="4861" width="19.5703125" style="986"/>
    <col min="4862" max="4862" width="7" style="986" customWidth="1"/>
    <col min="4863" max="4863" width="4.85546875" style="986" bestFit="1" customWidth="1"/>
    <col min="4864" max="4864" width="9.140625" style="986" bestFit="1" customWidth="1"/>
    <col min="4865" max="4865" width="12.5703125" style="986" customWidth="1"/>
    <col min="4866" max="4866" width="56.7109375" style="986" bestFit="1" customWidth="1"/>
    <col min="4867" max="5105" width="19.5703125" style="986"/>
    <col min="5106" max="5106" width="7.140625" style="986" customWidth="1"/>
    <col min="5107" max="5107" width="24.140625" style="986" customWidth="1"/>
    <col min="5108" max="5108" width="28.42578125" style="986" customWidth="1"/>
    <col min="5109" max="5109" width="19.5703125" style="986" customWidth="1"/>
    <col min="5110" max="5110" width="24.140625" style="986" customWidth="1"/>
    <col min="5111" max="5111" width="19.5703125" style="986"/>
    <col min="5112" max="5112" width="5.5703125" style="986" customWidth="1"/>
    <col min="5113" max="5113" width="24.140625" style="986" customWidth="1"/>
    <col min="5114" max="5114" width="34.140625" style="986" customWidth="1"/>
    <col min="5115" max="5115" width="41.5703125" style="986" customWidth="1"/>
    <col min="5116" max="5116" width="25.140625" style="986" customWidth="1"/>
    <col min="5117" max="5117" width="19.5703125" style="986"/>
    <col min="5118" max="5118" width="7" style="986" customWidth="1"/>
    <col min="5119" max="5119" width="4.85546875" style="986" bestFit="1" customWidth="1"/>
    <col min="5120" max="5120" width="9.140625" style="986" bestFit="1" customWidth="1"/>
    <col min="5121" max="5121" width="12.5703125" style="986" customWidth="1"/>
    <col min="5122" max="5122" width="56.7109375" style="986" bestFit="1" customWidth="1"/>
    <col min="5123" max="5361" width="19.5703125" style="986"/>
    <col min="5362" max="5362" width="7.140625" style="986" customWidth="1"/>
    <col min="5363" max="5363" width="24.140625" style="986" customWidth="1"/>
    <col min="5364" max="5364" width="28.42578125" style="986" customWidth="1"/>
    <col min="5365" max="5365" width="19.5703125" style="986" customWidth="1"/>
    <col min="5366" max="5366" width="24.140625" style="986" customWidth="1"/>
    <col min="5367" max="5367" width="19.5703125" style="986"/>
    <col min="5368" max="5368" width="5.5703125" style="986" customWidth="1"/>
    <col min="5369" max="5369" width="24.140625" style="986" customWidth="1"/>
    <col min="5370" max="5370" width="34.140625" style="986" customWidth="1"/>
    <col min="5371" max="5371" width="41.5703125" style="986" customWidth="1"/>
    <col min="5372" max="5372" width="25.140625" style="986" customWidth="1"/>
    <col min="5373" max="5373" width="19.5703125" style="986"/>
    <col min="5374" max="5374" width="7" style="986" customWidth="1"/>
    <col min="5375" max="5375" width="4.85546875" style="986" bestFit="1" customWidth="1"/>
    <col min="5376" max="5376" width="9.140625" style="986" bestFit="1" customWidth="1"/>
    <col min="5377" max="5377" width="12.5703125" style="986" customWidth="1"/>
    <col min="5378" max="5378" width="56.7109375" style="986" bestFit="1" customWidth="1"/>
    <col min="5379" max="5617" width="19.5703125" style="986"/>
    <col min="5618" max="5618" width="7.140625" style="986" customWidth="1"/>
    <col min="5619" max="5619" width="24.140625" style="986" customWidth="1"/>
    <col min="5620" max="5620" width="28.42578125" style="986" customWidth="1"/>
    <col min="5621" max="5621" width="19.5703125" style="986" customWidth="1"/>
    <col min="5622" max="5622" width="24.140625" style="986" customWidth="1"/>
    <col min="5623" max="5623" width="19.5703125" style="986"/>
    <col min="5624" max="5624" width="5.5703125" style="986" customWidth="1"/>
    <col min="5625" max="5625" width="24.140625" style="986" customWidth="1"/>
    <col min="5626" max="5626" width="34.140625" style="986" customWidth="1"/>
    <col min="5627" max="5627" width="41.5703125" style="986" customWidth="1"/>
    <col min="5628" max="5628" width="25.140625" style="986" customWidth="1"/>
    <col min="5629" max="5629" width="19.5703125" style="986"/>
    <col min="5630" max="5630" width="7" style="986" customWidth="1"/>
    <col min="5631" max="5631" width="4.85546875" style="986" bestFit="1" customWidth="1"/>
    <col min="5632" max="5632" width="9.140625" style="986" bestFit="1" customWidth="1"/>
    <col min="5633" max="5633" width="12.5703125" style="986" customWidth="1"/>
    <col min="5634" max="5634" width="56.7109375" style="986" bestFit="1" customWidth="1"/>
    <col min="5635" max="5873" width="19.5703125" style="986"/>
    <col min="5874" max="5874" width="7.140625" style="986" customWidth="1"/>
    <col min="5875" max="5875" width="24.140625" style="986" customWidth="1"/>
    <col min="5876" max="5876" width="28.42578125" style="986" customWidth="1"/>
    <col min="5877" max="5877" width="19.5703125" style="986" customWidth="1"/>
    <col min="5878" max="5878" width="24.140625" style="986" customWidth="1"/>
    <col min="5879" max="5879" width="19.5703125" style="986"/>
    <col min="5880" max="5880" width="5.5703125" style="986" customWidth="1"/>
    <col min="5881" max="5881" width="24.140625" style="986" customWidth="1"/>
    <col min="5882" max="5882" width="34.140625" style="986" customWidth="1"/>
    <col min="5883" max="5883" width="41.5703125" style="986" customWidth="1"/>
    <col min="5884" max="5884" width="25.140625" style="986" customWidth="1"/>
    <col min="5885" max="5885" width="19.5703125" style="986"/>
    <col min="5886" max="5886" width="7" style="986" customWidth="1"/>
    <col min="5887" max="5887" width="4.85546875" style="986" bestFit="1" customWidth="1"/>
    <col min="5888" max="5888" width="9.140625" style="986" bestFit="1" customWidth="1"/>
    <col min="5889" max="5889" width="12.5703125" style="986" customWidth="1"/>
    <col min="5890" max="5890" width="56.7109375" style="986" bestFit="1" customWidth="1"/>
    <col min="5891" max="6129" width="19.5703125" style="986"/>
    <col min="6130" max="6130" width="7.140625" style="986" customWidth="1"/>
    <col min="6131" max="6131" width="24.140625" style="986" customWidth="1"/>
    <col min="6132" max="6132" width="28.42578125" style="986" customWidth="1"/>
    <col min="6133" max="6133" width="19.5703125" style="986" customWidth="1"/>
    <col min="6134" max="6134" width="24.140625" style="986" customWidth="1"/>
    <col min="6135" max="6135" width="19.5703125" style="986"/>
    <col min="6136" max="6136" width="5.5703125" style="986" customWidth="1"/>
    <col min="6137" max="6137" width="24.140625" style="986" customWidth="1"/>
    <col min="6138" max="6138" width="34.140625" style="986" customWidth="1"/>
    <col min="6139" max="6139" width="41.5703125" style="986" customWidth="1"/>
    <col min="6140" max="6140" width="25.140625" style="986" customWidth="1"/>
    <col min="6141" max="6141" width="19.5703125" style="986"/>
    <col min="6142" max="6142" width="7" style="986" customWidth="1"/>
    <col min="6143" max="6143" width="4.85546875" style="986" bestFit="1" customWidth="1"/>
    <col min="6144" max="6144" width="9.140625" style="986" bestFit="1" customWidth="1"/>
    <col min="6145" max="6145" width="12.5703125" style="986" customWidth="1"/>
    <col min="6146" max="6146" width="56.7109375" style="986" bestFit="1" customWidth="1"/>
    <col min="6147" max="6385" width="19.5703125" style="986"/>
    <col min="6386" max="6386" width="7.140625" style="986" customWidth="1"/>
    <col min="6387" max="6387" width="24.140625" style="986" customWidth="1"/>
    <col min="6388" max="6388" width="28.42578125" style="986" customWidth="1"/>
    <col min="6389" max="6389" width="19.5703125" style="986" customWidth="1"/>
    <col min="6390" max="6390" width="24.140625" style="986" customWidth="1"/>
    <col min="6391" max="6391" width="19.5703125" style="986"/>
    <col min="6392" max="6392" width="5.5703125" style="986" customWidth="1"/>
    <col min="6393" max="6393" width="24.140625" style="986" customWidth="1"/>
    <col min="6394" max="6394" width="34.140625" style="986" customWidth="1"/>
    <col min="6395" max="6395" width="41.5703125" style="986" customWidth="1"/>
    <col min="6396" max="6396" width="25.140625" style="986" customWidth="1"/>
    <col min="6397" max="6397" width="19.5703125" style="986"/>
    <col min="6398" max="6398" width="7" style="986" customWidth="1"/>
    <col min="6399" max="6399" width="4.85546875" style="986" bestFit="1" customWidth="1"/>
    <col min="6400" max="6400" width="9.140625" style="986" bestFit="1" customWidth="1"/>
    <col min="6401" max="6401" width="12.5703125" style="986" customWidth="1"/>
    <col min="6402" max="6402" width="56.7109375" style="986" bestFit="1" customWidth="1"/>
    <col min="6403" max="6641" width="19.5703125" style="986"/>
    <col min="6642" max="6642" width="7.140625" style="986" customWidth="1"/>
    <col min="6643" max="6643" width="24.140625" style="986" customWidth="1"/>
    <col min="6644" max="6644" width="28.42578125" style="986" customWidth="1"/>
    <col min="6645" max="6645" width="19.5703125" style="986" customWidth="1"/>
    <col min="6646" max="6646" width="24.140625" style="986" customWidth="1"/>
    <col min="6647" max="6647" width="19.5703125" style="986"/>
    <col min="6648" max="6648" width="5.5703125" style="986" customWidth="1"/>
    <col min="6649" max="6649" width="24.140625" style="986" customWidth="1"/>
    <col min="6650" max="6650" width="34.140625" style="986" customWidth="1"/>
    <col min="6651" max="6651" width="41.5703125" style="986" customWidth="1"/>
    <col min="6652" max="6652" width="25.140625" style="986" customWidth="1"/>
    <col min="6653" max="6653" width="19.5703125" style="986"/>
    <col min="6654" max="6654" width="7" style="986" customWidth="1"/>
    <col min="6655" max="6655" width="4.85546875" style="986" bestFit="1" customWidth="1"/>
    <col min="6656" max="6656" width="9.140625" style="986" bestFit="1" customWidth="1"/>
    <col min="6657" max="6657" width="12.5703125" style="986" customWidth="1"/>
    <col min="6658" max="6658" width="56.7109375" style="986" bestFit="1" customWidth="1"/>
    <col min="6659" max="6897" width="19.5703125" style="986"/>
    <col min="6898" max="6898" width="7.140625" style="986" customWidth="1"/>
    <col min="6899" max="6899" width="24.140625" style="986" customWidth="1"/>
    <col min="6900" max="6900" width="28.42578125" style="986" customWidth="1"/>
    <col min="6901" max="6901" width="19.5703125" style="986" customWidth="1"/>
    <col min="6902" max="6902" width="24.140625" style="986" customWidth="1"/>
    <col min="6903" max="6903" width="19.5703125" style="986"/>
    <col min="6904" max="6904" width="5.5703125" style="986" customWidth="1"/>
    <col min="6905" max="6905" width="24.140625" style="986" customWidth="1"/>
    <col min="6906" max="6906" width="34.140625" style="986" customWidth="1"/>
    <col min="6907" max="6907" width="41.5703125" style="986" customWidth="1"/>
    <col min="6908" max="6908" width="25.140625" style="986" customWidth="1"/>
    <col min="6909" max="6909" width="19.5703125" style="986"/>
    <col min="6910" max="6910" width="7" style="986" customWidth="1"/>
    <col min="6911" max="6911" width="4.85546875" style="986" bestFit="1" customWidth="1"/>
    <col min="6912" max="6912" width="9.140625" style="986" bestFit="1" customWidth="1"/>
    <col min="6913" max="6913" width="12.5703125" style="986" customWidth="1"/>
    <col min="6914" max="6914" width="56.7109375" style="986" bestFit="1" customWidth="1"/>
    <col min="6915" max="7153" width="19.5703125" style="986"/>
    <col min="7154" max="7154" width="7.140625" style="986" customWidth="1"/>
    <col min="7155" max="7155" width="24.140625" style="986" customWidth="1"/>
    <col min="7156" max="7156" width="28.42578125" style="986" customWidth="1"/>
    <col min="7157" max="7157" width="19.5703125" style="986" customWidth="1"/>
    <col min="7158" max="7158" width="24.140625" style="986" customWidth="1"/>
    <col min="7159" max="7159" width="19.5703125" style="986"/>
    <col min="7160" max="7160" width="5.5703125" style="986" customWidth="1"/>
    <col min="7161" max="7161" width="24.140625" style="986" customWidth="1"/>
    <col min="7162" max="7162" width="34.140625" style="986" customWidth="1"/>
    <col min="7163" max="7163" width="41.5703125" style="986" customWidth="1"/>
    <col min="7164" max="7164" width="25.140625" style="986" customWidth="1"/>
    <col min="7165" max="7165" width="19.5703125" style="986"/>
    <col min="7166" max="7166" width="7" style="986" customWidth="1"/>
    <col min="7167" max="7167" width="4.85546875" style="986" bestFit="1" customWidth="1"/>
    <col min="7168" max="7168" width="9.140625" style="986" bestFit="1" customWidth="1"/>
    <col min="7169" max="7169" width="12.5703125" style="986" customWidth="1"/>
    <col min="7170" max="7170" width="56.7109375" style="986" bestFit="1" customWidth="1"/>
    <col min="7171" max="7409" width="19.5703125" style="986"/>
    <col min="7410" max="7410" width="7.140625" style="986" customWidth="1"/>
    <col min="7411" max="7411" width="24.140625" style="986" customWidth="1"/>
    <col min="7412" max="7412" width="28.42578125" style="986" customWidth="1"/>
    <col min="7413" max="7413" width="19.5703125" style="986" customWidth="1"/>
    <col min="7414" max="7414" width="24.140625" style="986" customWidth="1"/>
    <col min="7415" max="7415" width="19.5703125" style="986"/>
    <col min="7416" max="7416" width="5.5703125" style="986" customWidth="1"/>
    <col min="7417" max="7417" width="24.140625" style="986" customWidth="1"/>
    <col min="7418" max="7418" width="34.140625" style="986" customWidth="1"/>
    <col min="7419" max="7419" width="41.5703125" style="986" customWidth="1"/>
    <col min="7420" max="7420" width="25.140625" style="986" customWidth="1"/>
    <col min="7421" max="7421" width="19.5703125" style="986"/>
    <col min="7422" max="7422" width="7" style="986" customWidth="1"/>
    <col min="7423" max="7423" width="4.85546875" style="986" bestFit="1" customWidth="1"/>
    <col min="7424" max="7424" width="9.140625" style="986" bestFit="1" customWidth="1"/>
    <col min="7425" max="7425" width="12.5703125" style="986" customWidth="1"/>
    <col min="7426" max="7426" width="56.7109375" style="986" bestFit="1" customWidth="1"/>
    <col min="7427" max="7665" width="19.5703125" style="986"/>
    <col min="7666" max="7666" width="7.140625" style="986" customWidth="1"/>
    <col min="7667" max="7667" width="24.140625" style="986" customWidth="1"/>
    <col min="7668" max="7668" width="28.42578125" style="986" customWidth="1"/>
    <col min="7669" max="7669" width="19.5703125" style="986" customWidth="1"/>
    <col min="7670" max="7670" width="24.140625" style="986" customWidth="1"/>
    <col min="7671" max="7671" width="19.5703125" style="986"/>
    <col min="7672" max="7672" width="5.5703125" style="986" customWidth="1"/>
    <col min="7673" max="7673" width="24.140625" style="986" customWidth="1"/>
    <col min="7674" max="7674" width="34.140625" style="986" customWidth="1"/>
    <col min="7675" max="7675" width="41.5703125" style="986" customWidth="1"/>
    <col min="7676" max="7676" width="25.140625" style="986" customWidth="1"/>
    <col min="7677" max="7677" width="19.5703125" style="986"/>
    <col min="7678" max="7678" width="7" style="986" customWidth="1"/>
    <col min="7679" max="7679" width="4.85546875" style="986" bestFit="1" customWidth="1"/>
    <col min="7680" max="7680" width="9.140625" style="986" bestFit="1" customWidth="1"/>
    <col min="7681" max="7681" width="12.5703125" style="986" customWidth="1"/>
    <col min="7682" max="7682" width="56.7109375" style="986" bestFit="1" customWidth="1"/>
    <col min="7683" max="7921" width="19.5703125" style="986"/>
    <col min="7922" max="7922" width="7.140625" style="986" customWidth="1"/>
    <col min="7923" max="7923" width="24.140625" style="986" customWidth="1"/>
    <col min="7924" max="7924" width="28.42578125" style="986" customWidth="1"/>
    <col min="7925" max="7925" width="19.5703125" style="986" customWidth="1"/>
    <col min="7926" max="7926" width="24.140625" style="986" customWidth="1"/>
    <col min="7927" max="7927" width="19.5703125" style="986"/>
    <col min="7928" max="7928" width="5.5703125" style="986" customWidth="1"/>
    <col min="7929" max="7929" width="24.140625" style="986" customWidth="1"/>
    <col min="7930" max="7930" width="34.140625" style="986" customWidth="1"/>
    <col min="7931" max="7931" width="41.5703125" style="986" customWidth="1"/>
    <col min="7932" max="7932" width="25.140625" style="986" customWidth="1"/>
    <col min="7933" max="7933" width="19.5703125" style="986"/>
    <col min="7934" max="7934" width="7" style="986" customWidth="1"/>
    <col min="7935" max="7935" width="4.85546875" style="986" bestFit="1" customWidth="1"/>
    <col min="7936" max="7936" width="9.140625" style="986" bestFit="1" customWidth="1"/>
    <col min="7937" max="7937" width="12.5703125" style="986" customWidth="1"/>
    <col min="7938" max="7938" width="56.7109375" style="986" bestFit="1" customWidth="1"/>
    <col min="7939" max="8177" width="19.5703125" style="986"/>
    <col min="8178" max="8178" width="7.140625" style="986" customWidth="1"/>
    <col min="8179" max="8179" width="24.140625" style="986" customWidth="1"/>
    <col min="8180" max="8180" width="28.42578125" style="986" customWidth="1"/>
    <col min="8181" max="8181" width="19.5703125" style="986" customWidth="1"/>
    <col min="8182" max="8182" width="24.140625" style="986" customWidth="1"/>
    <col min="8183" max="8183" width="19.5703125" style="986"/>
    <col min="8184" max="8184" width="5.5703125" style="986" customWidth="1"/>
    <col min="8185" max="8185" width="24.140625" style="986" customWidth="1"/>
    <col min="8186" max="8186" width="34.140625" style="986" customWidth="1"/>
    <col min="8187" max="8187" width="41.5703125" style="986" customWidth="1"/>
    <col min="8188" max="8188" width="25.140625" style="986" customWidth="1"/>
    <col min="8189" max="8189" width="19.5703125" style="986"/>
    <col min="8190" max="8190" width="7" style="986" customWidth="1"/>
    <col min="8191" max="8191" width="4.85546875" style="986" bestFit="1" customWidth="1"/>
    <col min="8192" max="8192" width="9.140625" style="986" bestFit="1" customWidth="1"/>
    <col min="8193" max="8193" width="12.5703125" style="986" customWidth="1"/>
    <col min="8194" max="8194" width="56.7109375" style="986" bestFit="1" customWidth="1"/>
    <col min="8195" max="8433" width="19.5703125" style="986"/>
    <col min="8434" max="8434" width="7.140625" style="986" customWidth="1"/>
    <col min="8435" max="8435" width="24.140625" style="986" customWidth="1"/>
    <col min="8436" max="8436" width="28.42578125" style="986" customWidth="1"/>
    <col min="8437" max="8437" width="19.5703125" style="986" customWidth="1"/>
    <col min="8438" max="8438" width="24.140625" style="986" customWidth="1"/>
    <col min="8439" max="8439" width="19.5703125" style="986"/>
    <col min="8440" max="8440" width="5.5703125" style="986" customWidth="1"/>
    <col min="8441" max="8441" width="24.140625" style="986" customWidth="1"/>
    <col min="8442" max="8442" width="34.140625" style="986" customWidth="1"/>
    <col min="8443" max="8443" width="41.5703125" style="986" customWidth="1"/>
    <col min="8444" max="8444" width="25.140625" style="986" customWidth="1"/>
    <col min="8445" max="8445" width="19.5703125" style="986"/>
    <col min="8446" max="8446" width="7" style="986" customWidth="1"/>
    <col min="8447" max="8447" width="4.85546875" style="986" bestFit="1" customWidth="1"/>
    <col min="8448" max="8448" width="9.140625" style="986" bestFit="1" customWidth="1"/>
    <col min="8449" max="8449" width="12.5703125" style="986" customWidth="1"/>
    <col min="8450" max="8450" width="56.7109375" style="986" bestFit="1" customWidth="1"/>
    <col min="8451" max="8689" width="19.5703125" style="986"/>
    <col min="8690" max="8690" width="7.140625" style="986" customWidth="1"/>
    <col min="8691" max="8691" width="24.140625" style="986" customWidth="1"/>
    <col min="8692" max="8692" width="28.42578125" style="986" customWidth="1"/>
    <col min="8693" max="8693" width="19.5703125" style="986" customWidth="1"/>
    <col min="8694" max="8694" width="24.140625" style="986" customWidth="1"/>
    <col min="8695" max="8695" width="19.5703125" style="986"/>
    <col min="8696" max="8696" width="5.5703125" style="986" customWidth="1"/>
    <col min="8697" max="8697" width="24.140625" style="986" customWidth="1"/>
    <col min="8698" max="8698" width="34.140625" style="986" customWidth="1"/>
    <col min="8699" max="8699" width="41.5703125" style="986" customWidth="1"/>
    <col min="8700" max="8700" width="25.140625" style="986" customWidth="1"/>
    <col min="8701" max="8701" width="19.5703125" style="986"/>
    <col min="8702" max="8702" width="7" style="986" customWidth="1"/>
    <col min="8703" max="8703" width="4.85546875" style="986" bestFit="1" customWidth="1"/>
    <col min="8704" max="8704" width="9.140625" style="986" bestFit="1" customWidth="1"/>
    <col min="8705" max="8705" width="12.5703125" style="986" customWidth="1"/>
    <col min="8706" max="8706" width="56.7109375" style="986" bestFit="1" customWidth="1"/>
    <col min="8707" max="8945" width="19.5703125" style="986"/>
    <col min="8946" max="8946" width="7.140625" style="986" customWidth="1"/>
    <col min="8947" max="8947" width="24.140625" style="986" customWidth="1"/>
    <col min="8948" max="8948" width="28.42578125" style="986" customWidth="1"/>
    <col min="8949" max="8949" width="19.5703125" style="986" customWidth="1"/>
    <col min="8950" max="8950" width="24.140625" style="986" customWidth="1"/>
    <col min="8951" max="8951" width="19.5703125" style="986"/>
    <col min="8952" max="8952" width="5.5703125" style="986" customWidth="1"/>
    <col min="8953" max="8953" width="24.140625" style="986" customWidth="1"/>
    <col min="8954" max="8954" width="34.140625" style="986" customWidth="1"/>
    <col min="8955" max="8955" width="41.5703125" style="986" customWidth="1"/>
    <col min="8956" max="8956" width="25.140625" style="986" customWidth="1"/>
    <col min="8957" max="8957" width="19.5703125" style="986"/>
    <col min="8958" max="8958" width="7" style="986" customWidth="1"/>
    <col min="8959" max="8959" width="4.85546875" style="986" bestFit="1" customWidth="1"/>
    <col min="8960" max="8960" width="9.140625" style="986" bestFit="1" customWidth="1"/>
    <col min="8961" max="8961" width="12.5703125" style="986" customWidth="1"/>
    <col min="8962" max="8962" width="56.7109375" style="986" bestFit="1" customWidth="1"/>
    <col min="8963" max="9201" width="19.5703125" style="986"/>
    <col min="9202" max="9202" width="7.140625" style="986" customWidth="1"/>
    <col min="9203" max="9203" width="24.140625" style="986" customWidth="1"/>
    <col min="9204" max="9204" width="28.42578125" style="986" customWidth="1"/>
    <col min="9205" max="9205" width="19.5703125" style="986" customWidth="1"/>
    <col min="9206" max="9206" width="24.140625" style="986" customWidth="1"/>
    <col min="9207" max="9207" width="19.5703125" style="986"/>
    <col min="9208" max="9208" width="5.5703125" style="986" customWidth="1"/>
    <col min="9209" max="9209" width="24.140625" style="986" customWidth="1"/>
    <col min="9210" max="9210" width="34.140625" style="986" customWidth="1"/>
    <col min="9211" max="9211" width="41.5703125" style="986" customWidth="1"/>
    <col min="9212" max="9212" width="25.140625" style="986" customWidth="1"/>
    <col min="9213" max="9213" width="19.5703125" style="986"/>
    <col min="9214" max="9214" width="7" style="986" customWidth="1"/>
    <col min="9215" max="9215" width="4.85546875" style="986" bestFit="1" customWidth="1"/>
    <col min="9216" max="9216" width="9.140625" style="986" bestFit="1" customWidth="1"/>
    <col min="9217" max="9217" width="12.5703125" style="986" customWidth="1"/>
    <col min="9218" max="9218" width="56.7109375" style="986" bestFit="1" customWidth="1"/>
    <col min="9219" max="9457" width="19.5703125" style="986"/>
    <col min="9458" max="9458" width="7.140625" style="986" customWidth="1"/>
    <col min="9459" max="9459" width="24.140625" style="986" customWidth="1"/>
    <col min="9460" max="9460" width="28.42578125" style="986" customWidth="1"/>
    <col min="9461" max="9461" width="19.5703125" style="986" customWidth="1"/>
    <col min="9462" max="9462" width="24.140625" style="986" customWidth="1"/>
    <col min="9463" max="9463" width="19.5703125" style="986"/>
    <col min="9464" max="9464" width="5.5703125" style="986" customWidth="1"/>
    <col min="9465" max="9465" width="24.140625" style="986" customWidth="1"/>
    <col min="9466" max="9466" width="34.140625" style="986" customWidth="1"/>
    <col min="9467" max="9467" width="41.5703125" style="986" customWidth="1"/>
    <col min="9468" max="9468" width="25.140625" style="986" customWidth="1"/>
    <col min="9469" max="9469" width="19.5703125" style="986"/>
    <col min="9470" max="9470" width="7" style="986" customWidth="1"/>
    <col min="9471" max="9471" width="4.85546875" style="986" bestFit="1" customWidth="1"/>
    <col min="9472" max="9472" width="9.140625" style="986" bestFit="1" customWidth="1"/>
    <col min="9473" max="9473" width="12.5703125" style="986" customWidth="1"/>
    <col min="9474" max="9474" width="56.7109375" style="986" bestFit="1" customWidth="1"/>
    <col min="9475" max="9713" width="19.5703125" style="986"/>
    <col min="9714" max="9714" width="7.140625" style="986" customWidth="1"/>
    <col min="9715" max="9715" width="24.140625" style="986" customWidth="1"/>
    <col min="9716" max="9716" width="28.42578125" style="986" customWidth="1"/>
    <col min="9717" max="9717" width="19.5703125" style="986" customWidth="1"/>
    <col min="9718" max="9718" width="24.140625" style="986" customWidth="1"/>
    <col min="9719" max="9719" width="19.5703125" style="986"/>
    <col min="9720" max="9720" width="5.5703125" style="986" customWidth="1"/>
    <col min="9721" max="9721" width="24.140625" style="986" customWidth="1"/>
    <col min="9722" max="9722" width="34.140625" style="986" customWidth="1"/>
    <col min="9723" max="9723" width="41.5703125" style="986" customWidth="1"/>
    <col min="9724" max="9724" width="25.140625" style="986" customWidth="1"/>
    <col min="9725" max="9725" width="19.5703125" style="986"/>
    <col min="9726" max="9726" width="7" style="986" customWidth="1"/>
    <col min="9727" max="9727" width="4.85546875" style="986" bestFit="1" customWidth="1"/>
    <col min="9728" max="9728" width="9.140625" style="986" bestFit="1" customWidth="1"/>
    <col min="9729" max="9729" width="12.5703125" style="986" customWidth="1"/>
    <col min="9730" max="9730" width="56.7109375" style="986" bestFit="1" customWidth="1"/>
    <col min="9731" max="9969" width="19.5703125" style="986"/>
    <col min="9970" max="9970" width="7.140625" style="986" customWidth="1"/>
    <col min="9971" max="9971" width="24.140625" style="986" customWidth="1"/>
    <col min="9972" max="9972" width="28.42578125" style="986" customWidth="1"/>
    <col min="9973" max="9973" width="19.5703125" style="986" customWidth="1"/>
    <col min="9974" max="9974" width="24.140625" style="986" customWidth="1"/>
    <col min="9975" max="9975" width="19.5703125" style="986"/>
    <col min="9976" max="9976" width="5.5703125" style="986" customWidth="1"/>
    <col min="9977" max="9977" width="24.140625" style="986" customWidth="1"/>
    <col min="9978" max="9978" width="34.140625" style="986" customWidth="1"/>
    <col min="9979" max="9979" width="41.5703125" style="986" customWidth="1"/>
    <col min="9980" max="9980" width="25.140625" style="986" customWidth="1"/>
    <col min="9981" max="9981" width="19.5703125" style="986"/>
    <col min="9982" max="9982" width="7" style="986" customWidth="1"/>
    <col min="9983" max="9983" width="4.85546875" style="986" bestFit="1" customWidth="1"/>
    <col min="9984" max="9984" width="9.140625" style="986" bestFit="1" customWidth="1"/>
    <col min="9985" max="9985" width="12.5703125" style="986" customWidth="1"/>
    <col min="9986" max="9986" width="56.7109375" style="986" bestFit="1" customWidth="1"/>
    <col min="9987" max="10225" width="19.5703125" style="986"/>
    <col min="10226" max="10226" width="7.140625" style="986" customWidth="1"/>
    <col min="10227" max="10227" width="24.140625" style="986" customWidth="1"/>
    <col min="10228" max="10228" width="28.42578125" style="986" customWidth="1"/>
    <col min="10229" max="10229" width="19.5703125" style="986" customWidth="1"/>
    <col min="10230" max="10230" width="24.140625" style="986" customWidth="1"/>
    <col min="10231" max="10231" width="19.5703125" style="986"/>
    <col min="10232" max="10232" width="5.5703125" style="986" customWidth="1"/>
    <col min="10233" max="10233" width="24.140625" style="986" customWidth="1"/>
    <col min="10234" max="10234" width="34.140625" style="986" customWidth="1"/>
    <col min="10235" max="10235" width="41.5703125" style="986" customWidth="1"/>
    <col min="10236" max="10236" width="25.140625" style="986" customWidth="1"/>
    <col min="10237" max="10237" width="19.5703125" style="986"/>
    <col min="10238" max="10238" width="7" style="986" customWidth="1"/>
    <col min="10239" max="10239" width="4.85546875" style="986" bestFit="1" customWidth="1"/>
    <col min="10240" max="10240" width="9.140625" style="986" bestFit="1" customWidth="1"/>
    <col min="10241" max="10241" width="12.5703125" style="986" customWidth="1"/>
    <col min="10242" max="10242" width="56.7109375" style="986" bestFit="1" customWidth="1"/>
    <col min="10243" max="10481" width="19.5703125" style="986"/>
    <col min="10482" max="10482" width="7.140625" style="986" customWidth="1"/>
    <col min="10483" max="10483" width="24.140625" style="986" customWidth="1"/>
    <col min="10484" max="10484" width="28.42578125" style="986" customWidth="1"/>
    <col min="10485" max="10485" width="19.5703125" style="986" customWidth="1"/>
    <col min="10486" max="10486" width="24.140625" style="986" customWidth="1"/>
    <col min="10487" max="10487" width="19.5703125" style="986"/>
    <col min="10488" max="10488" width="5.5703125" style="986" customWidth="1"/>
    <col min="10489" max="10489" width="24.140625" style="986" customWidth="1"/>
    <col min="10490" max="10490" width="34.140625" style="986" customWidth="1"/>
    <col min="10491" max="10491" width="41.5703125" style="986" customWidth="1"/>
    <col min="10492" max="10492" width="25.140625" style="986" customWidth="1"/>
    <col min="10493" max="10493" width="19.5703125" style="986"/>
    <col min="10494" max="10494" width="7" style="986" customWidth="1"/>
    <col min="10495" max="10495" width="4.85546875" style="986" bestFit="1" customWidth="1"/>
    <col min="10496" max="10496" width="9.140625" style="986" bestFit="1" customWidth="1"/>
    <col min="10497" max="10497" width="12.5703125" style="986" customWidth="1"/>
    <col min="10498" max="10498" width="56.7109375" style="986" bestFit="1" customWidth="1"/>
    <col min="10499" max="10737" width="19.5703125" style="986"/>
    <col min="10738" max="10738" width="7.140625" style="986" customWidth="1"/>
    <col min="10739" max="10739" width="24.140625" style="986" customWidth="1"/>
    <col min="10740" max="10740" width="28.42578125" style="986" customWidth="1"/>
    <col min="10741" max="10741" width="19.5703125" style="986" customWidth="1"/>
    <col min="10742" max="10742" width="24.140625" style="986" customWidth="1"/>
    <col min="10743" max="10743" width="19.5703125" style="986"/>
    <col min="10744" max="10744" width="5.5703125" style="986" customWidth="1"/>
    <col min="10745" max="10745" width="24.140625" style="986" customWidth="1"/>
    <col min="10746" max="10746" width="34.140625" style="986" customWidth="1"/>
    <col min="10747" max="10747" width="41.5703125" style="986" customWidth="1"/>
    <col min="10748" max="10748" width="25.140625" style="986" customWidth="1"/>
    <col min="10749" max="10749" width="19.5703125" style="986"/>
    <col min="10750" max="10750" width="7" style="986" customWidth="1"/>
    <col min="10751" max="10751" width="4.85546875" style="986" bestFit="1" customWidth="1"/>
    <col min="10752" max="10752" width="9.140625" style="986" bestFit="1" customWidth="1"/>
    <col min="10753" max="10753" width="12.5703125" style="986" customWidth="1"/>
    <col min="10754" max="10754" width="56.7109375" style="986" bestFit="1" customWidth="1"/>
    <col min="10755" max="10993" width="19.5703125" style="986"/>
    <col min="10994" max="10994" width="7.140625" style="986" customWidth="1"/>
    <col min="10995" max="10995" width="24.140625" style="986" customWidth="1"/>
    <col min="10996" max="10996" width="28.42578125" style="986" customWidth="1"/>
    <col min="10997" max="10997" width="19.5703125" style="986" customWidth="1"/>
    <col min="10998" max="10998" width="24.140625" style="986" customWidth="1"/>
    <col min="10999" max="10999" width="19.5703125" style="986"/>
    <col min="11000" max="11000" width="5.5703125" style="986" customWidth="1"/>
    <col min="11001" max="11001" width="24.140625" style="986" customWidth="1"/>
    <col min="11002" max="11002" width="34.140625" style="986" customWidth="1"/>
    <col min="11003" max="11003" width="41.5703125" style="986" customWidth="1"/>
    <col min="11004" max="11004" width="25.140625" style="986" customWidth="1"/>
    <col min="11005" max="11005" width="19.5703125" style="986"/>
    <col min="11006" max="11006" width="7" style="986" customWidth="1"/>
    <col min="11007" max="11007" width="4.85546875" style="986" bestFit="1" customWidth="1"/>
    <col min="11008" max="11008" width="9.140625" style="986" bestFit="1" customWidth="1"/>
    <col min="11009" max="11009" width="12.5703125" style="986" customWidth="1"/>
    <col min="11010" max="11010" width="56.7109375" style="986" bestFit="1" customWidth="1"/>
    <col min="11011" max="11249" width="19.5703125" style="986"/>
    <col min="11250" max="11250" width="7.140625" style="986" customWidth="1"/>
    <col min="11251" max="11251" width="24.140625" style="986" customWidth="1"/>
    <col min="11252" max="11252" width="28.42578125" style="986" customWidth="1"/>
    <col min="11253" max="11253" width="19.5703125" style="986" customWidth="1"/>
    <col min="11254" max="11254" width="24.140625" style="986" customWidth="1"/>
    <col min="11255" max="11255" width="19.5703125" style="986"/>
    <col min="11256" max="11256" width="5.5703125" style="986" customWidth="1"/>
    <col min="11257" max="11257" width="24.140625" style="986" customWidth="1"/>
    <col min="11258" max="11258" width="34.140625" style="986" customWidth="1"/>
    <col min="11259" max="11259" width="41.5703125" style="986" customWidth="1"/>
    <col min="11260" max="11260" width="25.140625" style="986" customWidth="1"/>
    <col min="11261" max="11261" width="19.5703125" style="986"/>
    <col min="11262" max="11262" width="7" style="986" customWidth="1"/>
    <col min="11263" max="11263" width="4.85546875" style="986" bestFit="1" customWidth="1"/>
    <col min="11264" max="11264" width="9.140625" style="986" bestFit="1" customWidth="1"/>
    <col min="11265" max="11265" width="12.5703125" style="986" customWidth="1"/>
    <col min="11266" max="11266" width="56.7109375" style="986" bestFit="1" customWidth="1"/>
    <col min="11267" max="11505" width="19.5703125" style="986"/>
    <col min="11506" max="11506" width="7.140625" style="986" customWidth="1"/>
    <col min="11507" max="11507" width="24.140625" style="986" customWidth="1"/>
    <col min="11508" max="11508" width="28.42578125" style="986" customWidth="1"/>
    <col min="11509" max="11509" width="19.5703125" style="986" customWidth="1"/>
    <col min="11510" max="11510" width="24.140625" style="986" customWidth="1"/>
    <col min="11511" max="11511" width="19.5703125" style="986"/>
    <col min="11512" max="11512" width="5.5703125" style="986" customWidth="1"/>
    <col min="11513" max="11513" width="24.140625" style="986" customWidth="1"/>
    <col min="11514" max="11514" width="34.140625" style="986" customWidth="1"/>
    <col min="11515" max="11515" width="41.5703125" style="986" customWidth="1"/>
    <col min="11516" max="11516" width="25.140625" style="986" customWidth="1"/>
    <col min="11517" max="11517" width="19.5703125" style="986"/>
    <col min="11518" max="11518" width="7" style="986" customWidth="1"/>
    <col min="11519" max="11519" width="4.85546875" style="986" bestFit="1" customWidth="1"/>
    <col min="11520" max="11520" width="9.140625" style="986" bestFit="1" customWidth="1"/>
    <col min="11521" max="11521" width="12.5703125" style="986" customWidth="1"/>
    <col min="11522" max="11522" width="56.7109375" style="986" bestFit="1" customWidth="1"/>
    <col min="11523" max="11761" width="19.5703125" style="986"/>
    <col min="11762" max="11762" width="7.140625" style="986" customWidth="1"/>
    <col min="11763" max="11763" width="24.140625" style="986" customWidth="1"/>
    <col min="11764" max="11764" width="28.42578125" style="986" customWidth="1"/>
    <col min="11765" max="11765" width="19.5703125" style="986" customWidth="1"/>
    <col min="11766" max="11766" width="24.140625" style="986" customWidth="1"/>
    <col min="11767" max="11767" width="19.5703125" style="986"/>
    <col min="11768" max="11768" width="5.5703125" style="986" customWidth="1"/>
    <col min="11769" max="11769" width="24.140625" style="986" customWidth="1"/>
    <col min="11770" max="11770" width="34.140625" style="986" customWidth="1"/>
    <col min="11771" max="11771" width="41.5703125" style="986" customWidth="1"/>
    <col min="11772" max="11772" width="25.140625" style="986" customWidth="1"/>
    <col min="11773" max="11773" width="19.5703125" style="986"/>
    <col min="11774" max="11774" width="7" style="986" customWidth="1"/>
    <col min="11775" max="11775" width="4.85546875" style="986" bestFit="1" customWidth="1"/>
    <col min="11776" max="11776" width="9.140625" style="986" bestFit="1" customWidth="1"/>
    <col min="11777" max="11777" width="12.5703125" style="986" customWidth="1"/>
    <col min="11778" max="11778" width="56.7109375" style="986" bestFit="1" customWidth="1"/>
    <col min="11779" max="12017" width="19.5703125" style="986"/>
    <col min="12018" max="12018" width="7.140625" style="986" customWidth="1"/>
    <col min="12019" max="12019" width="24.140625" style="986" customWidth="1"/>
    <col min="12020" max="12020" width="28.42578125" style="986" customWidth="1"/>
    <col min="12021" max="12021" width="19.5703125" style="986" customWidth="1"/>
    <col min="12022" max="12022" width="24.140625" style="986" customWidth="1"/>
    <col min="12023" max="12023" width="19.5703125" style="986"/>
    <col min="12024" max="12024" width="5.5703125" style="986" customWidth="1"/>
    <col min="12025" max="12025" width="24.140625" style="986" customWidth="1"/>
    <col min="12026" max="12026" width="34.140625" style="986" customWidth="1"/>
    <col min="12027" max="12027" width="41.5703125" style="986" customWidth="1"/>
    <col min="12028" max="12028" width="25.140625" style="986" customWidth="1"/>
    <col min="12029" max="12029" width="19.5703125" style="986"/>
    <col min="12030" max="12030" width="7" style="986" customWidth="1"/>
    <col min="12031" max="12031" width="4.85546875" style="986" bestFit="1" customWidth="1"/>
    <col min="12032" max="12032" width="9.140625" style="986" bestFit="1" customWidth="1"/>
    <col min="12033" max="12033" width="12.5703125" style="986" customWidth="1"/>
    <col min="12034" max="12034" width="56.7109375" style="986" bestFit="1" customWidth="1"/>
    <col min="12035" max="12273" width="19.5703125" style="986"/>
    <col min="12274" max="12274" width="7.140625" style="986" customWidth="1"/>
    <col min="12275" max="12275" width="24.140625" style="986" customWidth="1"/>
    <col min="12276" max="12276" width="28.42578125" style="986" customWidth="1"/>
    <col min="12277" max="12277" width="19.5703125" style="986" customWidth="1"/>
    <col min="12278" max="12278" width="24.140625" style="986" customWidth="1"/>
    <col min="12279" max="12279" width="19.5703125" style="986"/>
    <col min="12280" max="12280" width="5.5703125" style="986" customWidth="1"/>
    <col min="12281" max="12281" width="24.140625" style="986" customWidth="1"/>
    <col min="12282" max="12282" width="34.140625" style="986" customWidth="1"/>
    <col min="12283" max="12283" width="41.5703125" style="986" customWidth="1"/>
    <col min="12284" max="12284" width="25.140625" style="986" customWidth="1"/>
    <col min="12285" max="12285" width="19.5703125" style="986"/>
    <col min="12286" max="12286" width="7" style="986" customWidth="1"/>
    <col min="12287" max="12287" width="4.85546875" style="986" bestFit="1" customWidth="1"/>
    <col min="12288" max="12288" width="9.140625" style="986" bestFit="1" customWidth="1"/>
    <col min="12289" max="12289" width="12.5703125" style="986" customWidth="1"/>
    <col min="12290" max="12290" width="56.7109375" style="986" bestFit="1" customWidth="1"/>
    <col min="12291" max="12529" width="19.5703125" style="986"/>
    <col min="12530" max="12530" width="7.140625" style="986" customWidth="1"/>
    <col min="12531" max="12531" width="24.140625" style="986" customWidth="1"/>
    <col min="12532" max="12532" width="28.42578125" style="986" customWidth="1"/>
    <col min="12533" max="12533" width="19.5703125" style="986" customWidth="1"/>
    <col min="12534" max="12534" width="24.140625" style="986" customWidth="1"/>
    <col min="12535" max="12535" width="19.5703125" style="986"/>
    <col min="12536" max="12536" width="5.5703125" style="986" customWidth="1"/>
    <col min="12537" max="12537" width="24.140625" style="986" customWidth="1"/>
    <col min="12538" max="12538" width="34.140625" style="986" customWidth="1"/>
    <col min="12539" max="12539" width="41.5703125" style="986" customWidth="1"/>
    <col min="12540" max="12540" width="25.140625" style="986" customWidth="1"/>
    <col min="12541" max="12541" width="19.5703125" style="986"/>
    <col min="12542" max="12542" width="7" style="986" customWidth="1"/>
    <col min="12543" max="12543" width="4.85546875" style="986" bestFit="1" customWidth="1"/>
    <col min="12544" max="12544" width="9.140625" style="986" bestFit="1" customWidth="1"/>
    <col min="12545" max="12545" width="12.5703125" style="986" customWidth="1"/>
    <col min="12546" max="12546" width="56.7109375" style="986" bestFit="1" customWidth="1"/>
    <col min="12547" max="12785" width="19.5703125" style="986"/>
    <col min="12786" max="12786" width="7.140625" style="986" customWidth="1"/>
    <col min="12787" max="12787" width="24.140625" style="986" customWidth="1"/>
    <col min="12788" max="12788" width="28.42578125" style="986" customWidth="1"/>
    <col min="12789" max="12789" width="19.5703125" style="986" customWidth="1"/>
    <col min="12790" max="12790" width="24.140625" style="986" customWidth="1"/>
    <col min="12791" max="12791" width="19.5703125" style="986"/>
    <col min="12792" max="12792" width="5.5703125" style="986" customWidth="1"/>
    <col min="12793" max="12793" width="24.140625" style="986" customWidth="1"/>
    <col min="12794" max="12794" width="34.140625" style="986" customWidth="1"/>
    <col min="12795" max="12795" width="41.5703125" style="986" customWidth="1"/>
    <col min="12796" max="12796" width="25.140625" style="986" customWidth="1"/>
    <col min="12797" max="12797" width="19.5703125" style="986"/>
    <col min="12798" max="12798" width="7" style="986" customWidth="1"/>
    <col min="12799" max="12799" width="4.85546875" style="986" bestFit="1" customWidth="1"/>
    <col min="12800" max="12800" width="9.140625" style="986" bestFit="1" customWidth="1"/>
    <col min="12801" max="12801" width="12.5703125" style="986" customWidth="1"/>
    <col min="12802" max="12802" width="56.7109375" style="986" bestFit="1" customWidth="1"/>
    <col min="12803" max="13041" width="19.5703125" style="986"/>
    <col min="13042" max="13042" width="7.140625" style="986" customWidth="1"/>
    <col min="13043" max="13043" width="24.140625" style="986" customWidth="1"/>
    <col min="13044" max="13044" width="28.42578125" style="986" customWidth="1"/>
    <col min="13045" max="13045" width="19.5703125" style="986" customWidth="1"/>
    <col min="13046" max="13046" width="24.140625" style="986" customWidth="1"/>
    <col min="13047" max="13047" width="19.5703125" style="986"/>
    <col min="13048" max="13048" width="5.5703125" style="986" customWidth="1"/>
    <col min="13049" max="13049" width="24.140625" style="986" customWidth="1"/>
    <col min="13050" max="13050" width="34.140625" style="986" customWidth="1"/>
    <col min="13051" max="13051" width="41.5703125" style="986" customWidth="1"/>
    <col min="13052" max="13052" width="25.140625" style="986" customWidth="1"/>
    <col min="13053" max="13053" width="19.5703125" style="986"/>
    <col min="13054" max="13054" width="7" style="986" customWidth="1"/>
    <col min="13055" max="13055" width="4.85546875" style="986" bestFit="1" customWidth="1"/>
    <col min="13056" max="13056" width="9.140625" style="986" bestFit="1" customWidth="1"/>
    <col min="13057" max="13057" width="12.5703125" style="986" customWidth="1"/>
    <col min="13058" max="13058" width="56.7109375" style="986" bestFit="1" customWidth="1"/>
    <col min="13059" max="13297" width="19.5703125" style="986"/>
    <col min="13298" max="13298" width="7.140625" style="986" customWidth="1"/>
    <col min="13299" max="13299" width="24.140625" style="986" customWidth="1"/>
    <col min="13300" max="13300" width="28.42578125" style="986" customWidth="1"/>
    <col min="13301" max="13301" width="19.5703125" style="986" customWidth="1"/>
    <col min="13302" max="13302" width="24.140625" style="986" customWidth="1"/>
    <col min="13303" max="13303" width="19.5703125" style="986"/>
    <col min="13304" max="13304" width="5.5703125" style="986" customWidth="1"/>
    <col min="13305" max="13305" width="24.140625" style="986" customWidth="1"/>
    <col min="13306" max="13306" width="34.140625" style="986" customWidth="1"/>
    <col min="13307" max="13307" width="41.5703125" style="986" customWidth="1"/>
    <col min="13308" max="13308" width="25.140625" style="986" customWidth="1"/>
    <col min="13309" max="13309" width="19.5703125" style="986"/>
    <col min="13310" max="13310" width="7" style="986" customWidth="1"/>
    <col min="13311" max="13311" width="4.85546875" style="986" bestFit="1" customWidth="1"/>
    <col min="13312" max="13312" width="9.140625" style="986" bestFit="1" customWidth="1"/>
    <col min="13313" max="13313" width="12.5703125" style="986" customWidth="1"/>
    <col min="13314" max="13314" width="56.7109375" style="986" bestFit="1" customWidth="1"/>
    <col min="13315" max="13553" width="19.5703125" style="986"/>
    <col min="13554" max="13554" width="7.140625" style="986" customWidth="1"/>
    <col min="13555" max="13555" width="24.140625" style="986" customWidth="1"/>
    <col min="13556" max="13556" width="28.42578125" style="986" customWidth="1"/>
    <col min="13557" max="13557" width="19.5703125" style="986" customWidth="1"/>
    <col min="13558" max="13558" width="24.140625" style="986" customWidth="1"/>
    <col min="13559" max="13559" width="19.5703125" style="986"/>
    <col min="13560" max="13560" width="5.5703125" style="986" customWidth="1"/>
    <col min="13561" max="13561" width="24.140625" style="986" customWidth="1"/>
    <col min="13562" max="13562" width="34.140625" style="986" customWidth="1"/>
    <col min="13563" max="13563" width="41.5703125" style="986" customWidth="1"/>
    <col min="13564" max="13564" width="25.140625" style="986" customWidth="1"/>
    <col min="13565" max="13565" width="19.5703125" style="986"/>
    <col min="13566" max="13566" width="7" style="986" customWidth="1"/>
    <col min="13567" max="13567" width="4.85546875" style="986" bestFit="1" customWidth="1"/>
    <col min="13568" max="13568" width="9.140625" style="986" bestFit="1" customWidth="1"/>
    <col min="13569" max="13569" width="12.5703125" style="986" customWidth="1"/>
    <col min="13570" max="13570" width="56.7109375" style="986" bestFit="1" customWidth="1"/>
    <col min="13571" max="13809" width="19.5703125" style="986"/>
    <col min="13810" max="13810" width="7.140625" style="986" customWidth="1"/>
    <col min="13811" max="13811" width="24.140625" style="986" customWidth="1"/>
    <col min="13812" max="13812" width="28.42578125" style="986" customWidth="1"/>
    <col min="13813" max="13813" width="19.5703125" style="986" customWidth="1"/>
    <col min="13814" max="13814" width="24.140625" style="986" customWidth="1"/>
    <col min="13815" max="13815" width="19.5703125" style="986"/>
    <col min="13816" max="13816" width="5.5703125" style="986" customWidth="1"/>
    <col min="13817" max="13817" width="24.140625" style="986" customWidth="1"/>
    <col min="13818" max="13818" width="34.140625" style="986" customWidth="1"/>
    <col min="13819" max="13819" width="41.5703125" style="986" customWidth="1"/>
    <col min="13820" max="13820" width="25.140625" style="986" customWidth="1"/>
    <col min="13821" max="13821" width="19.5703125" style="986"/>
    <col min="13822" max="13822" width="7" style="986" customWidth="1"/>
    <col min="13823" max="13823" width="4.85546875" style="986" bestFit="1" customWidth="1"/>
    <col min="13824" max="13824" width="9.140625" style="986" bestFit="1" customWidth="1"/>
    <col min="13825" max="13825" width="12.5703125" style="986" customWidth="1"/>
    <col min="13826" max="13826" width="56.7109375" style="986" bestFit="1" customWidth="1"/>
    <col min="13827" max="14065" width="19.5703125" style="986"/>
    <col min="14066" max="14066" width="7.140625" style="986" customWidth="1"/>
    <col min="14067" max="14067" width="24.140625" style="986" customWidth="1"/>
    <col min="14068" max="14068" width="28.42578125" style="986" customWidth="1"/>
    <col min="14069" max="14069" width="19.5703125" style="986" customWidth="1"/>
    <col min="14070" max="14070" width="24.140625" style="986" customWidth="1"/>
    <col min="14071" max="14071" width="19.5703125" style="986"/>
    <col min="14072" max="14072" width="5.5703125" style="986" customWidth="1"/>
    <col min="14073" max="14073" width="24.140625" style="986" customWidth="1"/>
    <col min="14074" max="14074" width="34.140625" style="986" customWidth="1"/>
    <col min="14075" max="14075" width="41.5703125" style="986" customWidth="1"/>
    <col min="14076" max="14076" width="25.140625" style="986" customWidth="1"/>
    <col min="14077" max="14077" width="19.5703125" style="986"/>
    <col min="14078" max="14078" width="7" style="986" customWidth="1"/>
    <col min="14079" max="14079" width="4.85546875" style="986" bestFit="1" customWidth="1"/>
    <col min="14080" max="14080" width="9.140625" style="986" bestFit="1" customWidth="1"/>
    <col min="14081" max="14081" width="12.5703125" style="986" customWidth="1"/>
    <col min="14082" max="14082" width="56.7109375" style="986" bestFit="1" customWidth="1"/>
    <col min="14083" max="14321" width="19.5703125" style="986"/>
    <col min="14322" max="14322" width="7.140625" style="986" customWidth="1"/>
    <col min="14323" max="14323" width="24.140625" style="986" customWidth="1"/>
    <col min="14324" max="14324" width="28.42578125" style="986" customWidth="1"/>
    <col min="14325" max="14325" width="19.5703125" style="986" customWidth="1"/>
    <col min="14326" max="14326" width="24.140625" style="986" customWidth="1"/>
    <col min="14327" max="14327" width="19.5703125" style="986"/>
    <col min="14328" max="14328" width="5.5703125" style="986" customWidth="1"/>
    <col min="14329" max="14329" width="24.140625" style="986" customWidth="1"/>
    <col min="14330" max="14330" width="34.140625" style="986" customWidth="1"/>
    <col min="14331" max="14331" width="41.5703125" style="986" customWidth="1"/>
    <col min="14332" max="14332" width="25.140625" style="986" customWidth="1"/>
    <col min="14333" max="14333" width="19.5703125" style="986"/>
    <col min="14334" max="14334" width="7" style="986" customWidth="1"/>
    <col min="14335" max="14335" width="4.85546875" style="986" bestFit="1" customWidth="1"/>
    <col min="14336" max="14336" width="9.140625" style="986" bestFit="1" customWidth="1"/>
    <col min="14337" max="14337" width="12.5703125" style="986" customWidth="1"/>
    <col min="14338" max="14338" width="56.7109375" style="986" bestFit="1" customWidth="1"/>
    <col min="14339" max="14577" width="19.5703125" style="986"/>
    <col min="14578" max="14578" width="7.140625" style="986" customWidth="1"/>
    <col min="14579" max="14579" width="24.140625" style="986" customWidth="1"/>
    <col min="14580" max="14580" width="28.42578125" style="986" customWidth="1"/>
    <col min="14581" max="14581" width="19.5703125" style="986" customWidth="1"/>
    <col min="14582" max="14582" width="24.140625" style="986" customWidth="1"/>
    <col min="14583" max="14583" width="19.5703125" style="986"/>
    <col min="14584" max="14584" width="5.5703125" style="986" customWidth="1"/>
    <col min="14585" max="14585" width="24.140625" style="986" customWidth="1"/>
    <col min="14586" max="14586" width="34.140625" style="986" customWidth="1"/>
    <col min="14587" max="14587" width="41.5703125" style="986" customWidth="1"/>
    <col min="14588" max="14588" width="25.140625" style="986" customWidth="1"/>
    <col min="14589" max="14589" width="19.5703125" style="986"/>
    <col min="14590" max="14590" width="7" style="986" customWidth="1"/>
    <col min="14591" max="14591" width="4.85546875" style="986" bestFit="1" customWidth="1"/>
    <col min="14592" max="14592" width="9.140625" style="986" bestFit="1" customWidth="1"/>
    <col min="14593" max="14593" width="12.5703125" style="986" customWidth="1"/>
    <col min="14594" max="14594" width="56.7109375" style="986" bestFit="1" customWidth="1"/>
    <col min="14595" max="14833" width="19.5703125" style="986"/>
    <col min="14834" max="14834" width="7.140625" style="986" customWidth="1"/>
    <col min="14835" max="14835" width="24.140625" style="986" customWidth="1"/>
    <col min="14836" max="14836" width="28.42578125" style="986" customWidth="1"/>
    <col min="14837" max="14837" width="19.5703125" style="986" customWidth="1"/>
    <col min="14838" max="14838" width="24.140625" style="986" customWidth="1"/>
    <col min="14839" max="14839" width="19.5703125" style="986"/>
    <col min="14840" max="14840" width="5.5703125" style="986" customWidth="1"/>
    <col min="14841" max="14841" width="24.140625" style="986" customWidth="1"/>
    <col min="14842" max="14842" width="34.140625" style="986" customWidth="1"/>
    <col min="14843" max="14843" width="41.5703125" style="986" customWidth="1"/>
    <col min="14844" max="14844" width="25.140625" style="986" customWidth="1"/>
    <col min="14845" max="14845" width="19.5703125" style="986"/>
    <col min="14846" max="14846" width="7" style="986" customWidth="1"/>
    <col min="14847" max="14847" width="4.85546875" style="986" bestFit="1" customWidth="1"/>
    <col min="14848" max="14848" width="9.140625" style="986" bestFit="1" customWidth="1"/>
    <col min="14849" max="14849" width="12.5703125" style="986" customWidth="1"/>
    <col min="14850" max="14850" width="56.7109375" style="986" bestFit="1" customWidth="1"/>
    <col min="14851" max="15089" width="19.5703125" style="986"/>
    <col min="15090" max="15090" width="7.140625" style="986" customWidth="1"/>
    <col min="15091" max="15091" width="24.140625" style="986" customWidth="1"/>
    <col min="15092" max="15092" width="28.42578125" style="986" customWidth="1"/>
    <col min="15093" max="15093" width="19.5703125" style="986" customWidth="1"/>
    <col min="15094" max="15094" width="24.140625" style="986" customWidth="1"/>
    <col min="15095" max="15095" width="19.5703125" style="986"/>
    <col min="15096" max="15096" width="5.5703125" style="986" customWidth="1"/>
    <col min="15097" max="15097" width="24.140625" style="986" customWidth="1"/>
    <col min="15098" max="15098" width="34.140625" style="986" customWidth="1"/>
    <col min="15099" max="15099" width="41.5703125" style="986" customWidth="1"/>
    <col min="15100" max="15100" width="25.140625" style="986" customWidth="1"/>
    <col min="15101" max="15101" width="19.5703125" style="986"/>
    <col min="15102" max="15102" width="7" style="986" customWidth="1"/>
    <col min="15103" max="15103" width="4.85546875" style="986" bestFit="1" customWidth="1"/>
    <col min="15104" max="15104" width="9.140625" style="986" bestFit="1" customWidth="1"/>
    <col min="15105" max="15105" width="12.5703125" style="986" customWidth="1"/>
    <col min="15106" max="15106" width="56.7109375" style="986" bestFit="1" customWidth="1"/>
    <col min="15107" max="15345" width="19.5703125" style="986"/>
    <col min="15346" max="15346" width="7.140625" style="986" customWidth="1"/>
    <col min="15347" max="15347" width="24.140625" style="986" customWidth="1"/>
    <col min="15348" max="15348" width="28.42578125" style="986" customWidth="1"/>
    <col min="15349" max="15349" width="19.5703125" style="986" customWidth="1"/>
    <col min="15350" max="15350" width="24.140625" style="986" customWidth="1"/>
    <col min="15351" max="15351" width="19.5703125" style="986"/>
    <col min="15352" max="15352" width="5.5703125" style="986" customWidth="1"/>
    <col min="15353" max="15353" width="24.140625" style="986" customWidth="1"/>
    <col min="15354" max="15354" width="34.140625" style="986" customWidth="1"/>
    <col min="15355" max="15355" width="41.5703125" style="986" customWidth="1"/>
    <col min="15356" max="15356" width="25.140625" style="986" customWidth="1"/>
    <col min="15357" max="15357" width="19.5703125" style="986"/>
    <col min="15358" max="15358" width="7" style="986" customWidth="1"/>
    <col min="15359" max="15359" width="4.85546875" style="986" bestFit="1" customWidth="1"/>
    <col min="15360" max="15360" width="9.140625" style="986" bestFit="1" customWidth="1"/>
    <col min="15361" max="15361" width="12.5703125" style="986" customWidth="1"/>
    <col min="15362" max="15362" width="56.7109375" style="986" bestFit="1" customWidth="1"/>
    <col min="15363" max="15601" width="19.5703125" style="986"/>
    <col min="15602" max="15602" width="7.140625" style="986" customWidth="1"/>
    <col min="15603" max="15603" width="24.140625" style="986" customWidth="1"/>
    <col min="15604" max="15604" width="28.42578125" style="986" customWidth="1"/>
    <col min="15605" max="15605" width="19.5703125" style="986" customWidth="1"/>
    <col min="15606" max="15606" width="24.140625" style="986" customWidth="1"/>
    <col min="15607" max="15607" width="19.5703125" style="986"/>
    <col min="15608" max="15608" width="5.5703125" style="986" customWidth="1"/>
    <col min="15609" max="15609" width="24.140625" style="986" customWidth="1"/>
    <col min="15610" max="15610" width="34.140625" style="986" customWidth="1"/>
    <col min="15611" max="15611" width="41.5703125" style="986" customWidth="1"/>
    <col min="15612" max="15612" width="25.140625" style="986" customWidth="1"/>
    <col min="15613" max="15613" width="19.5703125" style="986"/>
    <col min="15614" max="15614" width="7" style="986" customWidth="1"/>
    <col min="15615" max="15615" width="4.85546875" style="986" bestFit="1" customWidth="1"/>
    <col min="15616" max="15616" width="9.140625" style="986" bestFit="1" customWidth="1"/>
    <col min="15617" max="15617" width="12.5703125" style="986" customWidth="1"/>
    <col min="15618" max="15618" width="56.7109375" style="986" bestFit="1" customWidth="1"/>
    <col min="15619" max="15857" width="19.5703125" style="986"/>
    <col min="15858" max="15858" width="7.140625" style="986" customWidth="1"/>
    <col min="15859" max="15859" width="24.140625" style="986" customWidth="1"/>
    <col min="15860" max="15860" width="28.42578125" style="986" customWidth="1"/>
    <col min="15861" max="15861" width="19.5703125" style="986" customWidth="1"/>
    <col min="15862" max="15862" width="24.140625" style="986" customWidth="1"/>
    <col min="15863" max="15863" width="19.5703125" style="986"/>
    <col min="15864" max="15864" width="5.5703125" style="986" customWidth="1"/>
    <col min="15865" max="15865" width="24.140625" style="986" customWidth="1"/>
    <col min="15866" max="15866" width="34.140625" style="986" customWidth="1"/>
    <col min="15867" max="15867" width="41.5703125" style="986" customWidth="1"/>
    <col min="15868" max="15868" width="25.140625" style="986" customWidth="1"/>
    <col min="15869" max="15869" width="19.5703125" style="986"/>
    <col min="15870" max="15870" width="7" style="986" customWidth="1"/>
    <col min="15871" max="15871" width="4.85546875" style="986" bestFit="1" customWidth="1"/>
    <col min="15872" max="15872" width="9.140625" style="986" bestFit="1" customWidth="1"/>
    <col min="15873" max="15873" width="12.5703125" style="986" customWidth="1"/>
    <col min="15874" max="15874" width="56.7109375" style="986" bestFit="1" customWidth="1"/>
    <col min="15875" max="16113" width="19.5703125" style="986"/>
    <col min="16114" max="16114" width="7.140625" style="986" customWidth="1"/>
    <col min="16115" max="16115" width="24.140625" style="986" customWidth="1"/>
    <col min="16116" max="16116" width="28.42578125" style="986" customWidth="1"/>
    <col min="16117" max="16117" width="19.5703125" style="986" customWidth="1"/>
    <col min="16118" max="16118" width="24.140625" style="986" customWidth="1"/>
    <col min="16119" max="16119" width="19.5703125" style="986"/>
    <col min="16120" max="16120" width="5.5703125" style="986" customWidth="1"/>
    <col min="16121" max="16121" width="24.140625" style="986" customWidth="1"/>
    <col min="16122" max="16122" width="34.140625" style="986" customWidth="1"/>
    <col min="16123" max="16123" width="41.5703125" style="986" customWidth="1"/>
    <col min="16124" max="16124" width="25.140625" style="986" customWidth="1"/>
    <col min="16125" max="16125" width="19.5703125" style="986"/>
    <col min="16126" max="16126" width="7" style="986" customWidth="1"/>
    <col min="16127" max="16127" width="4.85546875" style="986" bestFit="1" customWidth="1"/>
    <col min="16128" max="16128" width="9.140625" style="986" bestFit="1" customWidth="1"/>
    <col min="16129" max="16129" width="12.5703125" style="986" customWidth="1"/>
    <col min="16130" max="16130" width="56.7109375" style="986" bestFit="1" customWidth="1"/>
    <col min="16131" max="16369" width="19.5703125" style="986"/>
    <col min="16370" max="16370" width="7.140625" style="986" customWidth="1"/>
    <col min="16371" max="16371" width="24.140625" style="986" customWidth="1"/>
    <col min="16372" max="16372" width="28.42578125" style="986" customWidth="1"/>
    <col min="16373" max="16373" width="19.5703125" style="986" customWidth="1"/>
    <col min="16374" max="16374" width="24.140625" style="986" customWidth="1"/>
    <col min="16375" max="16384" width="19.5703125" style="986"/>
  </cols>
  <sheetData>
    <row r="1" spans="1:6" ht="15.75">
      <c r="A1" s="1627" t="s">
        <v>225</v>
      </c>
      <c r="B1" s="1627"/>
      <c r="C1" s="1627"/>
      <c r="D1" s="1627"/>
      <c r="E1" s="1627"/>
    </row>
    <row r="2" spans="1:6" ht="15" customHeight="1">
      <c r="A2" s="1073" t="s">
        <v>1127</v>
      </c>
      <c r="B2" s="1073"/>
      <c r="C2" s="1073"/>
      <c r="D2" s="1073"/>
      <c r="E2" s="1073"/>
    </row>
    <row r="3" spans="1:6" ht="15">
      <c r="A3" s="1048"/>
      <c r="B3" s="1048"/>
      <c r="C3" s="1048"/>
      <c r="D3" s="1048"/>
      <c r="E3" s="1048"/>
      <c r="F3" s="988"/>
    </row>
    <row r="4" spans="1:6" ht="12.75" customHeight="1">
      <c r="A4" s="1621" t="s">
        <v>1468</v>
      </c>
      <c r="B4" s="1621"/>
      <c r="C4" s="1621"/>
      <c r="D4" s="1621"/>
      <c r="E4" s="1621"/>
      <c r="F4" s="988"/>
    </row>
    <row r="5" spans="1:6">
      <c r="A5" s="1026"/>
      <c r="B5" s="1026"/>
      <c r="C5" s="1026"/>
      <c r="D5" s="1026"/>
      <c r="E5" s="1026"/>
      <c r="F5" s="988"/>
    </row>
    <row r="6" spans="1:6" ht="13.5" thickBot="1">
      <c r="A6" s="1027" t="s">
        <v>8</v>
      </c>
      <c r="B6" s="1028" t="s">
        <v>24</v>
      </c>
      <c r="C6" s="1029"/>
      <c r="D6" s="1028" t="s">
        <v>1114</v>
      </c>
      <c r="E6" s="1027" t="s">
        <v>79</v>
      </c>
    </row>
    <row r="7" spans="1:6">
      <c r="A7" s="1030">
        <v>1</v>
      </c>
      <c r="B7" s="991" t="s">
        <v>1073</v>
      </c>
      <c r="C7" s="987"/>
      <c r="D7" s="1031" t="s">
        <v>1167</v>
      </c>
      <c r="E7" s="1238">
        <f>INDEX(Inputs_EndYrBal,MATCH(D7,Inputs_FF1_Map,0))</f>
        <v>0</v>
      </c>
    </row>
    <row r="8" spans="1:6">
      <c r="A8" s="1030">
        <f>A7+1</f>
        <v>2</v>
      </c>
      <c r="B8" s="991" t="s">
        <v>1074</v>
      </c>
      <c r="C8" s="987"/>
      <c r="D8" s="1031" t="s">
        <v>204</v>
      </c>
      <c r="E8" s="1238">
        <f>INDEX(Inputs_EndYrBal,MATCH(D8,Inputs_FF1_Map,0))</f>
        <v>6818716</v>
      </c>
    </row>
    <row r="9" spans="1:6">
      <c r="A9" s="1030">
        <f>A8+1</f>
        <v>3</v>
      </c>
      <c r="B9" s="991" t="s">
        <v>1075</v>
      </c>
      <c r="C9" s="987"/>
      <c r="D9" s="1031" t="s">
        <v>423</v>
      </c>
      <c r="E9" s="1238">
        <f>INDEX(Inputs_EndYrBal,MATCH(D9,Inputs_FF1_Map,0))</f>
        <v>0</v>
      </c>
    </row>
    <row r="10" spans="1:6">
      <c r="A10" s="1030">
        <f>A9+1</f>
        <v>4</v>
      </c>
      <c r="B10" s="991" t="s">
        <v>1076</v>
      </c>
      <c r="C10" s="987"/>
      <c r="D10" s="1031" t="s">
        <v>205</v>
      </c>
      <c r="E10" s="1238">
        <f>INDEX(Inputs_EndYrBal,MATCH(D10,Inputs_FF1_Map,0))</f>
        <v>2106756</v>
      </c>
    </row>
    <row r="11" spans="1:6">
      <c r="A11" s="1030">
        <f>A10+1</f>
        <v>5</v>
      </c>
      <c r="B11" s="991" t="s">
        <v>1077</v>
      </c>
      <c r="C11" s="987"/>
      <c r="D11" s="1031" t="s">
        <v>424</v>
      </c>
      <c r="E11" s="1239">
        <f>INDEX(Inputs_EndYrBal,MATCH(D11,Inputs_FF1_Map,0))</f>
        <v>1326587</v>
      </c>
    </row>
    <row r="12" spans="1:6">
      <c r="A12" s="1030">
        <f>A11+1</f>
        <v>6</v>
      </c>
      <c r="B12" s="1035" t="s">
        <v>1078</v>
      </c>
      <c r="C12" s="1036"/>
      <c r="D12" s="1037" t="str">
        <f>"(Sum Lines "&amp;A7&amp;" through "&amp;A11&amp;")"</f>
        <v>(Sum Lines 1 through 5)</v>
      </c>
      <c r="E12" s="1240">
        <f>SUM(E7:E11)</f>
        <v>10252059</v>
      </c>
    </row>
    <row r="13" spans="1:6">
      <c r="A13" s="1030"/>
      <c r="B13" s="992"/>
      <c r="C13" s="987"/>
      <c r="D13" s="1032"/>
      <c r="E13" s="987"/>
    </row>
    <row r="14" spans="1:6">
      <c r="A14" s="1030"/>
      <c r="B14" s="992"/>
      <c r="C14" s="987"/>
      <c r="D14" s="1032"/>
      <c r="E14" s="987"/>
    </row>
    <row r="15" spans="1:6">
      <c r="A15" s="1030">
        <f>A12+1</f>
        <v>7</v>
      </c>
      <c r="B15" s="991" t="s">
        <v>1079</v>
      </c>
      <c r="C15" s="987"/>
      <c r="D15" s="1037" t="str">
        <f>"(Line "&amp;A12&amp;")"</f>
        <v>(Line 6)</v>
      </c>
      <c r="E15" s="1240">
        <f>E12</f>
        <v>10252059</v>
      </c>
      <c r="F15" s="989"/>
    </row>
    <row r="16" spans="1:6">
      <c r="A16" s="1030"/>
      <c r="B16" s="1038"/>
      <c r="C16" s="1036"/>
      <c r="D16" s="1039"/>
      <c r="E16" s="1034"/>
      <c r="F16" s="989"/>
    </row>
    <row r="17" spans="1:6">
      <c r="A17" s="1030"/>
      <c r="B17" s="1033" t="s">
        <v>1116</v>
      </c>
      <c r="C17" s="987"/>
      <c r="D17" s="1033"/>
      <c r="E17" s="992"/>
      <c r="F17" s="989"/>
    </row>
    <row r="18" spans="1:6">
      <c r="A18" s="1030"/>
      <c r="B18" s="992"/>
      <c r="C18" s="987"/>
      <c r="D18" s="1032"/>
      <c r="E18" s="992"/>
      <c r="F18" s="989"/>
    </row>
    <row r="19" spans="1:6">
      <c r="A19" s="1030">
        <f>A15+1</f>
        <v>8</v>
      </c>
      <c r="B19" s="1035" t="s">
        <v>1080</v>
      </c>
      <c r="C19" s="1036"/>
      <c r="D19" s="1037" t="s">
        <v>756</v>
      </c>
      <c r="E19" s="1241">
        <f>'Att 9b - 2015 True-up'!AF43*1000</f>
        <v>13440780.416666666</v>
      </c>
      <c r="F19" s="989"/>
    </row>
    <row r="20" spans="1:6">
      <c r="A20" s="1030"/>
      <c r="B20" s="991"/>
      <c r="C20" s="987"/>
      <c r="D20" s="1032"/>
      <c r="E20" s="991"/>
      <c r="F20" s="989"/>
    </row>
    <row r="21" spans="1:6">
      <c r="A21" s="1030">
        <f>A19+1</f>
        <v>9</v>
      </c>
      <c r="B21" s="991" t="s">
        <v>1081</v>
      </c>
      <c r="C21" s="987"/>
      <c r="D21" s="1037" t="str">
        <f>"(Line "&amp;A15&amp;" / Line "&amp;A19&amp;")"</f>
        <v>(Line 7 / Line 8)</v>
      </c>
      <c r="E21" s="1691">
        <f>ROUND(E15/E19,6)</f>
        <v>0.76275800000000005</v>
      </c>
      <c r="F21" s="989"/>
    </row>
    <row r="22" spans="1:6">
      <c r="A22" s="1030">
        <f>A21+1</f>
        <v>10</v>
      </c>
      <c r="B22" s="991" t="s">
        <v>1082</v>
      </c>
      <c r="C22" s="987"/>
      <c r="D22" s="1037" t="str">
        <f>"((Line "&amp;A15&amp;" / Line "&amp;A19&amp;") / 12)"</f>
        <v>((Line 7 / Line 8) / 12)</v>
      </c>
      <c r="E22" s="1696">
        <f>ROUND(($E$15/$E$19)/12,5)</f>
        <v>6.3560000000000005E-2</v>
      </c>
      <c r="F22" s="989"/>
    </row>
    <row r="23" spans="1:6">
      <c r="A23" s="1030">
        <f>A22+1</f>
        <v>11</v>
      </c>
      <c r="B23" s="991" t="s">
        <v>1083</v>
      </c>
      <c r="C23" s="987"/>
      <c r="D23" s="1037" t="str">
        <f>"((Line "&amp;A15&amp;" / Line "&amp;A19&amp;") / 52)"</f>
        <v>((Line 7 / Line 8) / 52)</v>
      </c>
      <c r="E23" s="1696">
        <f>ROUND(($E$15/$E$19)/52,5)</f>
        <v>1.4670000000000001E-2</v>
      </c>
      <c r="F23" s="989"/>
    </row>
    <row r="24" spans="1:6">
      <c r="A24" s="1030"/>
      <c r="B24" s="991"/>
      <c r="C24" s="987"/>
      <c r="D24" s="1031"/>
      <c r="E24" s="1692"/>
      <c r="F24" s="989"/>
    </row>
    <row r="25" spans="1:6">
      <c r="A25" s="1030">
        <f>A23+1</f>
        <v>12</v>
      </c>
      <c r="B25" s="991" t="s">
        <v>1084</v>
      </c>
      <c r="C25" s="987"/>
      <c r="D25" s="1037" t="str">
        <f>"(Line "&amp;A23&amp;" / 5)"</f>
        <v>(Line 11 / 5)</v>
      </c>
      <c r="E25" s="1696">
        <f>ROUND($E$23/5,5)</f>
        <v>2.9299999999999999E-3</v>
      </c>
      <c r="F25" s="989"/>
    </row>
    <row r="26" spans="1:6">
      <c r="A26" s="1030">
        <f>A25+1</f>
        <v>13</v>
      </c>
      <c r="B26" s="991" t="s">
        <v>1085</v>
      </c>
      <c r="C26" s="987"/>
      <c r="D26" s="1037" t="str">
        <f>"(Line "&amp;A23&amp;" / 7)"</f>
        <v>(Line 11 / 7)</v>
      </c>
      <c r="E26" s="1696">
        <f>ROUND($E$23/7,5)</f>
        <v>2.0999999999999999E-3</v>
      </c>
      <c r="F26" s="989"/>
    </row>
    <row r="27" spans="1:6">
      <c r="A27" s="1030"/>
      <c r="B27" s="991"/>
      <c r="C27" s="987"/>
      <c r="D27" s="1031"/>
      <c r="E27" s="1692"/>
      <c r="F27" s="989"/>
    </row>
    <row r="28" spans="1:6">
      <c r="A28" s="1030">
        <f>A26+1</f>
        <v>14</v>
      </c>
      <c r="B28" s="991" t="s">
        <v>1086</v>
      </c>
      <c r="C28" s="987"/>
      <c r="D28" s="1037" t="str">
        <f>"((Line "&amp;A25&amp;" / 16) * 1000)"</f>
        <v>((Line 12 / 16) * 1000)</v>
      </c>
      <c r="E28" s="1692">
        <f>ROUND(($E$25/16)*1000,2)</f>
        <v>0.18</v>
      </c>
      <c r="F28" s="989"/>
    </row>
    <row r="29" spans="1:6">
      <c r="A29" s="1030">
        <f>A28+1</f>
        <v>15</v>
      </c>
      <c r="B29" s="991" t="s">
        <v>1087</v>
      </c>
      <c r="C29" s="987"/>
      <c r="D29" s="1037" t="str">
        <f>"((Line "&amp;A26&amp;" / 24) * 1000)"</f>
        <v>((Line 13 / 24) * 1000)</v>
      </c>
      <c r="E29" s="1692">
        <f>ROUND(($E$26/24)*1000,2)</f>
        <v>0.09</v>
      </c>
      <c r="F29" s="989"/>
    </row>
    <row r="30" spans="1:6" ht="13.5" thickBot="1">
      <c r="A30" s="1049"/>
      <c r="B30" s="1050"/>
      <c r="C30" s="1049"/>
      <c r="D30" s="1051"/>
      <c r="E30" s="1050"/>
      <c r="F30" s="989"/>
    </row>
    <row r="31" spans="1:6">
      <c r="A31" s="1052"/>
      <c r="B31" s="1053"/>
      <c r="C31" s="1052"/>
      <c r="D31" s="1054"/>
      <c r="E31" s="1055"/>
      <c r="F31" s="989"/>
    </row>
    <row r="32" spans="1:6">
      <c r="A32" s="987"/>
      <c r="B32" s="987"/>
      <c r="C32" s="987"/>
      <c r="D32" s="990"/>
      <c r="E32" s="992"/>
      <c r="F32" s="989"/>
    </row>
    <row r="33" spans="5:6">
      <c r="E33" s="405"/>
      <c r="F33" s="989"/>
    </row>
    <row r="34" spans="5:6">
      <c r="E34" s="994"/>
      <c r="F34" s="989"/>
    </row>
    <row r="35" spans="5:6">
      <c r="E35" s="994"/>
      <c r="F35" s="989"/>
    </row>
    <row r="36" spans="5:6">
      <c r="E36" s="994"/>
      <c r="F36" s="989"/>
    </row>
    <row r="37" spans="5:6">
      <c r="E37" s="994"/>
      <c r="F37" s="989"/>
    </row>
    <row r="38" spans="5:6">
      <c r="F38" s="989"/>
    </row>
  </sheetData>
  <printOptions horizontalCentered="1"/>
  <pageMargins left="0.47" right="0.59" top="0.81" bottom="1.75" header="0.5" footer="0.5"/>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election activeCell="O10" sqref="O10"/>
    </sheetView>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40"/>
      <c r="B1" s="1578" t="s">
        <v>365</v>
      </c>
      <c r="C1" s="1578"/>
      <c r="D1" s="1578"/>
      <c r="E1" s="1578"/>
      <c r="F1" s="1541"/>
      <c r="G1" s="1541"/>
      <c r="H1" s="1541"/>
      <c r="I1" s="1541"/>
      <c r="J1" s="1541"/>
      <c r="K1" s="1541"/>
      <c r="L1" s="1541"/>
      <c r="M1" s="1541"/>
      <c r="N1" s="1541"/>
      <c r="O1" s="1541"/>
      <c r="P1" s="1541"/>
      <c r="Q1" s="1541"/>
      <c r="R1" s="1541"/>
    </row>
    <row r="2" spans="1:18" s="437" customFormat="1" ht="15.75">
      <c r="A2" s="1540"/>
      <c r="B2" s="1578" t="s">
        <v>465</v>
      </c>
      <c r="C2" s="1578"/>
      <c r="D2" s="1578"/>
      <c r="E2" s="1578"/>
      <c r="F2" s="1541"/>
      <c r="G2" s="1541"/>
      <c r="H2" s="1541"/>
      <c r="I2" s="1541"/>
      <c r="J2" s="1541"/>
      <c r="K2" s="1541"/>
      <c r="L2" s="1541"/>
      <c r="M2" s="1541"/>
      <c r="N2" s="1541"/>
      <c r="O2" s="1541"/>
      <c r="P2" s="1541"/>
      <c r="Q2" s="1541"/>
      <c r="R2" s="1541"/>
    </row>
    <row r="3" spans="1:18" s="437" customFormat="1">
      <c r="A3" s="1540"/>
      <c r="B3" s="1539"/>
      <c r="C3" s="1539"/>
      <c r="D3" s="1539"/>
      <c r="E3" s="1539"/>
      <c r="F3" s="1539"/>
      <c r="G3" s="1539"/>
      <c r="H3" s="1539"/>
      <c r="I3" s="1539"/>
      <c r="J3" s="1539"/>
      <c r="K3" s="1539"/>
      <c r="L3" s="1539"/>
      <c r="M3" s="1539"/>
      <c r="N3" s="1539"/>
      <c r="O3" s="1539"/>
      <c r="P3" s="1539"/>
      <c r="Q3" s="1539"/>
      <c r="R3" s="1539"/>
    </row>
    <row r="4" spans="1:18" s="1536" customFormat="1" ht="15">
      <c r="A4" s="1537"/>
      <c r="B4" s="1537"/>
      <c r="C4" s="1537"/>
      <c r="D4" s="1537"/>
      <c r="E4" s="1537"/>
      <c r="F4" s="1537"/>
    </row>
    <row r="5" spans="1:18" s="1536" customFormat="1" ht="15">
      <c r="A5" s="1537"/>
      <c r="B5" s="1538" t="s">
        <v>1150</v>
      </c>
      <c r="C5" s="1538"/>
      <c r="D5" s="1538"/>
      <c r="E5" s="1537"/>
      <c r="F5" s="1537"/>
    </row>
    <row r="6" spans="1:18" s="1536" customFormat="1" ht="15">
      <c r="A6" s="1537"/>
      <c r="B6" s="1550"/>
      <c r="C6" s="1550"/>
      <c r="D6" s="1550"/>
      <c r="E6" s="1537"/>
      <c r="F6" s="1537"/>
    </row>
    <row r="7" spans="1:18">
      <c r="A7" s="437"/>
      <c r="B7" s="1403"/>
      <c r="C7" s="1403"/>
      <c r="D7" s="1545" t="s">
        <v>1151</v>
      </c>
      <c r="E7" s="1544" t="s">
        <v>1152</v>
      </c>
      <c r="F7" s="437"/>
    </row>
    <row r="8" spans="1:18">
      <c r="A8" s="437"/>
      <c r="B8" s="1549" t="s">
        <v>2271</v>
      </c>
      <c r="C8" s="1549"/>
      <c r="D8" s="1249">
        <v>161943.97</v>
      </c>
      <c r="E8" s="1806">
        <v>161943.97</v>
      </c>
      <c r="F8" s="437"/>
      <c r="G8" s="2163" t="s">
        <v>2197</v>
      </c>
    </row>
    <row r="9" spans="1:18">
      <c r="A9" s="437"/>
      <c r="B9" s="1549" t="s">
        <v>2272</v>
      </c>
      <c r="C9" s="1549"/>
      <c r="D9" s="1806">
        <v>156105.46</v>
      </c>
      <c r="E9" s="1806">
        <v>156105.46</v>
      </c>
      <c r="F9" s="437"/>
      <c r="G9" s="2163" t="s">
        <v>2197</v>
      </c>
    </row>
    <row r="10" spans="1:18">
      <c r="A10" s="437"/>
      <c r="B10" s="1549" t="s">
        <v>2273</v>
      </c>
      <c r="C10" s="1549"/>
      <c r="D10" s="1806">
        <v>396019.55</v>
      </c>
      <c r="E10" s="1806">
        <v>396019.55</v>
      </c>
      <c r="F10" s="437"/>
    </row>
    <row r="11" spans="1:18">
      <c r="A11" s="437"/>
      <c r="B11" s="1549" t="s">
        <v>2274</v>
      </c>
      <c r="C11" s="1549"/>
      <c r="D11" s="1806">
        <v>1013577.16</v>
      </c>
      <c r="E11" s="1806">
        <v>1013577.16</v>
      </c>
      <c r="F11" s="437"/>
    </row>
    <row r="12" spans="1:18">
      <c r="A12" s="437"/>
      <c r="B12" s="1549" t="s">
        <v>2275</v>
      </c>
      <c r="C12" s="1549"/>
      <c r="D12" s="1806">
        <v>964042.97</v>
      </c>
      <c r="E12" s="1806">
        <v>964042.97</v>
      </c>
      <c r="F12" s="437"/>
    </row>
    <row r="13" spans="1:18">
      <c r="A13" s="437"/>
      <c r="B13" s="1549" t="s">
        <v>2276</v>
      </c>
      <c r="C13" s="1549"/>
      <c r="D13" s="1806">
        <v>254753.05</v>
      </c>
      <c r="E13" s="1806">
        <v>254753.05</v>
      </c>
      <c r="F13" s="437"/>
    </row>
    <row r="14" spans="1:18">
      <c r="A14" s="437"/>
      <c r="B14" s="1549" t="s">
        <v>2277</v>
      </c>
      <c r="C14" s="1549"/>
      <c r="D14" s="1806">
        <v>598456.77</v>
      </c>
      <c r="E14" s="1806">
        <v>598456.77</v>
      </c>
      <c r="F14" s="437"/>
    </row>
    <row r="15" spans="1:18">
      <c r="A15" s="437"/>
      <c r="B15" s="1549" t="s">
        <v>2278</v>
      </c>
      <c r="C15" s="1549"/>
      <c r="D15" s="1806">
        <v>112635.55</v>
      </c>
      <c r="E15" s="1806">
        <v>112635.55</v>
      </c>
      <c r="F15" s="437"/>
      <c r="G15" s="2163" t="s">
        <v>2197</v>
      </c>
    </row>
    <row r="16" spans="1:18">
      <c r="A16" s="437"/>
      <c r="B16" s="1548" t="s">
        <v>1119</v>
      </c>
      <c r="C16" s="1548"/>
      <c r="D16" s="1547">
        <f>SUM(D7:D15)</f>
        <v>3657534.48</v>
      </c>
      <c r="E16" s="1547">
        <f>SUM(E7:E15)</f>
        <v>3657534.48</v>
      </c>
      <c r="F16" s="437"/>
    </row>
    <row r="17" spans="1:6">
      <c r="A17" s="437"/>
      <c r="B17" s="1546"/>
      <c r="C17" s="1546"/>
      <c r="D17" s="1546"/>
      <c r="E17" s="1113"/>
      <c r="F17" s="437"/>
    </row>
    <row r="18" spans="1:6">
      <c r="A18" s="437"/>
      <c r="B18" s="1546"/>
      <c r="C18" s="1546"/>
      <c r="D18" s="1546"/>
      <c r="E18" s="1113"/>
      <c r="F18" s="437"/>
    </row>
    <row r="19" spans="1:6">
      <c r="D19" s="1545" t="s">
        <v>1151</v>
      </c>
      <c r="E19" s="1544" t="s">
        <v>1152</v>
      </c>
    </row>
    <row r="20" spans="1:6">
      <c r="A20" s="437"/>
      <c r="B20" s="1543" t="s">
        <v>993</v>
      </c>
      <c r="C20" s="1542" t="s">
        <v>332</v>
      </c>
      <c r="D20" s="1801">
        <f>INDEX(Inputs_EndYrBal_prior,MATCH($C20,Inputs_FF1_Map,0))</f>
        <v>23319217</v>
      </c>
      <c r="E20" s="1801">
        <f>INDEX(Inputs_EndYrBal,MATCH($C20,Inputs_FF1_Map,0))</f>
        <v>23319217</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5"/>
  <sheetViews>
    <sheetView workbookViewId="0">
      <selection activeCell="O10" sqref="O10"/>
    </sheetView>
  </sheetViews>
  <sheetFormatPr defaultColWidth="9.140625" defaultRowHeight="15"/>
  <cols>
    <col min="1" max="1" width="2.140625" style="2132" customWidth="1"/>
    <col min="2" max="2" width="58" style="2132" bestFit="1" customWidth="1"/>
    <col min="3" max="3" width="2.85546875" style="2132" customWidth="1"/>
    <col min="4" max="4" width="21.7109375" style="2132" customWidth="1"/>
    <col min="5" max="5" width="2.7109375" style="2132" customWidth="1"/>
    <col min="6" max="6" width="21.7109375" style="2132" customWidth="1"/>
    <col min="7" max="7" width="3" style="2132" customWidth="1"/>
    <col min="8" max="8" width="21.7109375" style="2132" customWidth="1"/>
    <col min="9" max="9" width="2.7109375" style="2132" customWidth="1"/>
    <col min="10" max="10" width="31" style="2132" customWidth="1"/>
    <col min="11" max="11" width="13.28515625" style="2132" customWidth="1"/>
    <col min="12" max="12" width="17.140625" style="2132" customWidth="1"/>
    <col min="13" max="13" width="13.28515625" style="2132" customWidth="1"/>
    <col min="14" max="19" width="9.140625" style="2132" customWidth="1"/>
    <col min="20" max="24" width="9.140625" style="2132"/>
    <col min="25" max="26" width="17.28515625" style="2132" bestFit="1" customWidth="1"/>
    <col min="27" max="16384" width="9.140625" style="2132"/>
  </cols>
  <sheetData>
    <row r="1" spans="1:20" s="437" customFormat="1" ht="15.75">
      <c r="A1" s="1578" t="s">
        <v>365</v>
      </c>
      <c r="B1" s="683"/>
      <c r="C1" s="1577"/>
      <c r="D1" s="1577"/>
      <c r="E1" s="1577"/>
      <c r="F1" s="1577"/>
      <c r="G1" s="1577"/>
      <c r="H1" s="1577"/>
      <c r="I1" s="1577"/>
      <c r="J1" s="1541"/>
      <c r="K1" s="1541"/>
      <c r="L1" s="1541"/>
      <c r="M1" s="1541"/>
      <c r="N1" s="1541"/>
      <c r="O1" s="1541"/>
      <c r="P1" s="1541"/>
      <c r="Q1" s="1541"/>
      <c r="R1" s="1541"/>
      <c r="S1" s="1541"/>
    </row>
    <row r="2" spans="1:20" s="437" customFormat="1" ht="15.75">
      <c r="A2" s="1578" t="s">
        <v>996</v>
      </c>
      <c r="B2" s="1577"/>
      <c r="C2" s="1577"/>
      <c r="D2" s="1577"/>
      <c r="E2" s="1577"/>
      <c r="F2" s="1577"/>
      <c r="G2" s="1577"/>
      <c r="H2" s="1577"/>
      <c r="I2" s="1577"/>
      <c r="J2" s="1541"/>
      <c r="K2" s="1541"/>
      <c r="L2" s="1541"/>
      <c r="M2" s="1541"/>
      <c r="N2" s="1541"/>
      <c r="O2" s="1541"/>
      <c r="P2" s="1541"/>
      <c r="Q2" s="1541"/>
      <c r="R2" s="1541"/>
      <c r="S2" s="1541"/>
    </row>
    <row r="3" spans="1:20" s="436" customFormat="1" ht="10.5" customHeight="1"/>
    <row r="4" spans="1:20" ht="15.75">
      <c r="A4" s="2129" t="s">
        <v>995</v>
      </c>
      <c r="B4" s="2130"/>
      <c r="C4" s="2130"/>
      <c r="D4" s="2130"/>
      <c r="E4" s="2130"/>
      <c r="F4" s="2130"/>
      <c r="G4" s="2130"/>
      <c r="H4" s="2130"/>
      <c r="I4" s="2131"/>
      <c r="J4" s="2131"/>
      <c r="K4" s="2131"/>
      <c r="L4" s="2131"/>
      <c r="M4" s="2131"/>
      <c r="N4" s="2131"/>
      <c r="O4" s="2131"/>
      <c r="P4" s="2131"/>
      <c r="Q4" s="2131"/>
      <c r="R4" s="2131"/>
      <c r="S4" s="2131"/>
      <c r="T4" s="2131"/>
    </row>
    <row r="5" spans="1:20">
      <c r="A5" s="2133"/>
      <c r="B5" s="2131"/>
      <c r="C5" s="2131"/>
      <c r="D5" s="2131"/>
      <c r="E5" s="2131"/>
      <c r="F5" s="2131"/>
      <c r="G5" s="2131"/>
      <c r="H5" s="2131"/>
      <c r="I5" s="2131"/>
      <c r="J5" s="2131"/>
      <c r="K5" s="2131"/>
      <c r="L5" s="2131"/>
      <c r="M5" s="2131"/>
      <c r="N5" s="2131"/>
      <c r="O5" s="2131"/>
      <c r="P5" s="2131"/>
      <c r="Q5" s="2131"/>
      <c r="R5" s="2131"/>
      <c r="S5" s="2131"/>
      <c r="T5" s="2131"/>
    </row>
    <row r="6" spans="1:20" ht="15.75">
      <c r="A6" s="2134"/>
      <c r="B6" s="2131"/>
      <c r="C6" s="2131"/>
      <c r="D6" s="2131"/>
      <c r="E6" s="2131"/>
      <c r="F6" s="2131"/>
      <c r="G6" s="2131"/>
      <c r="H6" s="2135"/>
      <c r="I6" s="2135"/>
      <c r="J6" s="2135"/>
      <c r="K6" s="2135"/>
      <c r="L6" s="2135"/>
      <c r="M6" s="2135"/>
      <c r="N6" s="2131"/>
      <c r="O6" s="2131"/>
      <c r="P6" s="2131"/>
      <c r="Q6" s="2131"/>
      <c r="R6" s="2131"/>
      <c r="S6" s="2131"/>
      <c r="T6" s="2131"/>
    </row>
    <row r="7" spans="1:20" ht="15.75">
      <c r="A7" s="2136" t="s">
        <v>1006</v>
      </c>
      <c r="B7" s="2137"/>
      <c r="C7" s="2131"/>
      <c r="D7" s="2131"/>
      <c r="E7" s="2131"/>
      <c r="F7" s="2131"/>
      <c r="G7" s="2131"/>
      <c r="H7" s="2131"/>
      <c r="I7" s="2131"/>
      <c r="J7" s="2131"/>
      <c r="K7" s="2131"/>
      <c r="L7" s="2131"/>
      <c r="M7" s="2131"/>
      <c r="N7" s="2131"/>
      <c r="O7" s="2131"/>
      <c r="P7" s="2131"/>
      <c r="Q7" s="2131"/>
      <c r="R7" s="2131"/>
      <c r="S7" s="2131"/>
      <c r="T7" s="2131"/>
    </row>
    <row r="8" spans="1:20" ht="15.75">
      <c r="A8" s="2131"/>
      <c r="B8" s="2137"/>
      <c r="C8" s="2131"/>
      <c r="D8" s="2131"/>
      <c r="E8" s="2131"/>
      <c r="F8" s="2131"/>
      <c r="G8" s="2131"/>
      <c r="H8" s="2131"/>
      <c r="I8" s="2131"/>
      <c r="J8" s="2131"/>
      <c r="K8" s="2131"/>
      <c r="L8" s="2131"/>
      <c r="M8" s="2131"/>
      <c r="N8" s="2131"/>
      <c r="O8" s="2131"/>
      <c r="P8" s="2131"/>
      <c r="Q8" s="2131"/>
      <c r="R8" s="2131"/>
      <c r="S8" s="2131"/>
      <c r="T8" s="2131"/>
    </row>
    <row r="9" spans="1:20" ht="58.5">
      <c r="A9" s="2131"/>
      <c r="B9" s="2138" t="s">
        <v>24</v>
      </c>
      <c r="C9" s="2131"/>
      <c r="D9" s="2139" t="s">
        <v>93</v>
      </c>
      <c r="E9" s="2140"/>
      <c r="F9" s="2139" t="s">
        <v>645</v>
      </c>
      <c r="G9" s="2131"/>
      <c r="H9" s="2141" t="s">
        <v>998</v>
      </c>
      <c r="I9" s="2131"/>
      <c r="J9" s="2131"/>
      <c r="K9" s="2131"/>
      <c r="L9" s="2131"/>
      <c r="M9" s="2131"/>
      <c r="N9" s="2131"/>
      <c r="O9" s="2131"/>
      <c r="P9" s="2131"/>
      <c r="Q9" s="2131"/>
      <c r="R9" s="2131"/>
      <c r="S9" s="2131"/>
      <c r="T9" s="2131"/>
    </row>
    <row r="10" spans="1:20">
      <c r="A10" s="2131"/>
      <c r="B10" s="2142" t="s">
        <v>2279</v>
      </c>
      <c r="C10" s="2143"/>
      <c r="D10" s="2144" t="s">
        <v>991</v>
      </c>
      <c r="E10" s="2164"/>
      <c r="F10" s="2145">
        <v>0</v>
      </c>
      <c r="G10" s="2157"/>
      <c r="H10" s="2165">
        <v>0</v>
      </c>
      <c r="I10" s="2131"/>
      <c r="J10" s="2345" t="s">
        <v>2179</v>
      </c>
      <c r="K10" s="2131"/>
      <c r="L10" s="2131"/>
      <c r="M10" s="2131"/>
      <c r="N10" s="2131"/>
      <c r="O10" s="2131"/>
      <c r="P10" s="2131"/>
      <c r="Q10" s="2131"/>
      <c r="R10" s="2131"/>
      <c r="S10" s="2131"/>
      <c r="T10" s="2131"/>
    </row>
    <row r="11" spans="1:20">
      <c r="A11" s="2131"/>
      <c r="B11" s="2142" t="s">
        <v>2280</v>
      </c>
      <c r="C11" s="2143"/>
      <c r="D11" s="2147">
        <v>5056057</v>
      </c>
      <c r="E11" s="2164"/>
      <c r="F11" s="2148" t="s">
        <v>2304</v>
      </c>
      <c r="G11" s="2157"/>
      <c r="H11" s="2165">
        <v>1</v>
      </c>
      <c r="I11" s="2131"/>
      <c r="J11" s="2146"/>
      <c r="K11" s="2131"/>
      <c r="L11" s="2131"/>
      <c r="M11" s="2131"/>
      <c r="N11" s="2131"/>
      <c r="O11" s="2131"/>
      <c r="P11" s="2131"/>
      <c r="Q11" s="2131"/>
      <c r="R11" s="2131"/>
      <c r="S11" s="2131"/>
      <c r="T11" s="2131"/>
    </row>
    <row r="12" spans="1:20">
      <c r="A12" s="2131"/>
      <c r="B12" s="2142" t="s">
        <v>2281</v>
      </c>
      <c r="C12" s="2143"/>
      <c r="D12" s="2147">
        <v>270709</v>
      </c>
      <c r="E12" s="2166"/>
      <c r="F12" s="2148" t="s">
        <v>2304</v>
      </c>
      <c r="G12" s="2157"/>
      <c r="H12" s="2165">
        <v>1</v>
      </c>
      <c r="I12" s="2131"/>
      <c r="J12" s="2146"/>
      <c r="K12" s="2131"/>
      <c r="L12" s="2131"/>
      <c r="M12" s="2131"/>
      <c r="N12" s="2131"/>
      <c r="O12" s="2131"/>
      <c r="P12" s="2131"/>
      <c r="Q12" s="2131"/>
      <c r="R12" s="2131"/>
      <c r="S12" s="2131"/>
      <c r="T12" s="2131"/>
    </row>
    <row r="13" spans="1:20">
      <c r="A13" s="2131"/>
      <c r="B13" s="2142" t="s">
        <v>2282</v>
      </c>
      <c r="C13" s="2143"/>
      <c r="D13" s="2147">
        <v>1883211.5</v>
      </c>
      <c r="E13" s="2166"/>
      <c r="F13" s="2148" t="s">
        <v>2304</v>
      </c>
      <c r="G13" s="2157"/>
      <c r="H13" s="2165">
        <v>1</v>
      </c>
      <c r="I13" s="2131"/>
      <c r="J13" s="2146"/>
      <c r="K13" s="2131"/>
      <c r="L13" s="2131"/>
      <c r="M13" s="2131"/>
      <c r="N13" s="2131"/>
      <c r="O13" s="2131"/>
      <c r="P13" s="2131"/>
      <c r="Q13" s="2131"/>
      <c r="R13" s="2131"/>
      <c r="S13" s="2131"/>
      <c r="T13" s="2131"/>
    </row>
    <row r="14" spans="1:20">
      <c r="A14" s="2131"/>
      <c r="B14" s="2142" t="s">
        <v>2283</v>
      </c>
      <c r="C14" s="2143"/>
      <c r="D14" s="2147">
        <v>160502.31</v>
      </c>
      <c r="E14" s="2166"/>
      <c r="F14" s="2148" t="s">
        <v>2304</v>
      </c>
      <c r="G14" s="2167"/>
      <c r="H14" s="2165">
        <v>1</v>
      </c>
      <c r="I14" s="2131"/>
      <c r="J14" s="2146"/>
      <c r="K14" s="2131"/>
      <c r="L14" s="2131"/>
      <c r="M14" s="2131"/>
      <c r="N14" s="2131"/>
      <c r="O14" s="2131"/>
      <c r="P14" s="2131"/>
      <c r="Q14" s="2131"/>
      <c r="R14" s="2131"/>
      <c r="S14" s="2131"/>
      <c r="T14" s="2131"/>
    </row>
    <row r="15" spans="1:20">
      <c r="A15" s="2131"/>
      <c r="B15" s="2142" t="s">
        <v>2284</v>
      </c>
      <c r="C15" s="2143"/>
      <c r="D15" s="2144" t="s">
        <v>991</v>
      </c>
      <c r="E15" s="2166"/>
      <c r="F15" s="2148">
        <f>'Att 9b - 2015 True-up'!W23</f>
        <v>106.23924999999998</v>
      </c>
      <c r="G15" s="2167"/>
      <c r="H15" s="2165">
        <v>0</v>
      </c>
      <c r="I15" s="2131"/>
      <c r="J15" s="2345" t="s">
        <v>1725</v>
      </c>
      <c r="K15" s="2131"/>
      <c r="L15" s="2131"/>
      <c r="M15" s="2131"/>
      <c r="N15" s="2131"/>
      <c r="O15" s="2131"/>
      <c r="P15" s="2131"/>
      <c r="Q15" s="2131"/>
      <c r="R15" s="2131"/>
      <c r="S15" s="2131"/>
      <c r="T15" s="2131"/>
    </row>
    <row r="16" spans="1:20">
      <c r="A16" s="2131"/>
      <c r="B16" s="2142" t="s">
        <v>2285</v>
      </c>
      <c r="C16" s="2143"/>
      <c r="D16" s="2147">
        <v>151308</v>
      </c>
      <c r="E16" s="2166"/>
      <c r="F16" s="2148" t="s">
        <v>2304</v>
      </c>
      <c r="G16" s="2157"/>
      <c r="H16" s="2165">
        <v>1</v>
      </c>
      <c r="I16" s="2131"/>
      <c r="J16" s="2146"/>
      <c r="K16" s="2131"/>
      <c r="L16" s="2131"/>
      <c r="M16" s="2131"/>
      <c r="N16" s="2131"/>
      <c r="O16" s="2131"/>
      <c r="P16" s="2131"/>
      <c r="Q16" s="2131"/>
      <c r="R16" s="2131"/>
      <c r="S16" s="2131"/>
      <c r="T16" s="2131"/>
    </row>
    <row r="17" spans="1:20">
      <c r="A17" s="2131"/>
      <c r="B17" s="2142" t="s">
        <v>2286</v>
      </c>
      <c r="C17" s="2143"/>
      <c r="D17" s="2147">
        <v>67672</v>
      </c>
      <c r="E17" s="2166"/>
      <c r="F17" s="2148" t="s">
        <v>2304</v>
      </c>
      <c r="G17" s="2157"/>
      <c r="H17" s="2165">
        <v>1</v>
      </c>
      <c r="I17" s="2131"/>
      <c r="J17" s="2146"/>
      <c r="K17" s="2131"/>
      <c r="L17" s="2131"/>
      <c r="M17" s="2131"/>
      <c r="N17" s="2131"/>
      <c r="O17" s="2131"/>
      <c r="P17" s="2131"/>
      <c r="Q17" s="2131"/>
      <c r="R17" s="2131"/>
      <c r="S17" s="2131"/>
      <c r="T17" s="2131"/>
    </row>
    <row r="18" spans="1:20">
      <c r="A18" s="2131"/>
      <c r="B18" s="2142" t="s">
        <v>2287</v>
      </c>
      <c r="C18" s="2143"/>
      <c r="D18" s="2147">
        <v>14927</v>
      </c>
      <c r="E18" s="2166"/>
      <c r="F18" s="2148" t="s">
        <v>2304</v>
      </c>
      <c r="G18" s="2157"/>
      <c r="H18" s="2165">
        <v>1</v>
      </c>
      <c r="I18" s="2131"/>
      <c r="J18" s="2146"/>
      <c r="K18" s="2131"/>
      <c r="L18" s="2131"/>
      <c r="M18" s="2131"/>
      <c r="N18" s="2131"/>
      <c r="O18" s="2131"/>
      <c r="P18" s="2131"/>
      <c r="Q18" s="2131"/>
      <c r="R18" s="2131"/>
      <c r="S18" s="2131"/>
      <c r="T18" s="2131"/>
    </row>
    <row r="19" spans="1:20">
      <c r="A19" s="2131"/>
      <c r="B19" s="2142" t="s">
        <v>2288</v>
      </c>
      <c r="C19" s="2143"/>
      <c r="D19" s="2147">
        <v>19261.68</v>
      </c>
      <c r="E19" s="2166"/>
      <c r="F19" s="2148" t="s">
        <v>2304</v>
      </c>
      <c r="G19" s="2157"/>
      <c r="H19" s="2165">
        <v>1</v>
      </c>
      <c r="I19" s="2131"/>
      <c r="J19" s="2146"/>
      <c r="K19" s="2131"/>
      <c r="L19" s="2131"/>
      <c r="M19" s="2131"/>
      <c r="N19" s="2131"/>
      <c r="O19" s="2131"/>
      <c r="P19" s="2131"/>
      <c r="Q19" s="2131"/>
      <c r="R19" s="2131"/>
      <c r="S19" s="2131"/>
      <c r="T19" s="2131"/>
    </row>
    <row r="20" spans="1:20">
      <c r="A20" s="2131"/>
      <c r="B20" s="2142" t="s">
        <v>2289</v>
      </c>
      <c r="C20" s="2143"/>
      <c r="D20" s="2147">
        <v>14500000</v>
      </c>
      <c r="E20" s="2166"/>
      <c r="F20" s="2148" t="s">
        <v>2304</v>
      </c>
      <c r="G20" s="2157"/>
      <c r="H20" s="2165">
        <v>1</v>
      </c>
      <c r="I20" s="2131"/>
      <c r="J20" s="2146"/>
      <c r="K20" s="2131"/>
      <c r="L20" s="2131"/>
      <c r="M20" s="2131"/>
      <c r="N20" s="2131"/>
      <c r="O20" s="2131"/>
      <c r="P20" s="2131"/>
      <c r="Q20" s="2131"/>
      <c r="R20" s="2131"/>
      <c r="S20" s="2131"/>
      <c r="T20" s="2131"/>
    </row>
    <row r="21" spans="1:20">
      <c r="A21" s="2131"/>
      <c r="B21" s="2142" t="s">
        <v>2290</v>
      </c>
      <c r="C21" s="2143"/>
      <c r="D21" s="2147">
        <v>226579</v>
      </c>
      <c r="E21" s="2166"/>
      <c r="F21" s="2148" t="s">
        <v>2304</v>
      </c>
      <c r="G21" s="2157"/>
      <c r="H21" s="2165">
        <v>1</v>
      </c>
      <c r="I21" s="2131"/>
      <c r="J21" s="2146"/>
      <c r="K21" s="2131"/>
      <c r="L21" s="2131"/>
      <c r="M21" s="2131"/>
      <c r="N21" s="2131"/>
      <c r="O21" s="2131"/>
      <c r="P21" s="2131"/>
      <c r="Q21" s="2131"/>
      <c r="R21" s="2131"/>
      <c r="S21" s="2131"/>
      <c r="T21" s="2131"/>
    </row>
    <row r="22" spans="1:20">
      <c r="A22" s="2131"/>
      <c r="B22" s="2142" t="s">
        <v>2291</v>
      </c>
      <c r="C22" s="2143"/>
      <c r="D22" s="2147">
        <v>3314</v>
      </c>
      <c r="E22" s="2166"/>
      <c r="F22" s="2148" t="s">
        <v>2304</v>
      </c>
      <c r="G22" s="2157"/>
      <c r="H22" s="2165">
        <v>1</v>
      </c>
      <c r="I22" s="2131"/>
      <c r="J22" s="2146"/>
      <c r="K22" s="2131"/>
      <c r="L22" s="2131"/>
      <c r="M22" s="2131"/>
      <c r="N22" s="2131"/>
      <c r="O22" s="2131"/>
      <c r="P22" s="2131"/>
      <c r="Q22" s="2131"/>
      <c r="R22" s="2131"/>
      <c r="S22" s="2131"/>
      <c r="T22" s="2131"/>
    </row>
    <row r="23" spans="1:20">
      <c r="A23" s="2131"/>
      <c r="B23" s="2142" t="s">
        <v>2292</v>
      </c>
      <c r="C23" s="2143"/>
      <c r="D23" s="2147">
        <v>75184.42</v>
      </c>
      <c r="E23" s="2166"/>
      <c r="F23" s="2148" t="s">
        <v>2304</v>
      </c>
      <c r="G23" s="2167"/>
      <c r="H23" s="2165">
        <v>1</v>
      </c>
      <c r="I23" s="2131"/>
      <c r="J23" s="2146"/>
      <c r="K23" s="2131"/>
      <c r="L23" s="2131"/>
      <c r="M23" s="2131"/>
      <c r="N23" s="2131"/>
      <c r="O23" s="2131"/>
      <c r="P23" s="2131"/>
      <c r="Q23" s="2131"/>
      <c r="R23" s="2131"/>
      <c r="S23" s="2131"/>
      <c r="T23" s="2131"/>
    </row>
    <row r="24" spans="1:20">
      <c r="A24" s="2131"/>
      <c r="B24" s="2142" t="s">
        <v>2293</v>
      </c>
      <c r="C24" s="2143"/>
      <c r="D24" s="2147">
        <v>226579</v>
      </c>
      <c r="E24" s="2166"/>
      <c r="F24" s="2148" t="s">
        <v>2304</v>
      </c>
      <c r="G24" s="2157"/>
      <c r="H24" s="2165">
        <v>1</v>
      </c>
      <c r="I24" s="2131"/>
      <c r="J24" s="2146"/>
      <c r="K24" s="2131"/>
      <c r="L24" s="2131"/>
      <c r="M24" s="2131"/>
      <c r="N24" s="2131"/>
      <c r="O24" s="2131"/>
      <c r="P24" s="2131"/>
      <c r="Q24" s="2131"/>
      <c r="R24" s="2131"/>
      <c r="S24" s="2131"/>
      <c r="T24" s="2131"/>
    </row>
    <row r="25" spans="1:20">
      <c r="A25" s="2131"/>
      <c r="B25" s="2142" t="s">
        <v>2294</v>
      </c>
      <c r="C25" s="2143"/>
      <c r="D25" s="2147">
        <v>-9557</v>
      </c>
      <c r="E25" s="2166"/>
      <c r="F25" s="2148" t="s">
        <v>2304</v>
      </c>
      <c r="G25" s="2157"/>
      <c r="H25" s="2165">
        <v>1</v>
      </c>
      <c r="I25" s="2131"/>
      <c r="J25" s="2146"/>
      <c r="K25" s="2131"/>
      <c r="L25" s="2131"/>
      <c r="M25" s="2131"/>
      <c r="N25" s="2131"/>
      <c r="O25" s="2131"/>
      <c r="P25" s="2131"/>
      <c r="Q25" s="2131"/>
      <c r="R25" s="2131"/>
      <c r="S25" s="2131"/>
      <c r="T25" s="2131"/>
    </row>
    <row r="26" spans="1:20">
      <c r="A26" s="2131"/>
      <c r="B26" s="2142" t="s">
        <v>2295</v>
      </c>
      <c r="C26" s="2143"/>
      <c r="D26" s="2147">
        <v>9390</v>
      </c>
      <c r="E26" s="2166"/>
      <c r="F26" s="2148" t="s">
        <v>2304</v>
      </c>
      <c r="G26" s="2157"/>
      <c r="H26" s="2165">
        <v>1</v>
      </c>
      <c r="I26" s="2131"/>
      <c r="J26" s="2146"/>
      <c r="K26" s="2131"/>
      <c r="L26" s="2131"/>
      <c r="M26" s="2131"/>
      <c r="N26" s="2131"/>
      <c r="O26" s="2131"/>
      <c r="P26" s="2131"/>
      <c r="Q26" s="2131"/>
      <c r="R26" s="2131"/>
      <c r="S26" s="2131"/>
      <c r="T26" s="2131"/>
    </row>
    <row r="27" spans="1:20">
      <c r="A27" s="2131"/>
      <c r="B27" s="2142" t="s">
        <v>2296</v>
      </c>
      <c r="C27" s="2143"/>
      <c r="D27" s="2147">
        <v>27091.402999999998</v>
      </c>
      <c r="E27" s="2166"/>
      <c r="F27" s="2148" t="s">
        <v>2304</v>
      </c>
      <c r="G27" s="2167"/>
      <c r="H27" s="2165">
        <v>1</v>
      </c>
      <c r="I27" s="2131"/>
      <c r="J27" s="2146"/>
      <c r="K27" s="2131"/>
      <c r="L27" s="2131"/>
      <c r="M27" s="2131"/>
      <c r="N27" s="2131"/>
      <c r="O27" s="2131"/>
      <c r="P27" s="2131"/>
      <c r="Q27" s="2131"/>
      <c r="R27" s="2131"/>
      <c r="S27" s="2131"/>
      <c r="T27" s="2131"/>
    </row>
    <row r="28" spans="1:20">
      <c r="A28" s="2131"/>
      <c r="B28" s="2142" t="s">
        <v>2297</v>
      </c>
      <c r="C28" s="2143"/>
      <c r="D28" s="2144" t="s">
        <v>991</v>
      </c>
      <c r="E28" s="2166"/>
      <c r="F28" s="2148">
        <f>'Att 9b - 2015 True-up'!U23</f>
        <v>512.19499999999982</v>
      </c>
      <c r="G28" s="2157"/>
      <c r="H28" s="2165">
        <v>0</v>
      </c>
      <c r="I28" s="2131"/>
      <c r="J28" s="2345" t="s">
        <v>1725</v>
      </c>
      <c r="K28" s="2131"/>
      <c r="L28" s="2131"/>
      <c r="M28" s="2131"/>
      <c r="N28" s="2131"/>
      <c r="O28" s="2131"/>
      <c r="P28" s="2131"/>
      <c r="Q28" s="2131"/>
      <c r="R28" s="2131"/>
      <c r="S28" s="2131"/>
      <c r="T28" s="2131"/>
    </row>
    <row r="29" spans="1:20">
      <c r="A29" s="2131"/>
      <c r="B29" s="2142" t="s">
        <v>2298</v>
      </c>
      <c r="C29" s="2143"/>
      <c r="D29" s="2144" t="s">
        <v>991</v>
      </c>
      <c r="E29" s="2166"/>
      <c r="F29" s="2148">
        <f>'Att 9b - 2015 True-up'!V23</f>
        <v>103.80991666666669</v>
      </c>
      <c r="G29" s="2157"/>
      <c r="H29" s="2165">
        <v>0</v>
      </c>
      <c r="I29" s="2131"/>
      <c r="J29" s="2345" t="s">
        <v>1725</v>
      </c>
      <c r="K29" s="2131"/>
      <c r="L29" s="2131"/>
      <c r="M29" s="2131"/>
      <c r="N29" s="2131"/>
      <c r="O29" s="2131"/>
      <c r="P29" s="2131"/>
      <c r="Q29" s="2131"/>
      <c r="R29" s="2131"/>
      <c r="S29" s="2131"/>
      <c r="T29" s="2131"/>
    </row>
    <row r="30" spans="1:20">
      <c r="A30" s="2131"/>
      <c r="B30" s="2142" t="s">
        <v>2299</v>
      </c>
      <c r="C30" s="2143"/>
      <c r="D30" s="2147">
        <v>119700</v>
      </c>
      <c r="E30" s="2166"/>
      <c r="F30" s="2148" t="s">
        <v>2304</v>
      </c>
      <c r="G30" s="2157"/>
      <c r="H30" s="2165">
        <v>1</v>
      </c>
      <c r="I30" s="2131"/>
      <c r="J30" s="2146"/>
      <c r="K30" s="2131"/>
      <c r="L30" s="2131"/>
      <c r="M30" s="2131"/>
      <c r="N30" s="2131"/>
      <c r="O30" s="2131"/>
      <c r="P30" s="2131"/>
      <c r="Q30" s="2131"/>
      <c r="R30" s="2131"/>
      <c r="S30" s="2131"/>
      <c r="T30" s="2131"/>
    </row>
    <row r="31" spans="1:20">
      <c r="A31" s="2131"/>
      <c r="B31" s="2142" t="s">
        <v>2300</v>
      </c>
      <c r="C31" s="2143"/>
      <c r="D31" s="2144" t="s">
        <v>991</v>
      </c>
      <c r="E31" s="2166"/>
      <c r="F31" s="2148">
        <v>330</v>
      </c>
      <c r="G31" s="2157"/>
      <c r="H31" s="2165">
        <v>0</v>
      </c>
      <c r="I31" s="2131"/>
      <c r="J31" s="2345" t="s">
        <v>1944</v>
      </c>
      <c r="K31" s="2131"/>
      <c r="L31" s="2131"/>
      <c r="M31" s="2131"/>
      <c r="N31" s="2131"/>
      <c r="O31" s="2131"/>
      <c r="P31" s="2131"/>
      <c r="Q31" s="2131"/>
      <c r="R31" s="2131"/>
      <c r="S31" s="2131"/>
      <c r="T31" s="2131"/>
    </row>
    <row r="32" spans="1:20">
      <c r="A32" s="2131"/>
      <c r="B32" s="2142" t="s">
        <v>2301</v>
      </c>
      <c r="C32" s="2143"/>
      <c r="D32" s="2147">
        <v>600000</v>
      </c>
      <c r="E32" s="2166"/>
      <c r="F32" s="2148" t="s">
        <v>2304</v>
      </c>
      <c r="G32" s="2157"/>
      <c r="H32" s="2165">
        <v>1</v>
      </c>
      <c r="I32" s="2131"/>
      <c r="J32" s="2146"/>
      <c r="K32" s="2131"/>
      <c r="L32" s="2131"/>
      <c r="M32" s="2131"/>
      <c r="N32" s="2131"/>
      <c r="O32" s="2131"/>
      <c r="P32" s="2131"/>
      <c r="Q32" s="2131"/>
      <c r="R32" s="2131"/>
      <c r="S32" s="2131"/>
      <c r="T32" s="2131"/>
    </row>
    <row r="33" spans="1:20">
      <c r="A33" s="2131"/>
      <c r="B33" s="2142" t="s">
        <v>2302</v>
      </c>
      <c r="C33" s="2143"/>
      <c r="D33" s="2147">
        <v>57145.619999999995</v>
      </c>
      <c r="E33" s="2166"/>
      <c r="F33" s="2148" t="s">
        <v>2304</v>
      </c>
      <c r="G33" s="2157"/>
      <c r="H33" s="2165">
        <v>1</v>
      </c>
      <c r="I33" s="2131"/>
      <c r="J33" s="2146"/>
      <c r="K33" s="2131"/>
      <c r="L33" s="2131"/>
      <c r="M33" s="2131"/>
      <c r="N33" s="2131"/>
      <c r="O33" s="2131"/>
      <c r="P33" s="2131"/>
      <c r="Q33" s="2131"/>
      <c r="R33" s="2131"/>
      <c r="S33" s="2131"/>
      <c r="T33" s="2131"/>
    </row>
    <row r="34" spans="1:20">
      <c r="A34" s="2131"/>
      <c r="B34" s="2142" t="s">
        <v>2303</v>
      </c>
      <c r="C34" s="2143"/>
      <c r="D34" s="2144">
        <v>88995.434999999998</v>
      </c>
      <c r="E34" s="2166"/>
      <c r="F34" s="2148" t="s">
        <v>2304</v>
      </c>
      <c r="G34" s="2157"/>
      <c r="H34" s="2165">
        <v>1</v>
      </c>
      <c r="I34" s="2131"/>
      <c r="J34" s="2345" t="s">
        <v>1728</v>
      </c>
      <c r="K34" s="2131"/>
      <c r="L34" s="2131"/>
      <c r="M34" s="2131"/>
      <c r="N34" s="2131"/>
      <c r="O34" s="2131"/>
      <c r="P34" s="2131"/>
      <c r="Q34" s="2131"/>
      <c r="R34" s="2131"/>
      <c r="S34" s="2131"/>
      <c r="T34" s="2131"/>
    </row>
    <row r="35" spans="1:20">
      <c r="A35" s="2131"/>
      <c r="B35" s="2149" t="s">
        <v>1117</v>
      </c>
      <c r="C35" s="2131"/>
      <c r="D35" s="2150">
        <f>SUM(D10:D34)</f>
        <v>23548070.368000001</v>
      </c>
      <c r="E35" s="2151"/>
      <c r="F35" s="2152">
        <f>SUM(F10:F34)</f>
        <v>1052.2441666666664</v>
      </c>
      <c r="G35" s="2131"/>
      <c r="H35" s="2131"/>
      <c r="I35" s="2131"/>
      <c r="J35" s="2345" t="s">
        <v>1090</v>
      </c>
      <c r="K35" s="2131"/>
      <c r="L35" s="2131"/>
      <c r="M35" s="2131"/>
      <c r="N35" s="2131"/>
      <c r="O35" s="2131"/>
      <c r="P35" s="2131"/>
      <c r="Q35" s="2131"/>
      <c r="R35" s="2131"/>
      <c r="S35" s="2131"/>
      <c r="T35" s="2131"/>
    </row>
    <row r="36" spans="1:20">
      <c r="A36" s="2131"/>
      <c r="B36" s="2143"/>
      <c r="C36" s="2131"/>
      <c r="D36" s="436"/>
      <c r="E36" s="436"/>
      <c r="F36" s="436"/>
      <c r="G36" s="436"/>
      <c r="H36" s="436"/>
      <c r="I36" s="436"/>
      <c r="J36" s="436"/>
      <c r="K36" s="436"/>
      <c r="L36" s="436"/>
      <c r="M36" s="2131"/>
      <c r="N36" s="2131"/>
      <c r="O36" s="2131"/>
      <c r="P36" s="2131"/>
      <c r="Q36" s="2131"/>
      <c r="R36" s="2131"/>
      <c r="S36" s="2131"/>
      <c r="T36" s="2131"/>
    </row>
    <row r="37" spans="1:20">
      <c r="A37" s="2131"/>
      <c r="B37" s="2131"/>
      <c r="C37" s="2131"/>
      <c r="D37" s="2131"/>
      <c r="E37" s="2131"/>
      <c r="F37" s="2131"/>
      <c r="G37" s="2131"/>
      <c r="H37" s="2131"/>
      <c r="I37" s="2131"/>
      <c r="J37" s="2131"/>
      <c r="K37" s="2131"/>
      <c r="L37" s="2131"/>
      <c r="M37" s="2131"/>
      <c r="N37" s="2131"/>
      <c r="O37" s="2131"/>
      <c r="P37" s="2131"/>
      <c r="Q37" s="2131"/>
      <c r="R37" s="2131"/>
      <c r="S37" s="2131"/>
      <c r="T37" s="2131"/>
    </row>
    <row r="38" spans="1:20" ht="15.75">
      <c r="A38" s="2136" t="s">
        <v>1002</v>
      </c>
      <c r="B38" s="2137"/>
      <c r="C38" s="2131"/>
      <c r="D38" s="2131"/>
      <c r="E38" s="2131"/>
      <c r="F38" s="2131"/>
      <c r="G38" s="2131"/>
      <c r="H38" s="2131"/>
      <c r="I38" s="2131"/>
      <c r="J38" s="2131"/>
      <c r="K38" s="2131"/>
      <c r="L38" s="2131"/>
      <c r="M38" s="2131"/>
      <c r="N38" s="2131"/>
      <c r="O38" s="2131"/>
      <c r="P38" s="2131"/>
      <c r="Q38" s="2131"/>
      <c r="R38" s="2131"/>
      <c r="S38" s="2131"/>
      <c r="T38" s="2131"/>
    </row>
    <row r="39" spans="1:20">
      <c r="A39" s="2131"/>
      <c r="B39" s="2131"/>
      <c r="C39" s="2131"/>
      <c r="D39" s="2131"/>
      <c r="E39" s="2131"/>
      <c r="F39" s="2131"/>
      <c r="G39" s="2131"/>
      <c r="H39" s="2131"/>
      <c r="I39" s="2131"/>
      <c r="J39" s="2131"/>
      <c r="M39" s="2131"/>
      <c r="N39" s="2131"/>
      <c r="O39" s="2131"/>
      <c r="P39" s="2131"/>
      <c r="Q39" s="2131"/>
      <c r="R39" s="2131"/>
      <c r="S39" s="2131"/>
      <c r="T39" s="2131"/>
    </row>
    <row r="40" spans="1:20">
      <c r="A40" s="2131"/>
      <c r="B40" s="2135" t="s">
        <v>646</v>
      </c>
      <c r="C40" s="2143"/>
      <c r="D40" s="2131"/>
      <c r="E40" s="2131"/>
      <c r="F40" s="2131"/>
      <c r="G40" s="2131"/>
      <c r="H40" s="2131"/>
      <c r="I40" s="2131"/>
      <c r="J40" s="2131"/>
      <c r="M40" s="2131"/>
      <c r="N40" s="2131"/>
      <c r="O40" s="2131"/>
      <c r="P40" s="2131"/>
      <c r="Q40" s="2131"/>
      <c r="R40" s="2131"/>
      <c r="S40" s="2131"/>
      <c r="T40" s="2131"/>
    </row>
    <row r="41" spans="1:20">
      <c r="A41" s="2131"/>
      <c r="B41" s="2153" t="s">
        <v>1004</v>
      </c>
      <c r="C41" s="2143"/>
      <c r="D41" s="2154">
        <v>30555056.850000001</v>
      </c>
      <c r="E41" s="2131"/>
      <c r="F41" s="2135"/>
      <c r="G41" s="2135"/>
      <c r="H41" s="2131"/>
      <c r="I41" s="2131"/>
      <c r="J41" s="2131"/>
      <c r="M41" s="2131"/>
      <c r="N41" s="2131"/>
      <c r="O41" s="2131"/>
      <c r="P41" s="2131"/>
      <c r="Q41" s="2131"/>
      <c r="R41" s="2131"/>
      <c r="S41" s="2131"/>
      <c r="T41" s="2131"/>
    </row>
    <row r="42" spans="1:20">
      <c r="A42" s="2131"/>
      <c r="B42" s="2153" t="s">
        <v>999</v>
      </c>
      <c r="C42" s="2143"/>
      <c r="D42" s="2155">
        <v>1797181.22</v>
      </c>
      <c r="E42" s="2131"/>
      <c r="F42" s="2131"/>
      <c r="G42" s="2131"/>
      <c r="H42" s="2131"/>
      <c r="I42" s="2131"/>
      <c r="J42" s="2131"/>
      <c r="M42" s="2131"/>
      <c r="N42" s="2131"/>
      <c r="O42" s="2131"/>
      <c r="P42" s="2131"/>
      <c r="Q42" s="2131"/>
      <c r="R42" s="2131"/>
      <c r="S42" s="2131"/>
      <c r="T42" s="2131"/>
    </row>
    <row r="43" spans="1:20">
      <c r="A43" s="2131"/>
      <c r="B43" s="2156" t="s">
        <v>1000</v>
      </c>
      <c r="C43" s="2143"/>
      <c r="D43" s="2157">
        <f>+D41+D42</f>
        <v>32352238.07</v>
      </c>
      <c r="E43" s="2131"/>
      <c r="F43" s="2131"/>
      <c r="G43" s="2131"/>
      <c r="H43" s="2131"/>
      <c r="I43" s="2131"/>
      <c r="J43" s="2131"/>
      <c r="M43" s="2131"/>
      <c r="N43" s="2131"/>
      <c r="O43" s="2131"/>
      <c r="P43" s="2131"/>
      <c r="Q43" s="2131"/>
      <c r="R43" s="2131"/>
      <c r="S43" s="2131"/>
      <c r="T43" s="2131"/>
    </row>
    <row r="44" spans="1:20">
      <c r="A44" s="2131"/>
      <c r="B44" s="2131"/>
      <c r="C44" s="2143"/>
      <c r="D44" s="2158"/>
      <c r="E44" s="2131"/>
      <c r="F44" s="2131"/>
      <c r="G44" s="2131"/>
      <c r="H44" s="2131"/>
      <c r="I44" s="2131"/>
      <c r="J44" s="2131"/>
      <c r="M44" s="2131"/>
      <c r="N44" s="2131"/>
      <c r="O44" s="2131"/>
      <c r="P44" s="2131"/>
      <c r="Q44" s="2131"/>
      <c r="R44" s="2131"/>
      <c r="S44" s="2131"/>
      <c r="T44" s="2131"/>
    </row>
    <row r="45" spans="1:20">
      <c r="A45" s="2131"/>
      <c r="B45" s="2135" t="s">
        <v>647</v>
      </c>
      <c r="C45" s="2143"/>
      <c r="D45" s="2131"/>
      <c r="E45" s="2131"/>
      <c r="F45" s="2131"/>
      <c r="G45" s="2131"/>
      <c r="H45" s="2131"/>
      <c r="I45" s="2131"/>
      <c r="J45" s="2131"/>
      <c r="M45" s="2131"/>
      <c r="N45" s="2131"/>
      <c r="O45" s="2131"/>
      <c r="P45" s="2131"/>
      <c r="Q45" s="2131"/>
      <c r="R45" s="2131"/>
      <c r="S45" s="2131"/>
      <c r="T45" s="2131"/>
    </row>
    <row r="46" spans="1:20">
      <c r="A46" s="2131"/>
      <c r="B46" s="2153" t="s">
        <v>1004</v>
      </c>
      <c r="C46" s="2143"/>
      <c r="D46" s="2154">
        <v>80250506.769999996</v>
      </c>
      <c r="E46" s="2131"/>
      <c r="F46" s="2135"/>
      <c r="G46" s="2135"/>
      <c r="H46" s="2131"/>
      <c r="I46" s="2131"/>
      <c r="J46" s="2131"/>
      <c r="M46" s="2131"/>
      <c r="N46" s="2131"/>
      <c r="O46" s="2131"/>
      <c r="P46" s="2131"/>
      <c r="Q46" s="2131"/>
      <c r="R46" s="2131"/>
      <c r="S46" s="2131"/>
      <c r="T46" s="2131"/>
    </row>
    <row r="47" spans="1:20">
      <c r="A47" s="2131"/>
      <c r="B47" s="2153" t="s">
        <v>999</v>
      </c>
      <c r="C47" s="2143"/>
      <c r="D47" s="2155">
        <v>8325398.2699999996</v>
      </c>
      <c r="E47" s="2131"/>
      <c r="F47" s="2131"/>
      <c r="G47" s="2131"/>
      <c r="H47" s="2131"/>
      <c r="I47" s="2131"/>
      <c r="J47" s="2131"/>
      <c r="M47" s="2131"/>
      <c r="N47" s="2131"/>
      <c r="O47" s="2131"/>
      <c r="P47" s="2131"/>
      <c r="Q47" s="2131"/>
      <c r="R47" s="2131"/>
      <c r="S47" s="2131"/>
      <c r="T47" s="2131"/>
    </row>
    <row r="48" spans="1:20">
      <c r="A48" s="2131"/>
      <c r="B48" s="2156" t="s">
        <v>1001</v>
      </c>
      <c r="C48" s="2143"/>
      <c r="D48" s="2157">
        <f>+D47+D46</f>
        <v>88575905.039999992</v>
      </c>
      <c r="E48" s="2131"/>
      <c r="F48" s="2131"/>
      <c r="G48" s="2131"/>
      <c r="H48" s="2131"/>
      <c r="I48" s="2131"/>
      <c r="J48" s="2131"/>
      <c r="M48" s="2131"/>
      <c r="N48" s="2131"/>
      <c r="O48" s="2131"/>
      <c r="P48" s="2131"/>
      <c r="Q48" s="2131"/>
      <c r="R48" s="2131"/>
      <c r="S48" s="2131"/>
      <c r="T48" s="2131"/>
    </row>
    <row r="49" spans="1:20">
      <c r="A49" s="2131"/>
      <c r="B49" s="2131"/>
      <c r="C49" s="2143"/>
      <c r="D49" s="2131"/>
      <c r="E49" s="2131"/>
      <c r="F49" s="2131"/>
      <c r="G49" s="2131"/>
      <c r="H49" s="2131"/>
      <c r="I49" s="2131"/>
      <c r="J49" s="2131"/>
      <c r="M49" s="2131"/>
      <c r="N49" s="2131"/>
      <c r="O49" s="2131"/>
      <c r="P49" s="2131"/>
      <c r="Q49" s="2131"/>
      <c r="R49" s="2131"/>
      <c r="S49" s="2131"/>
      <c r="T49" s="2131"/>
    </row>
    <row r="50" spans="1:20">
      <c r="A50" s="2131"/>
      <c r="B50" s="2131"/>
      <c r="C50" s="2143"/>
      <c r="D50" s="2131"/>
      <c r="E50" s="2131"/>
      <c r="F50" s="2131"/>
      <c r="G50" s="2131"/>
      <c r="H50" s="2131"/>
      <c r="I50" s="2131"/>
      <c r="J50" s="2131"/>
      <c r="M50" s="2131"/>
      <c r="N50" s="2131"/>
      <c r="O50" s="2131"/>
      <c r="P50" s="2131"/>
      <c r="Q50" s="2131"/>
      <c r="R50" s="2131"/>
      <c r="S50" s="2131"/>
      <c r="T50" s="2131"/>
    </row>
    <row r="51" spans="1:20" ht="15.75">
      <c r="A51" s="2136" t="s">
        <v>1017</v>
      </c>
      <c r="B51" s="2135"/>
      <c r="C51" s="2143"/>
      <c r="D51" s="2131"/>
      <c r="E51" s="2131"/>
      <c r="F51" s="2131"/>
      <c r="G51" s="2131"/>
      <c r="H51" s="2131"/>
      <c r="I51" s="2131"/>
      <c r="J51" s="2131"/>
      <c r="M51" s="2131"/>
      <c r="N51" s="2131"/>
      <c r="O51" s="2131"/>
      <c r="P51" s="2131"/>
      <c r="Q51" s="2131"/>
      <c r="R51" s="2131"/>
      <c r="S51" s="2131"/>
      <c r="T51" s="2131"/>
    </row>
    <row r="52" spans="1:20">
      <c r="A52" s="2131"/>
      <c r="B52" s="2153" t="s">
        <v>1004</v>
      </c>
      <c r="C52" s="2143"/>
      <c r="D52" s="2157">
        <f>SUM(D41,D46)</f>
        <v>110805563.62</v>
      </c>
      <c r="E52" s="2131"/>
      <c r="F52" s="2131"/>
      <c r="G52" s="2131"/>
      <c r="H52" s="2131"/>
      <c r="I52" s="2131"/>
      <c r="J52" s="2131"/>
      <c r="M52" s="2131"/>
      <c r="N52" s="2131"/>
      <c r="O52" s="2131"/>
      <c r="P52" s="2131"/>
      <c r="Q52" s="2131"/>
      <c r="R52" s="2131"/>
      <c r="S52" s="2131"/>
      <c r="T52" s="2131"/>
    </row>
    <row r="53" spans="1:20">
      <c r="A53" s="2131"/>
      <c r="B53" s="2153" t="s">
        <v>999</v>
      </c>
      <c r="C53" s="2143"/>
      <c r="D53" s="2157">
        <f>SUM(D42,D47)</f>
        <v>10122579.49</v>
      </c>
      <c r="E53" s="2131"/>
      <c r="F53" s="436"/>
      <c r="G53" s="2135"/>
      <c r="H53" s="2131"/>
      <c r="I53" s="2131"/>
      <c r="J53" s="2131"/>
      <c r="M53" s="2131"/>
      <c r="N53" s="2131"/>
      <c r="O53" s="2131"/>
      <c r="P53" s="2131"/>
      <c r="Q53" s="2131"/>
      <c r="R53" s="2131"/>
      <c r="S53" s="2131"/>
      <c r="T53" s="2131"/>
    </row>
    <row r="54" spans="1:20">
      <c r="A54" s="2131"/>
      <c r="B54" s="2159" t="s">
        <v>1118</v>
      </c>
      <c r="C54" s="2143"/>
      <c r="D54" s="2160">
        <f>SUM(D52:D53)</f>
        <v>120928143.11</v>
      </c>
      <c r="E54" s="2131"/>
      <c r="F54" s="436"/>
      <c r="G54" s="436"/>
      <c r="H54" s="436"/>
      <c r="I54" s="436"/>
      <c r="J54" s="2146" t="s">
        <v>1090</v>
      </c>
      <c r="M54" s="2131"/>
      <c r="N54" s="2131"/>
      <c r="O54" s="2131"/>
      <c r="P54" s="2131"/>
      <c r="Q54" s="2131"/>
      <c r="R54" s="2131"/>
      <c r="S54" s="2131"/>
      <c r="T54" s="2131"/>
    </row>
    <row r="55" spans="1:20">
      <c r="C55" s="2161"/>
      <c r="G55" s="2162"/>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topLeftCell="C1" zoomScale="85" zoomScaleNormal="85" workbookViewId="0">
      <selection activeCell="O10" sqref="O10"/>
    </sheetView>
  </sheetViews>
  <sheetFormatPr defaultRowHeight="12.75"/>
  <cols>
    <col min="1" max="1" width="12.7109375" style="882" customWidth="1"/>
    <col min="2" max="3" width="17.28515625" style="882" customWidth="1"/>
    <col min="4" max="4" width="56.28515625" style="882" bestFit="1" customWidth="1"/>
    <col min="5" max="5" width="30.42578125" style="882" bestFit="1" customWidth="1"/>
    <col min="6" max="13" width="14.7109375" style="882"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2" bestFit="1" customWidth="1"/>
    <col min="26" max="16384" width="9.140625" style="882"/>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1123</v>
      </c>
      <c r="B2" s="600"/>
      <c r="C2" s="600"/>
      <c r="D2" s="482"/>
      <c r="E2" s="482"/>
      <c r="F2" s="482"/>
      <c r="G2" s="482"/>
      <c r="H2" s="482"/>
      <c r="I2" s="482"/>
      <c r="J2" s="482"/>
      <c r="K2" s="486"/>
      <c r="L2" s="486"/>
      <c r="M2" s="486"/>
      <c r="N2" s="487"/>
      <c r="O2" s="486"/>
      <c r="P2" s="486"/>
      <c r="Q2" s="486"/>
      <c r="R2" s="486"/>
    </row>
    <row r="3" spans="1:22" s="434" customFormat="1" ht="15.75" thickBot="1">
      <c r="A3" s="1075"/>
      <c r="B3" s="488"/>
      <c r="C3" s="488"/>
      <c r="D3" s="488"/>
      <c r="E3" s="488"/>
      <c r="F3" s="488"/>
      <c r="G3" s="488"/>
      <c r="H3" s="489"/>
      <c r="I3" s="489"/>
      <c r="J3" s="486"/>
      <c r="K3" s="486"/>
      <c r="L3" s="486"/>
      <c r="M3" s="486"/>
      <c r="N3" s="487"/>
      <c r="O3" s="486"/>
      <c r="P3" s="486"/>
      <c r="Q3" s="486"/>
      <c r="R3" s="486"/>
    </row>
    <row r="4" spans="1:22" ht="26.25" thickBot="1">
      <c r="D4" s="481"/>
      <c r="F4" s="713" t="s">
        <v>1007</v>
      </c>
      <c r="G4" s="714" t="s">
        <v>1008</v>
      </c>
      <c r="H4" s="715"/>
      <c r="I4" s="716"/>
      <c r="J4" s="716"/>
      <c r="K4" s="715"/>
      <c r="L4" s="716"/>
      <c r="M4" s="716"/>
      <c r="N4" s="717"/>
      <c r="O4" s="718"/>
      <c r="P4" s="718"/>
      <c r="Q4" s="718"/>
      <c r="R4" s="719"/>
    </row>
    <row r="5" spans="1:22" ht="84" customHeight="1" thickBot="1">
      <c r="A5" s="689" t="s">
        <v>929</v>
      </c>
      <c r="B5" s="694" t="s">
        <v>1045</v>
      </c>
      <c r="C5" s="694" t="s">
        <v>1053</v>
      </c>
      <c r="D5" s="1723" t="s">
        <v>983</v>
      </c>
      <c r="E5" s="1724" t="s">
        <v>526</v>
      </c>
      <c r="F5" s="1725" t="s">
        <v>358</v>
      </c>
      <c r="G5" s="1726" t="s">
        <v>350</v>
      </c>
      <c r="H5" s="1727" t="s">
        <v>351</v>
      </c>
      <c r="I5" s="1727" t="s">
        <v>352</v>
      </c>
      <c r="J5" s="1727" t="s">
        <v>143</v>
      </c>
      <c r="K5" s="1727" t="s">
        <v>144</v>
      </c>
      <c r="L5" s="1727" t="s">
        <v>145</v>
      </c>
      <c r="M5" s="1727" t="s">
        <v>353</v>
      </c>
      <c r="N5" s="1727" t="s">
        <v>354</v>
      </c>
      <c r="O5" s="1727" t="s">
        <v>355</v>
      </c>
      <c r="P5" s="1727" t="s">
        <v>356</v>
      </c>
      <c r="Q5" s="1727" t="s">
        <v>357</v>
      </c>
      <c r="R5" s="1728" t="s">
        <v>358</v>
      </c>
      <c r="S5" s="882"/>
      <c r="T5" s="882"/>
      <c r="U5" s="882"/>
      <c r="V5" s="882"/>
    </row>
    <row r="6" spans="1:22" ht="14.25" customHeight="1">
      <c r="A6" s="690">
        <v>86</v>
      </c>
      <c r="B6" s="695" t="s">
        <v>912</v>
      </c>
      <c r="C6" s="752">
        <f>AVERAGE(F6:R6)</f>
        <v>7111415153.8461542</v>
      </c>
      <c r="D6" s="1729" t="s">
        <v>725</v>
      </c>
      <c r="E6" s="1730" t="s">
        <v>915</v>
      </c>
      <c r="F6" s="1751">
        <v>7031538000</v>
      </c>
      <c r="G6" s="1731">
        <v>7031538000</v>
      </c>
      <c r="H6" s="1731">
        <v>7031538000</v>
      </c>
      <c r="I6" s="1731">
        <v>7031538000</v>
      </c>
      <c r="J6" s="1731">
        <v>7031538000</v>
      </c>
      <c r="K6" s="1731">
        <v>7031538000</v>
      </c>
      <c r="L6" s="1731">
        <v>7281538000</v>
      </c>
      <c r="M6" s="1731">
        <v>7166538000</v>
      </c>
      <c r="N6" s="1731">
        <v>7166538000</v>
      </c>
      <c r="O6" s="1731">
        <v>7166538000</v>
      </c>
      <c r="P6" s="1731">
        <v>7159339000</v>
      </c>
      <c r="Q6" s="1731">
        <v>7159339000</v>
      </c>
      <c r="R6" s="1732">
        <v>7159339000</v>
      </c>
      <c r="S6" s="882"/>
      <c r="T6" s="882"/>
      <c r="U6" s="882"/>
      <c r="V6" s="882"/>
    </row>
    <row r="7" spans="1:22" ht="14.25" customHeight="1">
      <c r="A7" s="691">
        <v>87</v>
      </c>
      <c r="B7" s="696" t="s">
        <v>912</v>
      </c>
      <c r="C7" s="753">
        <f t="shared" ref="C7:C14" si="0">AVERAGE(F7:R7)</f>
        <v>0</v>
      </c>
      <c r="D7" s="1733" t="s">
        <v>726</v>
      </c>
      <c r="E7" s="1734" t="s">
        <v>916</v>
      </c>
      <c r="F7" s="1752">
        <v>0</v>
      </c>
      <c r="G7" s="1735">
        <v>0</v>
      </c>
      <c r="H7" s="1735">
        <v>0</v>
      </c>
      <c r="I7" s="1735">
        <v>0</v>
      </c>
      <c r="J7" s="1735">
        <v>0</v>
      </c>
      <c r="K7" s="1735">
        <v>0</v>
      </c>
      <c r="L7" s="1735">
        <v>0</v>
      </c>
      <c r="M7" s="1735">
        <v>0</v>
      </c>
      <c r="N7" s="1735">
        <v>0</v>
      </c>
      <c r="O7" s="1735">
        <v>0</v>
      </c>
      <c r="P7" s="1735">
        <v>0</v>
      </c>
      <c r="Q7" s="1735">
        <v>0</v>
      </c>
      <c r="R7" s="1736">
        <v>0</v>
      </c>
      <c r="S7" s="882"/>
      <c r="T7" s="882"/>
      <c r="U7" s="882"/>
      <c r="V7" s="882"/>
    </row>
    <row r="8" spans="1:22" ht="14.25" customHeight="1">
      <c r="A8" s="691">
        <v>88</v>
      </c>
      <c r="B8" s="696" t="s">
        <v>912</v>
      </c>
      <c r="C8" s="753">
        <f t="shared" si="0"/>
        <v>0</v>
      </c>
      <c r="D8" s="1733" t="s">
        <v>727</v>
      </c>
      <c r="E8" s="1734" t="s">
        <v>710</v>
      </c>
      <c r="F8" s="1752">
        <v>0</v>
      </c>
      <c r="G8" s="1735">
        <v>0</v>
      </c>
      <c r="H8" s="1735">
        <v>0</v>
      </c>
      <c r="I8" s="1735">
        <v>0</v>
      </c>
      <c r="J8" s="1735">
        <v>0</v>
      </c>
      <c r="K8" s="1735">
        <v>0</v>
      </c>
      <c r="L8" s="1735">
        <v>0</v>
      </c>
      <c r="M8" s="1735">
        <v>0</v>
      </c>
      <c r="N8" s="1735">
        <v>0</v>
      </c>
      <c r="O8" s="1735">
        <v>0</v>
      </c>
      <c r="P8" s="1735">
        <v>0</v>
      </c>
      <c r="Q8" s="1735">
        <v>0</v>
      </c>
      <c r="R8" s="1737">
        <v>0</v>
      </c>
      <c r="S8" s="882"/>
      <c r="T8" s="882"/>
      <c r="U8" s="882"/>
      <c r="V8" s="882"/>
    </row>
    <row r="9" spans="1:22" ht="14.25" customHeight="1">
      <c r="A9" s="691">
        <v>89</v>
      </c>
      <c r="B9" s="696" t="s">
        <v>912</v>
      </c>
      <c r="C9" s="753">
        <f t="shared" si="0"/>
        <v>0</v>
      </c>
      <c r="D9" s="1733" t="s">
        <v>728</v>
      </c>
      <c r="E9" s="1734" t="s">
        <v>917</v>
      </c>
      <c r="F9" s="1752">
        <v>0</v>
      </c>
      <c r="G9" s="1735">
        <v>0</v>
      </c>
      <c r="H9" s="1735">
        <v>0</v>
      </c>
      <c r="I9" s="1735">
        <v>0</v>
      </c>
      <c r="J9" s="1735">
        <v>0</v>
      </c>
      <c r="K9" s="1735">
        <v>0</v>
      </c>
      <c r="L9" s="1735">
        <v>0</v>
      </c>
      <c r="M9" s="1735">
        <v>0</v>
      </c>
      <c r="N9" s="1735">
        <v>0</v>
      </c>
      <c r="O9" s="1735">
        <v>0</v>
      </c>
      <c r="P9" s="1735">
        <v>0</v>
      </c>
      <c r="Q9" s="1735">
        <v>0</v>
      </c>
      <c r="R9" s="1737">
        <v>0</v>
      </c>
      <c r="S9" s="882"/>
      <c r="T9" s="882"/>
      <c r="U9" s="882"/>
      <c r="V9" s="882"/>
    </row>
    <row r="10" spans="1:22" ht="14.25" customHeight="1">
      <c r="A10" s="691">
        <v>91</v>
      </c>
      <c r="B10" s="696" t="s">
        <v>912</v>
      </c>
      <c r="C10" s="753">
        <f t="shared" si="0"/>
        <v>12859624.381538462</v>
      </c>
      <c r="D10" s="1733" t="s">
        <v>730</v>
      </c>
      <c r="E10" s="1734" t="s">
        <v>1027</v>
      </c>
      <c r="F10" s="1752">
        <v>13185043.07</v>
      </c>
      <c r="G10" s="1735">
        <v>13102806.630000001</v>
      </c>
      <c r="H10" s="1735">
        <v>13020570.17</v>
      </c>
      <c r="I10" s="1735">
        <v>12938333.73</v>
      </c>
      <c r="J10" s="1735">
        <v>12856097.27</v>
      </c>
      <c r="K10" s="1735">
        <v>12773860.83</v>
      </c>
      <c r="L10" s="1735">
        <v>13011624.380000001</v>
      </c>
      <c r="M10" s="1735">
        <v>12926721.270000001</v>
      </c>
      <c r="N10" s="1735">
        <v>12841818.150000002</v>
      </c>
      <c r="O10" s="1735">
        <v>12756915.040000003</v>
      </c>
      <c r="P10" s="1735">
        <v>12672011.920000004</v>
      </c>
      <c r="Q10" s="1735">
        <v>12587108.810000004</v>
      </c>
      <c r="R10" s="701">
        <v>12502205.690000005</v>
      </c>
      <c r="S10" s="882"/>
      <c r="T10" s="882"/>
      <c r="U10" s="882"/>
      <c r="V10" s="882"/>
    </row>
    <row r="11" spans="1:22" ht="14.25" customHeight="1">
      <c r="A11" s="691">
        <v>92</v>
      </c>
      <c r="B11" s="696" t="s">
        <v>912</v>
      </c>
      <c r="C11" s="753">
        <f t="shared" si="0"/>
        <v>33577275.64692308</v>
      </c>
      <c r="D11" s="1738" t="s">
        <v>948</v>
      </c>
      <c r="E11" s="882" t="s">
        <v>1028</v>
      </c>
      <c r="F11" s="1752">
        <v>34036382.369999997</v>
      </c>
      <c r="G11" s="1735">
        <v>33785473.57</v>
      </c>
      <c r="H11" s="1735">
        <v>33534564.899999999</v>
      </c>
      <c r="I11" s="1735">
        <v>33283656.119999997</v>
      </c>
      <c r="J11" s="1735">
        <v>33032747.459999997</v>
      </c>
      <c r="K11" s="1735">
        <v>32781838.659999996</v>
      </c>
      <c r="L11" s="1735">
        <v>34181830.909999996</v>
      </c>
      <c r="M11" s="1735">
        <v>34085532.979999997</v>
      </c>
      <c r="N11" s="1735">
        <v>33919275.459999993</v>
      </c>
      <c r="O11" s="1735">
        <v>33860479.739999995</v>
      </c>
      <c r="P11" s="1735">
        <v>33597105.879999995</v>
      </c>
      <c r="Q11" s="1735">
        <v>33333731.909999996</v>
      </c>
      <c r="R11" s="1739">
        <v>33071963.449999996</v>
      </c>
      <c r="S11" s="882"/>
      <c r="T11" s="882"/>
      <c r="U11" s="882"/>
      <c r="V11" s="882"/>
    </row>
    <row r="12" spans="1:22" s="435" customFormat="1" ht="14.25" customHeight="1">
      <c r="A12" s="691">
        <v>93</v>
      </c>
      <c r="B12" s="696" t="s">
        <v>912</v>
      </c>
      <c r="C12" s="753">
        <f t="shared" si="0"/>
        <v>6751859.0884615397</v>
      </c>
      <c r="D12" s="1740" t="s">
        <v>884</v>
      </c>
      <c r="E12" s="882" t="s">
        <v>1029</v>
      </c>
      <c r="F12" s="1752">
        <v>7184006.0300000003</v>
      </c>
      <c r="G12" s="1735">
        <v>7108862.3900000006</v>
      </c>
      <c r="H12" s="1735">
        <v>7033718.870000001</v>
      </c>
      <c r="I12" s="1735">
        <v>6958575.2300000014</v>
      </c>
      <c r="J12" s="1735">
        <v>6883431.7100000009</v>
      </c>
      <c r="K12" s="1735">
        <v>6808288.0700000012</v>
      </c>
      <c r="L12" s="1735">
        <v>6733144.5500000007</v>
      </c>
      <c r="M12" s="1735">
        <v>6669586.120000001</v>
      </c>
      <c r="N12" s="1735">
        <v>6606027.8000000007</v>
      </c>
      <c r="O12" s="1735">
        <v>6542469.370000001</v>
      </c>
      <c r="P12" s="1735">
        <v>6478911.0600000015</v>
      </c>
      <c r="Q12" s="1735">
        <v>6415352.6300000018</v>
      </c>
      <c r="R12" s="1737">
        <v>6351794.3200000022</v>
      </c>
      <c r="S12" s="882"/>
      <c r="T12" s="882"/>
      <c r="U12" s="882"/>
    </row>
    <row r="13" spans="1:22" s="435" customFormat="1" ht="14.25" customHeight="1">
      <c r="A13" s="691">
        <v>94</v>
      </c>
      <c r="B13" s="696" t="s">
        <v>912</v>
      </c>
      <c r="C13" s="753">
        <f t="shared" si="0"/>
        <v>74612.771538461515</v>
      </c>
      <c r="D13" s="1733" t="s">
        <v>729</v>
      </c>
      <c r="E13" s="882" t="s">
        <v>1030</v>
      </c>
      <c r="F13" s="1752">
        <v>80125.72</v>
      </c>
      <c r="G13" s="1735">
        <v>79206.899999999994</v>
      </c>
      <c r="H13" s="1735">
        <v>78288.069999999992</v>
      </c>
      <c r="I13" s="1735">
        <v>77369.249999999985</v>
      </c>
      <c r="J13" s="1735">
        <v>76450.419999999984</v>
      </c>
      <c r="K13" s="1735">
        <v>75531.599999999977</v>
      </c>
      <c r="L13" s="1735">
        <v>74612.769999999975</v>
      </c>
      <c r="M13" s="1735">
        <v>73693.949999999968</v>
      </c>
      <c r="N13" s="1735">
        <v>72775.119999999966</v>
      </c>
      <c r="O13" s="1735">
        <v>71856.289999999964</v>
      </c>
      <c r="P13" s="1735">
        <v>70937.469999999958</v>
      </c>
      <c r="Q13" s="1735">
        <v>70018.649999999951</v>
      </c>
      <c r="R13" s="1737">
        <v>69099.819999999949</v>
      </c>
      <c r="S13" s="882"/>
      <c r="T13" s="882"/>
      <c r="U13" s="882"/>
    </row>
    <row r="14" spans="1:22" s="435" customFormat="1" ht="14.25" customHeight="1">
      <c r="A14" s="691">
        <v>95</v>
      </c>
      <c r="B14" s="696" t="s">
        <v>912</v>
      </c>
      <c r="C14" s="753">
        <f t="shared" si="0"/>
        <v>0</v>
      </c>
      <c r="D14" s="1740" t="s">
        <v>731</v>
      </c>
      <c r="E14" s="882" t="s">
        <v>1031</v>
      </c>
      <c r="F14" s="1752">
        <v>0</v>
      </c>
      <c r="G14" s="1735">
        <v>0</v>
      </c>
      <c r="H14" s="1735">
        <v>0</v>
      </c>
      <c r="I14" s="1735">
        <v>0</v>
      </c>
      <c r="J14" s="1735">
        <v>0</v>
      </c>
      <c r="K14" s="1735">
        <v>0</v>
      </c>
      <c r="L14" s="1735">
        <v>0</v>
      </c>
      <c r="M14" s="1735">
        <v>0</v>
      </c>
      <c r="N14" s="1735">
        <v>0</v>
      </c>
      <c r="O14" s="1735">
        <v>0</v>
      </c>
      <c r="P14" s="1735">
        <v>0</v>
      </c>
      <c r="Q14" s="1735">
        <v>0</v>
      </c>
      <c r="R14" s="1737">
        <v>0</v>
      </c>
      <c r="S14" s="882"/>
      <c r="T14" s="1741"/>
    </row>
    <row r="15" spans="1:22" ht="25.5">
      <c r="A15" s="691">
        <v>97</v>
      </c>
      <c r="B15" s="696" t="s">
        <v>913</v>
      </c>
      <c r="C15" s="753">
        <f t="shared" ref="C15:C20" si="1">SUM(G15:R15)</f>
        <v>356471778.42000002</v>
      </c>
      <c r="D15" s="1742" t="s">
        <v>1056</v>
      </c>
      <c r="E15" s="1743" t="s">
        <v>1026</v>
      </c>
      <c r="F15" s="1752">
        <v>29540747.180000007</v>
      </c>
      <c r="G15" s="1735">
        <v>29505038.220000003</v>
      </c>
      <c r="H15" s="1735">
        <v>29502160.300000001</v>
      </c>
      <c r="I15" s="1735">
        <v>29475454.77</v>
      </c>
      <c r="J15" s="1735">
        <v>29360205.370000001</v>
      </c>
      <c r="K15" s="1735">
        <v>29387644.16</v>
      </c>
      <c r="L15" s="1735">
        <v>29652862.190000001</v>
      </c>
      <c r="M15" s="1735">
        <v>29960154.920000002</v>
      </c>
      <c r="N15" s="1735">
        <v>29955085.079999998</v>
      </c>
      <c r="O15" s="1735">
        <v>29962506.43</v>
      </c>
      <c r="P15" s="1735">
        <v>29907863.809999999</v>
      </c>
      <c r="Q15" s="1735">
        <v>29896698.07</v>
      </c>
      <c r="R15" s="1737">
        <v>29906105.100000005</v>
      </c>
      <c r="S15" s="882"/>
      <c r="U15" s="882"/>
      <c r="V15" s="882"/>
    </row>
    <row r="16" spans="1:22" ht="14.25" customHeight="1">
      <c r="A16" s="691">
        <v>98</v>
      </c>
      <c r="B16" s="696" t="s">
        <v>913</v>
      </c>
      <c r="C16" s="753">
        <f t="shared" si="1"/>
        <v>0</v>
      </c>
      <c r="D16" s="1733" t="s">
        <v>1038</v>
      </c>
      <c r="E16" s="1734" t="s">
        <v>1020</v>
      </c>
      <c r="F16" s="1752">
        <v>0</v>
      </c>
      <c r="G16" s="1735">
        <v>0</v>
      </c>
      <c r="H16" s="1735">
        <v>0</v>
      </c>
      <c r="I16" s="1735">
        <v>0</v>
      </c>
      <c r="J16" s="1735">
        <v>0</v>
      </c>
      <c r="K16" s="1735">
        <v>0</v>
      </c>
      <c r="L16" s="1735">
        <v>0</v>
      </c>
      <c r="M16" s="1735">
        <v>0</v>
      </c>
      <c r="N16" s="1735">
        <v>0</v>
      </c>
      <c r="O16" s="1735">
        <v>0</v>
      </c>
      <c r="P16" s="1735">
        <v>0</v>
      </c>
      <c r="Q16" s="1735">
        <v>0</v>
      </c>
      <c r="R16" s="1739">
        <v>0</v>
      </c>
      <c r="S16" s="882"/>
      <c r="T16" s="882"/>
      <c r="U16" s="882"/>
      <c r="V16" s="882"/>
    </row>
    <row r="17" spans="1:22" ht="14.25" customHeight="1">
      <c r="A17" s="691">
        <v>99</v>
      </c>
      <c r="B17" s="696" t="s">
        <v>913</v>
      </c>
      <c r="C17" s="753">
        <f t="shared" si="1"/>
        <v>4088677.3200000003</v>
      </c>
      <c r="D17" s="1738" t="s">
        <v>944</v>
      </c>
      <c r="E17" s="1734" t="s">
        <v>1037</v>
      </c>
      <c r="F17" s="1752">
        <v>333145.10000000009</v>
      </c>
      <c r="G17" s="1735">
        <v>333145.24</v>
      </c>
      <c r="H17" s="1735">
        <v>333145.13</v>
      </c>
      <c r="I17" s="1735">
        <v>333145.21999999997</v>
      </c>
      <c r="J17" s="1735">
        <v>333145.12</v>
      </c>
      <c r="K17" s="1735">
        <v>333145.24</v>
      </c>
      <c r="L17" s="1735">
        <v>337544.08</v>
      </c>
      <c r="M17" s="1735">
        <v>345741.84</v>
      </c>
      <c r="N17" s="1735">
        <v>346543.25</v>
      </c>
      <c r="O17" s="1735">
        <v>348277.08</v>
      </c>
      <c r="P17" s="1735">
        <v>348276.98</v>
      </c>
      <c r="Q17" s="1735">
        <v>348277.08</v>
      </c>
      <c r="R17" s="1739">
        <v>348291.06</v>
      </c>
      <c r="S17" s="882"/>
      <c r="T17" s="1744"/>
      <c r="U17" s="882"/>
      <c r="V17" s="882"/>
    </row>
    <row r="18" spans="1:22" ht="14.25" customHeight="1">
      <c r="A18" s="691">
        <v>100</v>
      </c>
      <c r="B18" s="696" t="s">
        <v>913</v>
      </c>
      <c r="C18" s="753">
        <f t="shared" si="1"/>
        <v>832211.71</v>
      </c>
      <c r="D18" s="1738" t="s">
        <v>945</v>
      </c>
      <c r="E18" s="1734" t="s">
        <v>1036</v>
      </c>
      <c r="F18" s="1752">
        <v>75143.519999999902</v>
      </c>
      <c r="G18" s="1735">
        <v>75143.64</v>
      </c>
      <c r="H18" s="1735">
        <v>75143.520000000004</v>
      </c>
      <c r="I18" s="1735">
        <v>75143.64</v>
      </c>
      <c r="J18" s="1735">
        <v>75143.520000000004</v>
      </c>
      <c r="K18" s="1735">
        <v>75143.64</v>
      </c>
      <c r="L18" s="1735">
        <v>75143.520000000004</v>
      </c>
      <c r="M18" s="1735">
        <v>63558.43</v>
      </c>
      <c r="N18" s="1735">
        <v>63558.32</v>
      </c>
      <c r="O18" s="1735">
        <v>63558.43</v>
      </c>
      <c r="P18" s="1735">
        <v>63558.31</v>
      </c>
      <c r="Q18" s="1735">
        <v>63558.43</v>
      </c>
      <c r="R18" s="1739">
        <v>63558.31</v>
      </c>
      <c r="S18" s="882"/>
      <c r="T18" s="1744"/>
      <c r="U18" s="882"/>
      <c r="V18" s="882"/>
    </row>
    <row r="19" spans="1:22" ht="14.25" customHeight="1">
      <c r="A19" s="691">
        <v>101</v>
      </c>
      <c r="B19" s="696" t="s">
        <v>913</v>
      </c>
      <c r="C19" s="753">
        <f t="shared" si="1"/>
        <v>11025.9</v>
      </c>
      <c r="D19" s="1738" t="s">
        <v>946</v>
      </c>
      <c r="E19" s="1734" t="s">
        <v>1035</v>
      </c>
      <c r="F19" s="1752">
        <v>918.82999999999993</v>
      </c>
      <c r="G19" s="1735">
        <v>918.82</v>
      </c>
      <c r="H19" s="1735">
        <v>918.83</v>
      </c>
      <c r="I19" s="1735">
        <v>918.82</v>
      </c>
      <c r="J19" s="1735">
        <v>918.83</v>
      </c>
      <c r="K19" s="1735">
        <v>918.82</v>
      </c>
      <c r="L19" s="1735">
        <v>918.83</v>
      </c>
      <c r="M19" s="1735">
        <v>918.82</v>
      </c>
      <c r="N19" s="1735">
        <v>918.83</v>
      </c>
      <c r="O19" s="1735">
        <v>918.82</v>
      </c>
      <c r="P19" s="1735">
        <v>918.83</v>
      </c>
      <c r="Q19" s="1735">
        <v>918.82</v>
      </c>
      <c r="R19" s="1739">
        <v>918.83</v>
      </c>
      <c r="S19" s="882"/>
      <c r="T19" s="1744"/>
      <c r="U19" s="882"/>
      <c r="V19" s="882"/>
    </row>
    <row r="20" spans="1:22" ht="14.25" customHeight="1">
      <c r="A20" s="691">
        <v>102</v>
      </c>
      <c r="B20" s="696" t="s">
        <v>913</v>
      </c>
      <c r="C20" s="753">
        <f t="shared" si="1"/>
        <v>0</v>
      </c>
      <c r="D20" s="1738" t="s">
        <v>947</v>
      </c>
      <c r="E20" s="1734" t="s">
        <v>1034</v>
      </c>
      <c r="F20" s="1752">
        <v>0</v>
      </c>
      <c r="G20" s="1735">
        <v>0</v>
      </c>
      <c r="H20" s="1735">
        <v>0</v>
      </c>
      <c r="I20" s="1735">
        <v>0</v>
      </c>
      <c r="J20" s="1735">
        <v>0</v>
      </c>
      <c r="K20" s="1735">
        <v>0</v>
      </c>
      <c r="L20" s="1735">
        <v>0</v>
      </c>
      <c r="M20" s="1735">
        <v>0</v>
      </c>
      <c r="N20" s="1735">
        <v>0</v>
      </c>
      <c r="O20" s="1735">
        <v>0</v>
      </c>
      <c r="P20" s="1735">
        <v>0</v>
      </c>
      <c r="Q20" s="1735">
        <v>0</v>
      </c>
      <c r="R20" s="1739">
        <v>0</v>
      </c>
      <c r="S20" s="882"/>
      <c r="T20" s="882"/>
      <c r="U20" s="882"/>
      <c r="V20" s="882"/>
    </row>
    <row r="21" spans="1:22" ht="14.25" customHeight="1">
      <c r="A21" s="691">
        <v>104</v>
      </c>
      <c r="B21" s="696" t="s">
        <v>912</v>
      </c>
      <c r="C21" s="753">
        <f t="shared" ref="C21:C26" si="2">AVERAGE(F21:R21)</f>
        <v>2397600</v>
      </c>
      <c r="D21" s="1740" t="s">
        <v>721</v>
      </c>
      <c r="E21" s="1734" t="s">
        <v>713</v>
      </c>
      <c r="F21" s="1752">
        <v>2397600</v>
      </c>
      <c r="G21" s="1735">
        <v>2397600</v>
      </c>
      <c r="H21" s="1735">
        <v>2397600</v>
      </c>
      <c r="I21" s="1735">
        <v>2397600</v>
      </c>
      <c r="J21" s="1735">
        <v>2397600</v>
      </c>
      <c r="K21" s="1735">
        <v>2397600</v>
      </c>
      <c r="L21" s="1735">
        <v>2397600</v>
      </c>
      <c r="M21" s="1735">
        <v>2397600</v>
      </c>
      <c r="N21" s="1735">
        <v>2397600</v>
      </c>
      <c r="O21" s="1735">
        <v>2397600</v>
      </c>
      <c r="P21" s="1735">
        <v>2397600</v>
      </c>
      <c r="Q21" s="1735">
        <v>2397600</v>
      </c>
      <c r="R21" s="1737">
        <v>2397600</v>
      </c>
      <c r="S21" s="882"/>
      <c r="T21" s="882"/>
      <c r="U21" s="882"/>
      <c r="V21" s="882"/>
    </row>
    <row r="22" spans="1:22" ht="14.25" customHeight="1">
      <c r="A22" s="691">
        <v>105</v>
      </c>
      <c r="B22" s="696" t="s">
        <v>912</v>
      </c>
      <c r="C22" s="753">
        <f t="shared" si="2"/>
        <v>0</v>
      </c>
      <c r="D22" s="1733" t="s">
        <v>939</v>
      </c>
      <c r="E22" s="1734" t="s">
        <v>714</v>
      </c>
      <c r="F22" s="1752">
        <v>0</v>
      </c>
      <c r="G22" s="1735">
        <v>0</v>
      </c>
      <c r="H22" s="1735">
        <v>0</v>
      </c>
      <c r="I22" s="1735">
        <v>0</v>
      </c>
      <c r="J22" s="1735">
        <v>0</v>
      </c>
      <c r="K22" s="1735">
        <v>0</v>
      </c>
      <c r="L22" s="1735">
        <v>0</v>
      </c>
      <c r="M22" s="1735">
        <v>0</v>
      </c>
      <c r="N22" s="1735">
        <v>0</v>
      </c>
      <c r="O22" s="1735">
        <v>0</v>
      </c>
      <c r="P22" s="1735">
        <v>0</v>
      </c>
      <c r="Q22" s="1735">
        <v>0</v>
      </c>
      <c r="R22" s="1737">
        <v>0</v>
      </c>
      <c r="S22" s="882"/>
      <c r="T22" s="882"/>
      <c r="U22" s="882"/>
      <c r="V22" s="882"/>
    </row>
    <row r="23" spans="1:22" ht="14.25" customHeight="1">
      <c r="A23" s="691">
        <v>106</v>
      </c>
      <c r="B23" s="696" t="s">
        <v>912</v>
      </c>
      <c r="C23" s="753">
        <f t="shared" si="2"/>
        <v>0</v>
      </c>
      <c r="D23" s="1733" t="s">
        <v>722</v>
      </c>
      <c r="E23" s="1734" t="s">
        <v>715</v>
      </c>
      <c r="F23" s="1752">
        <v>0</v>
      </c>
      <c r="G23" s="1735">
        <v>0</v>
      </c>
      <c r="H23" s="1735">
        <v>0</v>
      </c>
      <c r="I23" s="1735">
        <v>0</v>
      </c>
      <c r="J23" s="1735">
        <v>0</v>
      </c>
      <c r="K23" s="1735">
        <v>0</v>
      </c>
      <c r="L23" s="1735">
        <v>0</v>
      </c>
      <c r="M23" s="1735">
        <v>0</v>
      </c>
      <c r="N23" s="1735">
        <v>0</v>
      </c>
      <c r="O23" s="1735">
        <v>0</v>
      </c>
      <c r="P23" s="1735">
        <v>0</v>
      </c>
      <c r="Q23" s="1735">
        <v>0</v>
      </c>
      <c r="R23" s="1737">
        <v>0</v>
      </c>
      <c r="S23" s="882"/>
      <c r="T23" s="882"/>
      <c r="U23" s="882"/>
      <c r="V23" s="882"/>
    </row>
    <row r="24" spans="1:22" ht="14.25" customHeight="1">
      <c r="A24" s="691">
        <v>107</v>
      </c>
      <c r="B24" s="696" t="s">
        <v>912</v>
      </c>
      <c r="C24" s="753">
        <f t="shared" si="2"/>
        <v>0</v>
      </c>
      <c r="D24" s="1740" t="s">
        <v>940</v>
      </c>
      <c r="E24" s="1734" t="s">
        <v>1032</v>
      </c>
      <c r="F24" s="1752">
        <v>0</v>
      </c>
      <c r="G24" s="1735">
        <v>0</v>
      </c>
      <c r="H24" s="1735">
        <v>0</v>
      </c>
      <c r="I24" s="1735">
        <v>0</v>
      </c>
      <c r="J24" s="1735">
        <v>0</v>
      </c>
      <c r="K24" s="1735">
        <v>0</v>
      </c>
      <c r="L24" s="1735">
        <v>0</v>
      </c>
      <c r="M24" s="1735">
        <v>0</v>
      </c>
      <c r="N24" s="1735">
        <v>0</v>
      </c>
      <c r="O24" s="1735">
        <v>0</v>
      </c>
      <c r="P24" s="1735">
        <v>0</v>
      </c>
      <c r="Q24" s="1735">
        <v>0</v>
      </c>
      <c r="R24" s="1737">
        <v>0</v>
      </c>
      <c r="S24" s="882"/>
      <c r="T24" s="882"/>
      <c r="U24" s="882"/>
      <c r="V24" s="882"/>
    </row>
    <row r="25" spans="1:22" ht="14.25" customHeight="1">
      <c r="A25" s="691">
        <v>108</v>
      </c>
      <c r="B25" s="696" t="s">
        <v>912</v>
      </c>
      <c r="C25" s="753">
        <f t="shared" si="2"/>
        <v>0</v>
      </c>
      <c r="D25" s="1733" t="s">
        <v>941</v>
      </c>
      <c r="E25" s="1734" t="s">
        <v>1033</v>
      </c>
      <c r="F25" s="1752">
        <v>0</v>
      </c>
      <c r="G25" s="1735">
        <v>0</v>
      </c>
      <c r="H25" s="1735">
        <v>0</v>
      </c>
      <c r="I25" s="1735">
        <v>0</v>
      </c>
      <c r="J25" s="1735">
        <v>0</v>
      </c>
      <c r="K25" s="1735">
        <v>0</v>
      </c>
      <c r="L25" s="1735">
        <v>0</v>
      </c>
      <c r="M25" s="1735">
        <v>0</v>
      </c>
      <c r="N25" s="1735">
        <v>0</v>
      </c>
      <c r="O25" s="1735">
        <v>0</v>
      </c>
      <c r="P25" s="1735">
        <v>0</v>
      </c>
      <c r="Q25" s="1735">
        <v>0</v>
      </c>
      <c r="R25" s="1737">
        <v>0</v>
      </c>
      <c r="S25" s="882"/>
      <c r="T25" s="882"/>
      <c r="U25" s="882"/>
      <c r="V25" s="882"/>
    </row>
    <row r="26" spans="1:22" ht="14.25" customHeight="1">
      <c r="A26" s="691">
        <v>109</v>
      </c>
      <c r="B26" s="696" t="s">
        <v>912</v>
      </c>
      <c r="C26" s="753">
        <f t="shared" si="2"/>
        <v>0</v>
      </c>
      <c r="D26" s="1740" t="s">
        <v>942</v>
      </c>
      <c r="E26" s="1734" t="s">
        <v>716</v>
      </c>
      <c r="F26" s="1752">
        <v>0</v>
      </c>
      <c r="G26" s="1735">
        <v>0</v>
      </c>
      <c r="H26" s="1735">
        <v>0</v>
      </c>
      <c r="I26" s="1735">
        <v>0</v>
      </c>
      <c r="J26" s="1735">
        <v>0</v>
      </c>
      <c r="K26" s="1735">
        <v>0</v>
      </c>
      <c r="L26" s="1735">
        <v>0</v>
      </c>
      <c r="M26" s="1735">
        <v>0</v>
      </c>
      <c r="N26" s="1735">
        <v>0</v>
      </c>
      <c r="O26" s="1735">
        <v>0</v>
      </c>
      <c r="P26" s="1735">
        <v>0</v>
      </c>
      <c r="Q26" s="1735">
        <v>0</v>
      </c>
      <c r="R26" s="1737">
        <v>0</v>
      </c>
      <c r="S26" s="882"/>
      <c r="T26" s="882"/>
      <c r="U26" s="882"/>
      <c r="V26" s="882"/>
    </row>
    <row r="27" spans="1:22" ht="25.5">
      <c r="A27" s="691">
        <v>111</v>
      </c>
      <c r="B27" s="697" t="s">
        <v>914</v>
      </c>
      <c r="C27" s="753">
        <f>ABS(SUM(G27:R27))</f>
        <v>161901.96</v>
      </c>
      <c r="D27" s="1733" t="s">
        <v>718</v>
      </c>
      <c r="E27" s="1743" t="s">
        <v>719</v>
      </c>
      <c r="F27" s="1752">
        <v>40475.5</v>
      </c>
      <c r="G27" s="1745">
        <v>0</v>
      </c>
      <c r="H27" s="1745">
        <v>0</v>
      </c>
      <c r="I27" s="1745">
        <v>40475.49</v>
      </c>
      <c r="J27" s="1745">
        <v>0</v>
      </c>
      <c r="K27" s="1745">
        <v>0</v>
      </c>
      <c r="L27" s="1745">
        <v>40475.49</v>
      </c>
      <c r="M27" s="1745">
        <v>0</v>
      </c>
      <c r="N27" s="1745">
        <v>0</v>
      </c>
      <c r="O27" s="1735">
        <v>40475.49</v>
      </c>
      <c r="P27" s="1735">
        <v>0</v>
      </c>
      <c r="Q27" s="1745">
        <v>0</v>
      </c>
      <c r="R27" s="1737">
        <v>40475.49</v>
      </c>
      <c r="S27" s="882"/>
      <c r="T27" s="882"/>
      <c r="U27" s="882"/>
      <c r="V27" s="882"/>
    </row>
    <row r="28" spans="1:22">
      <c r="A28" s="691">
        <v>112</v>
      </c>
      <c r="B28" s="696" t="s">
        <v>912</v>
      </c>
      <c r="C28" s="753">
        <f>AVERAGE(F28:R28)</f>
        <v>7458553511.3146152</v>
      </c>
      <c r="D28" s="1740" t="s">
        <v>1801</v>
      </c>
      <c r="E28" s="1734" t="s">
        <v>920</v>
      </c>
      <c r="F28" s="1752">
        <v>7755665047.8699999</v>
      </c>
      <c r="G28" s="1745">
        <v>7817321807.2399998</v>
      </c>
      <c r="H28" s="1745">
        <v>7401906246.5299997</v>
      </c>
      <c r="I28" s="1745">
        <v>7439330210.9200001</v>
      </c>
      <c r="J28" s="1745">
        <v>7469684609.4300003</v>
      </c>
      <c r="K28" s="1745">
        <v>7270378427.6300001</v>
      </c>
      <c r="L28" s="1745">
        <v>7361115378.1700001</v>
      </c>
      <c r="M28" s="1745">
        <v>7450764490.7399998</v>
      </c>
      <c r="N28" s="1735">
        <v>7286556754.6499996</v>
      </c>
      <c r="O28" s="1735">
        <v>7356073568.46</v>
      </c>
      <c r="P28" s="1735">
        <v>7396360201.3800001</v>
      </c>
      <c r="Q28" s="1735">
        <v>7453549178.3900003</v>
      </c>
      <c r="R28" s="1737">
        <v>7502489725.6800003</v>
      </c>
      <c r="S28" s="882"/>
      <c r="T28" s="882"/>
      <c r="U28" s="882"/>
      <c r="V28" s="882"/>
    </row>
    <row r="29" spans="1:22">
      <c r="A29" s="691">
        <v>114</v>
      </c>
      <c r="B29" s="696" t="s">
        <v>912</v>
      </c>
      <c r="C29" s="753">
        <f>AVERAGE(F29:R29)</f>
        <v>147464388.14923078</v>
      </c>
      <c r="D29" s="1733" t="s">
        <v>885</v>
      </c>
      <c r="E29" s="1734" t="s">
        <v>918</v>
      </c>
      <c r="F29" s="1752">
        <v>142148646.90000001</v>
      </c>
      <c r="G29" s="1745">
        <v>142448400.09</v>
      </c>
      <c r="H29" s="1745">
        <v>142724401.80000001</v>
      </c>
      <c r="I29" s="1745">
        <v>143334432.43000001</v>
      </c>
      <c r="J29" s="1745">
        <v>144579784.67000002</v>
      </c>
      <c r="K29" s="1745">
        <v>144073883.84</v>
      </c>
      <c r="L29" s="1745">
        <v>145501090.75</v>
      </c>
      <c r="M29" s="1745">
        <v>147501932.53999999</v>
      </c>
      <c r="N29" s="1735">
        <v>148782482.67999998</v>
      </c>
      <c r="O29" s="1735">
        <v>151591947.69999999</v>
      </c>
      <c r="P29" s="1735">
        <v>153731905.56999999</v>
      </c>
      <c r="Q29" s="1735">
        <v>155012599.16999999</v>
      </c>
      <c r="R29" s="1737">
        <v>155605537.79999998</v>
      </c>
      <c r="S29" s="882"/>
      <c r="T29" s="882"/>
      <c r="U29" s="882"/>
      <c r="V29" s="882"/>
    </row>
    <row r="30" spans="1:22" ht="25.5">
      <c r="A30" s="691">
        <v>115</v>
      </c>
      <c r="B30" s="697" t="s">
        <v>921</v>
      </c>
      <c r="C30" s="753">
        <f>AVERAGE(F30:R30)</f>
        <v>-13306314.38769231</v>
      </c>
      <c r="D30" s="1740" t="s">
        <v>724</v>
      </c>
      <c r="E30" s="1743" t="s">
        <v>919</v>
      </c>
      <c r="F30" s="1752">
        <v>-13665680.460000001</v>
      </c>
      <c r="G30" s="1735">
        <v>-13619912.020000001</v>
      </c>
      <c r="H30" s="1735">
        <v>-13574143.600000001</v>
      </c>
      <c r="I30" s="1735">
        <v>-13528375.150000002</v>
      </c>
      <c r="J30" s="1735">
        <v>-13482606.760000002</v>
      </c>
      <c r="K30" s="1735">
        <v>-13436838.320000002</v>
      </c>
      <c r="L30" s="1735">
        <v>-13391069.880000003</v>
      </c>
      <c r="M30" s="1735">
        <v>-13345301.450000003</v>
      </c>
      <c r="N30" s="1735">
        <v>-13299533.040000003</v>
      </c>
      <c r="O30" s="1735">
        <v>-13253764.590000004</v>
      </c>
      <c r="P30" s="1735">
        <v>-13207996.160000004</v>
      </c>
      <c r="Q30" s="1735">
        <v>-13162227.760000004</v>
      </c>
      <c r="R30" s="1737">
        <v>-12014637.850000003</v>
      </c>
      <c r="S30" s="882"/>
      <c r="T30" s="882"/>
      <c r="U30" s="882"/>
      <c r="V30" s="882"/>
    </row>
    <row r="31" spans="1:22">
      <c r="A31" s="691" t="s">
        <v>991</v>
      </c>
      <c r="B31" s="938" t="s">
        <v>1057</v>
      </c>
      <c r="C31" s="936" t="s">
        <v>1057</v>
      </c>
      <c r="D31" s="1733" t="s">
        <v>720</v>
      </c>
      <c r="E31" s="965" t="s">
        <v>1020</v>
      </c>
      <c r="F31" s="1752">
        <v>3417945896.2399998</v>
      </c>
      <c r="G31" s="1735">
        <v>3417945896</v>
      </c>
      <c r="H31" s="1735">
        <v>3417945896</v>
      </c>
      <c r="I31" s="1735">
        <v>3417945896</v>
      </c>
      <c r="J31" s="1735">
        <v>3417945896</v>
      </c>
      <c r="K31" s="1735">
        <v>3417945896</v>
      </c>
      <c r="L31" s="1735">
        <v>3417945896</v>
      </c>
      <c r="M31" s="1735">
        <v>3417945896</v>
      </c>
      <c r="N31" s="1735">
        <v>3417945896</v>
      </c>
      <c r="O31" s="1735">
        <v>3417945896</v>
      </c>
      <c r="P31" s="1735">
        <v>3417945896</v>
      </c>
      <c r="Q31" s="1735">
        <v>3417945896</v>
      </c>
      <c r="R31" s="710">
        <v>3417945896.2399998</v>
      </c>
      <c r="S31" s="882"/>
      <c r="T31" s="882"/>
      <c r="U31" s="882"/>
      <c r="V31" s="882"/>
    </row>
    <row r="32" spans="1:22" ht="13.5" thickBot="1">
      <c r="A32" s="692" t="s">
        <v>991</v>
      </c>
      <c r="B32" s="935" t="s">
        <v>1057</v>
      </c>
      <c r="C32" s="934" t="s">
        <v>1057</v>
      </c>
      <c r="D32" s="1746" t="s">
        <v>723</v>
      </c>
      <c r="E32" s="933" t="s">
        <v>1020</v>
      </c>
      <c r="F32" s="1753">
        <v>1102063956.3800001</v>
      </c>
      <c r="G32" s="1747">
        <v>1102063956</v>
      </c>
      <c r="H32" s="1747">
        <v>1102063956</v>
      </c>
      <c r="I32" s="1747">
        <v>1102063956</v>
      </c>
      <c r="J32" s="1747">
        <v>1102063956</v>
      </c>
      <c r="K32" s="1747">
        <v>1102063956</v>
      </c>
      <c r="L32" s="1747">
        <v>1102063956</v>
      </c>
      <c r="M32" s="1747">
        <v>1102063956</v>
      </c>
      <c r="N32" s="1747">
        <v>1102063956</v>
      </c>
      <c r="O32" s="1747">
        <v>1102063956</v>
      </c>
      <c r="P32" s="1747">
        <v>1102063956</v>
      </c>
      <c r="Q32" s="1747">
        <v>1102063956</v>
      </c>
      <c r="R32" s="923">
        <v>1102063956.3800001</v>
      </c>
      <c r="S32" s="882"/>
      <c r="T32" s="882"/>
      <c r="U32" s="882"/>
      <c r="V32" s="882"/>
    </row>
    <row r="33" spans="4:22" ht="14.25" customHeight="1">
      <c r="N33" s="882"/>
      <c r="O33" s="882"/>
      <c r="P33" s="882"/>
      <c r="Q33" s="882"/>
      <c r="R33" s="882"/>
      <c r="S33" s="882"/>
      <c r="T33" s="882"/>
      <c r="U33" s="882"/>
      <c r="V33" s="882"/>
    </row>
    <row r="34" spans="4:22" ht="14.25" customHeight="1" thickBot="1">
      <c r="N34" s="882"/>
      <c r="O34" s="882"/>
      <c r="P34" s="882"/>
      <c r="Q34" s="882"/>
      <c r="R34" s="882"/>
      <c r="S34" s="882"/>
      <c r="T34" s="882"/>
      <c r="U34" s="882"/>
      <c r="V34" s="882"/>
    </row>
    <row r="35" spans="4:22" ht="13.5" thickBot="1">
      <c r="D35" s="1015" t="s">
        <v>24</v>
      </c>
      <c r="E35" s="1016"/>
      <c r="F35" s="1019" t="s">
        <v>282</v>
      </c>
      <c r="G35" s="1020" t="s">
        <v>1101</v>
      </c>
      <c r="H35" s="1021" t="s">
        <v>104</v>
      </c>
    </row>
    <row r="36" spans="4:22">
      <c r="D36" s="1013" t="s">
        <v>1050</v>
      </c>
      <c r="E36" s="1014" t="s">
        <v>1100</v>
      </c>
      <c r="F36" s="1017">
        <v>0</v>
      </c>
      <c r="G36" s="1017">
        <v>0</v>
      </c>
      <c r="H36" s="1018">
        <v>0</v>
      </c>
    </row>
    <row r="37" spans="4:22" ht="13.5" thickBot="1">
      <c r="D37" s="1012" t="s">
        <v>1049</v>
      </c>
      <c r="E37" s="1748" t="s">
        <v>1100</v>
      </c>
      <c r="F37" s="1749">
        <v>0</v>
      </c>
      <c r="G37" s="1749">
        <v>0</v>
      </c>
      <c r="H37" s="1750">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zoomScale="130" zoomScaleNormal="130" workbookViewId="0">
      <selection activeCell="O10" sqref="O10"/>
    </sheetView>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600" t="s">
        <v>365</v>
      </c>
      <c r="C1" s="2600"/>
      <c r="D1" s="1541"/>
      <c r="E1" s="1541"/>
      <c r="F1" s="1541"/>
      <c r="G1" s="1541"/>
      <c r="H1" s="1541"/>
      <c r="I1" s="1541"/>
      <c r="J1" s="1541"/>
      <c r="K1" s="1541"/>
      <c r="L1" s="1541"/>
      <c r="M1" s="1541"/>
    </row>
    <row r="2" spans="1:13" s="437" customFormat="1" ht="15.75">
      <c r="B2" s="2600" t="s">
        <v>473</v>
      </c>
      <c r="C2" s="2600"/>
      <c r="D2" s="1541"/>
      <c r="E2" s="1541"/>
      <c r="F2" s="1541"/>
      <c r="G2" s="1541"/>
      <c r="H2" s="1541"/>
      <c r="I2" s="1541"/>
      <c r="J2" s="1541"/>
      <c r="K2" s="1541"/>
      <c r="L2" s="1541"/>
      <c r="M2" s="1541"/>
    </row>
    <row r="3" spans="1:13" s="437" customFormat="1">
      <c r="B3" s="2602"/>
      <c r="C3" s="2602"/>
      <c r="D3" s="1539"/>
      <c r="E3" s="1539"/>
      <c r="F3" s="1539"/>
      <c r="G3" s="1539"/>
      <c r="H3" s="1539"/>
      <c r="I3" s="1539"/>
      <c r="J3" s="1539"/>
      <c r="K3" s="1539"/>
      <c r="L3" s="1539"/>
      <c r="M3" s="1539"/>
    </row>
    <row r="4" spans="1:13" s="1706" customFormat="1" ht="15">
      <c r="A4" s="1705"/>
      <c r="B4" s="1705"/>
      <c r="C4" s="1705"/>
    </row>
    <row r="5" spans="1:13" ht="25.5" customHeight="1">
      <c r="A5" s="437"/>
      <c r="B5" s="2603" t="s">
        <v>1061</v>
      </c>
      <c r="C5" s="2603"/>
    </row>
    <row r="6" spans="1:13">
      <c r="A6" s="437"/>
      <c r="B6" s="1344" t="s">
        <v>2268</v>
      </c>
      <c r="C6" s="437"/>
      <c r="D6" s="1559"/>
    </row>
    <row r="7" spans="1:13">
      <c r="A7" s="437"/>
      <c r="B7" s="1558"/>
      <c r="C7" s="437"/>
    </row>
    <row r="8" spans="1:13">
      <c r="A8" s="437"/>
      <c r="B8" s="437"/>
      <c r="C8" s="437"/>
    </row>
    <row r="9" spans="1:13" s="1554" customFormat="1">
      <c r="A9" s="1557"/>
      <c r="B9" s="1556" t="s">
        <v>975</v>
      </c>
      <c r="C9" s="1555" t="s">
        <v>470</v>
      </c>
    </row>
    <row r="10" spans="1:13">
      <c r="A10" s="437"/>
      <c r="B10" s="1553" t="s">
        <v>2305</v>
      </c>
      <c r="C10" s="1250">
        <v>27811.03</v>
      </c>
    </row>
    <row r="11" spans="1:13">
      <c r="A11" s="437"/>
      <c r="B11" s="1553" t="s">
        <v>2306</v>
      </c>
      <c r="C11" s="1250">
        <v>4912828.8042499973</v>
      </c>
    </row>
    <row r="12" spans="1:13">
      <c r="A12" s="437"/>
      <c r="B12" s="1553" t="s">
        <v>2307</v>
      </c>
      <c r="C12" s="1250">
        <v>1405336.1800000002</v>
      </c>
    </row>
    <row r="13" spans="1:13">
      <c r="A13" s="437"/>
      <c r="B13" s="1553" t="s">
        <v>2308</v>
      </c>
      <c r="C13" s="1250">
        <v>986944.9</v>
      </c>
    </row>
    <row r="14" spans="1:13">
      <c r="A14" s="437"/>
      <c r="B14" s="1553" t="s">
        <v>2309</v>
      </c>
      <c r="C14" s="1250">
        <v>2292746.4400000004</v>
      </c>
    </row>
    <row r="15" spans="1:13">
      <c r="A15" s="437"/>
      <c r="B15" s="1553" t="s">
        <v>2310</v>
      </c>
      <c r="C15" s="1250">
        <v>68954.48000000001</v>
      </c>
    </row>
    <row r="16" spans="1:13">
      <c r="A16" s="437"/>
      <c r="B16" s="1553" t="s">
        <v>2311</v>
      </c>
      <c r="C16" s="1250">
        <v>260211.49999999997</v>
      </c>
    </row>
    <row r="17" spans="1:5">
      <c r="A17" s="437"/>
      <c r="B17" s="1553" t="s">
        <v>2312</v>
      </c>
      <c r="C17" s="1250">
        <v>1579793.62</v>
      </c>
    </row>
    <row r="18" spans="1:5">
      <c r="A18" s="437"/>
      <c r="B18" s="1553" t="s">
        <v>2313</v>
      </c>
      <c r="C18" s="1250">
        <v>2530493.7999999998</v>
      </c>
    </row>
    <row r="19" spans="1:5">
      <c r="A19" s="437"/>
      <c r="B19" s="1553" t="s">
        <v>2314</v>
      </c>
      <c r="C19" s="1250">
        <v>274162.54999999993</v>
      </c>
    </row>
    <row r="20" spans="1:5">
      <c r="A20" s="437"/>
      <c r="B20" s="1553" t="s">
        <v>2315</v>
      </c>
      <c r="C20" s="1250">
        <v>142234210.46000022</v>
      </c>
    </row>
    <row r="21" spans="1:5">
      <c r="A21" s="437"/>
      <c r="B21" s="1707" t="s">
        <v>976</v>
      </c>
      <c r="C21" s="1708">
        <f>SUM(C10:C20)</f>
        <v>156573493.76425022</v>
      </c>
    </row>
    <row r="22" spans="1:5">
      <c r="A22" s="437"/>
      <c r="B22" s="1552"/>
      <c r="C22" s="679"/>
    </row>
    <row r="23" spans="1:5">
      <c r="A23" s="437"/>
      <c r="B23" s="1707" t="s">
        <v>671</v>
      </c>
      <c r="C23" s="1709">
        <f>SUM( Inputs!E100,Inputs!E101)</f>
        <v>78235022.239999995</v>
      </c>
      <c r="E23" s="2346" t="s">
        <v>2270</v>
      </c>
    </row>
    <row r="25" spans="1:5">
      <c r="A25" s="437"/>
      <c r="B25" s="1707" t="s">
        <v>672</v>
      </c>
      <c r="C25" s="1709">
        <v>7832460</v>
      </c>
    </row>
    <row r="26" spans="1:5">
      <c r="A26" s="437"/>
      <c r="B26" s="437"/>
      <c r="C26" s="437"/>
    </row>
    <row r="27" spans="1:5" ht="13.5" thickBot="1">
      <c r="A27" s="437"/>
      <c r="B27" s="1551" t="s">
        <v>1121</v>
      </c>
      <c r="C27" s="1710">
        <f>SUM(C21,C23,C25)</f>
        <v>242640976.00425023</v>
      </c>
      <c r="E27" s="2342" t="s">
        <v>1089</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5"/>
  <sheetViews>
    <sheetView zoomScale="70" zoomScaleNormal="70" workbookViewId="0">
      <selection activeCell="O10" sqref="O10"/>
    </sheetView>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8">
      <c r="A1" s="682" t="s">
        <v>365</v>
      </c>
      <c r="B1" s="683"/>
      <c r="C1" s="683"/>
      <c r="D1" s="828"/>
      <c r="E1" s="683"/>
      <c r="F1" s="683"/>
      <c r="G1" s="683"/>
      <c r="H1" s="683"/>
      <c r="I1" s="683"/>
      <c r="J1" s="828"/>
      <c r="K1" s="684"/>
      <c r="L1" s="684"/>
      <c r="M1" s="684"/>
      <c r="N1" s="684"/>
      <c r="O1" s="684"/>
      <c r="P1" s="684"/>
      <c r="Q1" s="684"/>
      <c r="R1" s="684"/>
      <c r="S1" s="684"/>
      <c r="T1" s="684"/>
      <c r="U1" s="684"/>
      <c r="V1" s="684"/>
      <c r="W1" s="685"/>
      <c r="X1" s="683"/>
      <c r="Y1" s="683"/>
      <c r="Z1" s="828"/>
      <c r="AA1" s="683"/>
      <c r="AB1" s="828"/>
      <c r="AC1" s="683"/>
      <c r="AD1" s="683"/>
      <c r="AE1" s="683"/>
      <c r="AF1" s="683"/>
      <c r="AG1" s="683"/>
      <c r="AH1" s="437"/>
    </row>
    <row r="2" spans="1:35" ht="18">
      <c r="A2" s="682" t="s">
        <v>1125</v>
      </c>
      <c r="B2" s="683"/>
      <c r="C2" s="683"/>
      <c r="D2" s="828"/>
      <c r="E2" s="683"/>
      <c r="F2" s="683"/>
      <c r="G2" s="683"/>
      <c r="H2" s="683"/>
      <c r="I2" s="683"/>
      <c r="J2" s="828"/>
      <c r="K2" s="684"/>
      <c r="L2" s="684"/>
      <c r="M2" s="684"/>
      <c r="N2" s="684"/>
      <c r="O2" s="684"/>
      <c r="P2" s="684"/>
      <c r="Q2" s="684"/>
      <c r="R2" s="684"/>
      <c r="S2" s="684"/>
      <c r="T2" s="684"/>
      <c r="U2" s="684"/>
      <c r="V2" s="684"/>
      <c r="W2" s="685"/>
      <c r="X2" s="683"/>
      <c r="Y2" s="683"/>
      <c r="Z2" s="828"/>
      <c r="AA2" s="683"/>
      <c r="AB2" s="828"/>
      <c r="AC2" s="683"/>
      <c r="AD2" s="683"/>
      <c r="AE2" s="683"/>
      <c r="AF2" s="683"/>
      <c r="AG2" s="683"/>
      <c r="AH2" s="437"/>
    </row>
    <row r="3" spans="1:35">
      <c r="A3" s="604"/>
      <c r="B3" s="437"/>
      <c r="C3" s="437"/>
      <c r="D3" s="829"/>
      <c r="E3" s="601"/>
      <c r="F3" s="601"/>
      <c r="G3" s="601"/>
      <c r="H3" s="601"/>
      <c r="I3" s="601"/>
      <c r="J3" s="829"/>
      <c r="K3" s="602"/>
      <c r="L3" s="602"/>
      <c r="M3" s="602"/>
      <c r="N3" s="602"/>
      <c r="O3" s="602"/>
      <c r="P3" s="602"/>
      <c r="Q3" s="602"/>
      <c r="R3" s="602"/>
      <c r="S3" s="602"/>
      <c r="T3" s="602"/>
      <c r="U3" s="602"/>
      <c r="V3" s="602"/>
      <c r="W3" s="603"/>
      <c r="X3" s="437"/>
      <c r="Y3" s="437"/>
      <c r="Z3" s="833"/>
      <c r="AA3" s="437"/>
      <c r="AB3" s="833"/>
      <c r="AC3" s="437"/>
      <c r="AD3" s="437"/>
      <c r="AE3" s="437"/>
      <c r="AF3" s="437"/>
      <c r="AG3" s="437"/>
      <c r="AH3" s="437"/>
    </row>
    <row r="4" spans="1:35" ht="25.5">
      <c r="A4" s="826" t="s">
        <v>969</v>
      </c>
      <c r="B4" s="606"/>
      <c r="C4" s="606"/>
      <c r="D4" s="834"/>
      <c r="E4" s="607"/>
      <c r="F4" s="607"/>
      <c r="G4" s="607"/>
      <c r="H4" s="607"/>
      <c r="I4" s="607"/>
      <c r="J4" s="830"/>
      <c r="K4" s="602"/>
      <c r="L4" s="602"/>
      <c r="M4" s="602"/>
      <c r="N4" s="602"/>
      <c r="O4" s="602"/>
      <c r="P4" s="602"/>
      <c r="Q4" s="602"/>
      <c r="R4" s="602"/>
      <c r="S4" s="602"/>
      <c r="T4" s="602"/>
      <c r="U4" s="602"/>
      <c r="V4" s="602"/>
      <c r="W4" s="608"/>
      <c r="X4" s="437"/>
      <c r="Y4" s="437"/>
      <c r="Z4" s="833"/>
      <c r="AA4" s="437"/>
      <c r="AB4" s="833"/>
      <c r="AC4" s="437"/>
      <c r="AE4" s="437"/>
      <c r="AF4" s="437"/>
      <c r="AG4" s="437"/>
      <c r="AH4" s="437"/>
    </row>
    <row r="5" spans="1:35">
      <c r="A5" s="604" t="s">
        <v>1009</v>
      </c>
      <c r="B5" s="606"/>
      <c r="C5" s="606"/>
      <c r="D5" s="834"/>
      <c r="E5" s="607"/>
      <c r="F5" s="607"/>
      <c r="G5" s="607"/>
      <c r="H5" s="607"/>
      <c r="I5" s="607"/>
      <c r="J5" s="830"/>
      <c r="K5" s="602"/>
      <c r="L5" s="602"/>
      <c r="M5" s="602"/>
      <c r="N5" s="602"/>
      <c r="O5" s="602"/>
      <c r="P5" s="602"/>
      <c r="Q5" s="602"/>
      <c r="R5" s="602"/>
      <c r="S5" s="602"/>
      <c r="T5" s="602"/>
      <c r="U5" s="602"/>
      <c r="V5" s="602"/>
      <c r="W5" s="608"/>
      <c r="X5" s="437"/>
      <c r="Y5" s="437"/>
      <c r="Z5" s="833"/>
      <c r="AA5" s="437"/>
      <c r="AB5" s="833"/>
      <c r="AC5" s="437"/>
      <c r="AD5" s="437"/>
      <c r="AE5" s="437"/>
      <c r="AF5" s="437"/>
      <c r="AG5" s="437"/>
      <c r="AH5" s="437"/>
    </row>
    <row r="6" spans="1:35">
      <c r="A6" s="611"/>
      <c r="B6" s="609"/>
      <c r="C6" s="610"/>
      <c r="D6" s="831"/>
      <c r="E6" s="622" t="s">
        <v>875</v>
      </c>
      <c r="F6" s="622"/>
      <c r="G6" s="610"/>
      <c r="H6" s="2604" t="s">
        <v>874</v>
      </c>
      <c r="I6" s="2604"/>
      <c r="J6" s="831"/>
      <c r="K6" s="1022" t="s">
        <v>1482</v>
      </c>
      <c r="L6" s="1022" t="s">
        <v>1481</v>
      </c>
      <c r="M6" s="1022"/>
      <c r="N6" s="1022"/>
      <c r="O6" s="1022"/>
      <c r="P6" s="1022"/>
      <c r="Q6" s="1022"/>
      <c r="R6" s="1022"/>
      <c r="S6" s="1022"/>
      <c r="T6" s="1022"/>
      <c r="U6" s="1022"/>
      <c r="V6" s="1022"/>
      <c r="W6" s="1022" t="s">
        <v>634</v>
      </c>
      <c r="X6" s="833"/>
      <c r="Y6" s="1025" t="str">
        <f>Toggle</f>
        <v>Projection</v>
      </c>
      <c r="Z6" s="833"/>
      <c r="AA6" s="437"/>
      <c r="AB6" s="833"/>
      <c r="AC6" s="622" t="s">
        <v>1025</v>
      </c>
      <c r="AD6" s="686"/>
      <c r="AE6" s="686"/>
      <c r="AF6" s="686"/>
      <c r="AG6" s="437"/>
      <c r="AH6" s="437"/>
    </row>
    <row r="7" spans="1:35" ht="51" customHeight="1">
      <c r="A7" s="681" t="s">
        <v>24</v>
      </c>
      <c r="B7" s="612" t="s">
        <v>873</v>
      </c>
      <c r="C7" s="613" t="s">
        <v>972</v>
      </c>
      <c r="D7" s="614"/>
      <c r="E7" s="621" t="s">
        <v>971</v>
      </c>
      <c r="F7" s="621" t="s">
        <v>366</v>
      </c>
      <c r="G7" s="614"/>
      <c r="H7" s="621" t="s">
        <v>971</v>
      </c>
      <c r="I7" s="621" t="s">
        <v>366</v>
      </c>
      <c r="J7" s="614"/>
      <c r="K7" s="1023" t="s">
        <v>1102</v>
      </c>
      <c r="L7" s="1023" t="s">
        <v>1103</v>
      </c>
      <c r="M7" s="1023" t="s">
        <v>1104</v>
      </c>
      <c r="N7" s="1023" t="s">
        <v>1105</v>
      </c>
      <c r="O7" s="1023" t="s">
        <v>1106</v>
      </c>
      <c r="P7" s="1023" t="s">
        <v>1107</v>
      </c>
      <c r="Q7" s="1023" t="s">
        <v>1108</v>
      </c>
      <c r="R7" s="1023" t="s">
        <v>1109</v>
      </c>
      <c r="S7" s="1023" t="s">
        <v>1110</v>
      </c>
      <c r="T7" s="1023" t="s">
        <v>1111</v>
      </c>
      <c r="U7" s="1023" t="s">
        <v>1112</v>
      </c>
      <c r="V7" s="1023" t="s">
        <v>1113</v>
      </c>
      <c r="W7" s="1023" t="s">
        <v>1102</v>
      </c>
      <c r="X7" s="833"/>
      <c r="Y7" s="1024" t="str">
        <f>IF(Toggle=Projection,"Beg-/End-of-Year Average",IF(Toggle=True_up,"13-month Average","Set Toggle!"))</f>
        <v>Beg-/End-of-Year Average</v>
      </c>
      <c r="Z7" s="833"/>
      <c r="AA7" s="1402" t="s">
        <v>910</v>
      </c>
      <c r="AB7" s="833"/>
      <c r="AC7" s="613" t="s">
        <v>872</v>
      </c>
      <c r="AD7" s="1698" t="s">
        <v>677</v>
      </c>
      <c r="AE7" s="1698" t="s">
        <v>63</v>
      </c>
      <c r="AF7" s="1698" t="s">
        <v>104</v>
      </c>
      <c r="AG7" s="613" t="s">
        <v>970</v>
      </c>
      <c r="AH7" s="437"/>
    </row>
    <row r="8" spans="1:35" s="459" customFormat="1">
      <c r="A8" s="720" t="s">
        <v>1811</v>
      </c>
      <c r="B8" s="724" t="s">
        <v>870</v>
      </c>
      <c r="C8" s="722" t="s">
        <v>830</v>
      </c>
      <c r="D8" s="835"/>
      <c r="E8" s="723">
        <v>248020</v>
      </c>
      <c r="F8" s="723">
        <v>242</v>
      </c>
      <c r="G8" s="723">
        <v>0</v>
      </c>
      <c r="H8" s="723">
        <v>546526</v>
      </c>
      <c r="I8" s="723">
        <v>555.66999999999996</v>
      </c>
      <c r="J8" s="832">
        <v>0</v>
      </c>
      <c r="K8" s="1251">
        <v>-6.3065223099999992</v>
      </c>
      <c r="L8" s="1251">
        <v>-6.8476055100000002</v>
      </c>
      <c r="M8" s="1251">
        <v>-7.3027956900000008</v>
      </c>
      <c r="N8" s="1251">
        <v>-7.7546542599999997</v>
      </c>
      <c r="O8" s="1251">
        <v>-8.2570698700000005</v>
      </c>
      <c r="P8" s="1251">
        <v>-9.1782378800000011</v>
      </c>
      <c r="Q8" s="1251">
        <v>-9.7551271400000008</v>
      </c>
      <c r="R8" s="1251">
        <v>-10.311003619999999</v>
      </c>
      <c r="S8" s="1251">
        <v>-10.867779519999999</v>
      </c>
      <c r="T8" s="1251">
        <v>-11.30013975</v>
      </c>
      <c r="U8" s="1251">
        <v>-11.720975810000001</v>
      </c>
      <c r="V8" s="1251">
        <v>-12.17775381</v>
      </c>
      <c r="W8" s="1251">
        <v>-6.1756324299999994</v>
      </c>
      <c r="X8" s="827">
        <v>0</v>
      </c>
      <c r="Y8" s="1254">
        <f t="shared" ref="Y8:Y67" si="0">IF(Toggle=Projection,AVERAGE(K8,W8),IF(Toggle=True_up,AVERAGE(K8:W8),"Set Toggle!"))</f>
        <v>-6.2410773699999993</v>
      </c>
      <c r="Z8" s="833">
        <v>0</v>
      </c>
      <c r="AA8" s="1722" t="s">
        <v>104</v>
      </c>
      <c r="AB8" s="833">
        <v>0</v>
      </c>
      <c r="AC8" s="1255" t="str">
        <f t="shared" ref="AC8:AF23" si="1">IF($AA8=AC$7,$Y8,"")</f>
        <v/>
      </c>
      <c r="AD8" s="1255" t="str">
        <f t="shared" si="1"/>
        <v/>
      </c>
      <c r="AE8" s="1255" t="str">
        <f t="shared" si="1"/>
        <v/>
      </c>
      <c r="AF8" s="1255">
        <f t="shared" si="1"/>
        <v>-6.2410773699999993</v>
      </c>
      <c r="AG8" s="617"/>
      <c r="AH8" s="616"/>
      <c r="AI8" s="1721"/>
    </row>
    <row r="9" spans="1:35" s="459" customFormat="1">
      <c r="A9" s="720" t="s">
        <v>1812</v>
      </c>
      <c r="B9" s="724" t="s">
        <v>870</v>
      </c>
      <c r="C9" s="722" t="s">
        <v>830</v>
      </c>
      <c r="D9" s="835"/>
      <c r="E9" s="723">
        <v>248028</v>
      </c>
      <c r="F9" s="723">
        <v>242</v>
      </c>
      <c r="G9" s="723">
        <v>0</v>
      </c>
      <c r="H9" s="723">
        <v>546516</v>
      </c>
      <c r="I9" s="723">
        <v>555.66999999999996</v>
      </c>
      <c r="J9" s="832">
        <v>0</v>
      </c>
      <c r="K9" s="1251">
        <v>-0.48948700000000001</v>
      </c>
      <c r="L9" s="1251">
        <v>-0.88403100000000001</v>
      </c>
      <c r="M9" s="1251">
        <v>-0.92856099999999997</v>
      </c>
      <c r="N9" s="1251">
        <v>-1.1802950000000001</v>
      </c>
      <c r="O9" s="1251">
        <v>-1.501082</v>
      </c>
      <c r="P9" s="1251">
        <v>-1.700189</v>
      </c>
      <c r="Q9" s="1251">
        <v>-2.0849150000000001</v>
      </c>
      <c r="R9" s="1251">
        <v>-2.5157569999999998</v>
      </c>
      <c r="S9" s="1251">
        <v>-2.949201</v>
      </c>
      <c r="T9" s="1251">
        <v>-3.3521740000000002</v>
      </c>
      <c r="U9" s="1251">
        <v>-3.6649310000000002</v>
      </c>
      <c r="V9" s="1251">
        <v>-3.9076059999999999</v>
      </c>
      <c r="W9" s="1251">
        <v>-3.126684</v>
      </c>
      <c r="X9" s="827">
        <v>0</v>
      </c>
      <c r="Y9" s="1254">
        <f t="shared" si="0"/>
        <v>-1.8080855</v>
      </c>
      <c r="Z9" s="833">
        <v>0</v>
      </c>
      <c r="AA9" s="1722" t="s">
        <v>104</v>
      </c>
      <c r="AB9" s="833">
        <v>0</v>
      </c>
      <c r="AC9" s="1255" t="str">
        <f t="shared" si="1"/>
        <v/>
      </c>
      <c r="AD9" s="1255" t="str">
        <f t="shared" si="1"/>
        <v/>
      </c>
      <c r="AE9" s="1255" t="str">
        <f t="shared" si="1"/>
        <v/>
      </c>
      <c r="AF9" s="1255">
        <f t="shared" si="1"/>
        <v>-1.8080855</v>
      </c>
      <c r="AG9" s="617"/>
      <c r="AH9" s="616"/>
      <c r="AI9" s="1721"/>
    </row>
    <row r="10" spans="1:35" s="459" customFormat="1">
      <c r="A10" s="720" t="s">
        <v>1480</v>
      </c>
      <c r="B10" s="724" t="s">
        <v>871</v>
      </c>
      <c r="C10" s="722" t="s">
        <v>830</v>
      </c>
      <c r="D10" s="835"/>
      <c r="E10" s="723">
        <v>248070</v>
      </c>
      <c r="F10" s="723">
        <v>242</v>
      </c>
      <c r="G10" s="723">
        <v>0</v>
      </c>
      <c r="H10" s="723">
        <v>545510</v>
      </c>
      <c r="I10" s="723">
        <v>426.3</v>
      </c>
      <c r="J10" s="832">
        <v>0</v>
      </c>
      <c r="K10" s="1251">
        <v>-2.5</v>
      </c>
      <c r="L10" s="1251">
        <v>-2.0998999999999999</v>
      </c>
      <c r="M10" s="1251">
        <v>0</v>
      </c>
      <c r="N10" s="1251">
        <v>0</v>
      </c>
      <c r="O10" s="1251">
        <v>0</v>
      </c>
      <c r="P10" s="1251">
        <v>0</v>
      </c>
      <c r="Q10" s="1251">
        <v>0</v>
      </c>
      <c r="R10" s="1251">
        <v>0</v>
      </c>
      <c r="S10" s="1251">
        <v>0</v>
      </c>
      <c r="T10" s="1251">
        <v>0</v>
      </c>
      <c r="U10" s="1251">
        <v>0</v>
      </c>
      <c r="V10" s="1251">
        <v>0</v>
      </c>
      <c r="W10" s="1251">
        <v>0</v>
      </c>
      <c r="X10" s="827">
        <v>0</v>
      </c>
      <c r="Y10" s="1254">
        <f t="shared" si="0"/>
        <v>-1.25</v>
      </c>
      <c r="Z10" s="833">
        <v>0</v>
      </c>
      <c r="AA10" s="1722" t="s">
        <v>104</v>
      </c>
      <c r="AB10" s="833">
        <v>0</v>
      </c>
      <c r="AC10" s="1255" t="str">
        <f t="shared" si="1"/>
        <v/>
      </c>
      <c r="AD10" s="1255" t="str">
        <f t="shared" si="1"/>
        <v/>
      </c>
      <c r="AE10" s="1255" t="str">
        <f t="shared" si="1"/>
        <v/>
      </c>
      <c r="AF10" s="1255">
        <f t="shared" si="1"/>
        <v>-1.25</v>
      </c>
      <c r="AG10" s="617"/>
      <c r="AH10" s="616"/>
      <c r="AI10" s="1721"/>
    </row>
    <row r="11" spans="1:35" s="459" customFormat="1">
      <c r="A11" s="720" t="s">
        <v>1979</v>
      </c>
      <c r="B11" s="724" t="s">
        <v>871</v>
      </c>
      <c r="C11" s="722" t="s">
        <v>830</v>
      </c>
      <c r="D11" s="835"/>
      <c r="E11" s="723">
        <v>248070</v>
      </c>
      <c r="F11" s="723">
        <v>242</v>
      </c>
      <c r="G11" s="723">
        <v>0</v>
      </c>
      <c r="H11" s="723">
        <v>545510</v>
      </c>
      <c r="I11" s="723">
        <v>426.3</v>
      </c>
      <c r="J11" s="832">
        <v>0</v>
      </c>
      <c r="K11" s="1251">
        <v>-1</v>
      </c>
      <c r="L11" s="1251">
        <v>-1</v>
      </c>
      <c r="M11" s="1251">
        <v>-1</v>
      </c>
      <c r="N11" s="1251">
        <v>-1</v>
      </c>
      <c r="O11" s="1251">
        <v>-1</v>
      </c>
      <c r="P11" s="1251">
        <v>-1</v>
      </c>
      <c r="Q11" s="1251">
        <v>-1</v>
      </c>
      <c r="R11" s="1251">
        <v>-1</v>
      </c>
      <c r="S11" s="1251">
        <v>-1</v>
      </c>
      <c r="T11" s="1251">
        <v>-1</v>
      </c>
      <c r="U11" s="1251">
        <v>-1</v>
      </c>
      <c r="V11" s="1251">
        <v>-1</v>
      </c>
      <c r="W11" s="1251">
        <v>-1</v>
      </c>
      <c r="X11" s="827">
        <v>0</v>
      </c>
      <c r="Y11" s="1254">
        <f t="shared" si="0"/>
        <v>-1</v>
      </c>
      <c r="Z11" s="833">
        <v>0</v>
      </c>
      <c r="AA11" s="1722" t="s">
        <v>104</v>
      </c>
      <c r="AB11" s="833">
        <v>0</v>
      </c>
      <c r="AC11" s="1255" t="str">
        <f t="shared" si="1"/>
        <v/>
      </c>
      <c r="AD11" s="1255" t="str">
        <f t="shared" si="1"/>
        <v/>
      </c>
      <c r="AE11" s="1255" t="str">
        <f t="shared" si="1"/>
        <v/>
      </c>
      <c r="AF11" s="1255">
        <f t="shared" si="1"/>
        <v>-1</v>
      </c>
      <c r="AG11" s="617"/>
      <c r="AH11" s="616"/>
      <c r="AI11" s="1721"/>
    </row>
    <row r="12" spans="1:35" s="459" customFormat="1">
      <c r="A12" s="720" t="s">
        <v>1980</v>
      </c>
      <c r="B12" s="724" t="s">
        <v>871</v>
      </c>
      <c r="C12" s="722" t="s">
        <v>830</v>
      </c>
      <c r="D12" s="835"/>
      <c r="E12" s="723">
        <v>248070</v>
      </c>
      <c r="F12" s="723">
        <v>242</v>
      </c>
      <c r="G12" s="723">
        <v>0</v>
      </c>
      <c r="H12" s="723">
        <v>506020</v>
      </c>
      <c r="I12" s="723">
        <v>565.25</v>
      </c>
      <c r="J12" s="832">
        <v>0</v>
      </c>
      <c r="K12" s="1251">
        <v>0</v>
      </c>
      <c r="L12" s="1251">
        <v>0</v>
      </c>
      <c r="M12" s="1251">
        <v>0</v>
      </c>
      <c r="N12" s="1251">
        <v>-0.24099999999999999</v>
      </c>
      <c r="O12" s="1251">
        <v>-0.24099999999999999</v>
      </c>
      <c r="P12" s="1251">
        <v>-0.24099999999999999</v>
      </c>
      <c r="Q12" s="1251">
        <v>-0.24099999999999999</v>
      </c>
      <c r="R12" s="1251">
        <v>-0.24099999999999999</v>
      </c>
      <c r="S12" s="1251">
        <v>-0.24099999999999999</v>
      </c>
      <c r="T12" s="1251">
        <v>-0.24099999999999999</v>
      </c>
      <c r="U12" s="1251">
        <v>-0.24099999999999999</v>
      </c>
      <c r="V12" s="1251">
        <v>-0.24099999999999999</v>
      </c>
      <c r="W12" s="1251">
        <v>0</v>
      </c>
      <c r="X12" s="827">
        <v>0</v>
      </c>
      <c r="Y12" s="1254">
        <f t="shared" si="0"/>
        <v>0</v>
      </c>
      <c r="Z12" s="833">
        <v>0</v>
      </c>
      <c r="AA12" s="1722" t="s">
        <v>104</v>
      </c>
      <c r="AB12" s="833">
        <v>0</v>
      </c>
      <c r="AC12" s="1255" t="str">
        <f t="shared" si="1"/>
        <v/>
      </c>
      <c r="AD12" s="1255" t="str">
        <f t="shared" si="1"/>
        <v/>
      </c>
      <c r="AE12" s="1255" t="str">
        <f t="shared" si="1"/>
        <v/>
      </c>
      <c r="AF12" s="1255">
        <f t="shared" si="1"/>
        <v>0</v>
      </c>
      <c r="AG12" s="617"/>
      <c r="AH12" s="616"/>
      <c r="AI12" s="1721"/>
    </row>
    <row r="13" spans="1:35" s="459" customFormat="1">
      <c r="A13" s="720" t="s">
        <v>1981</v>
      </c>
      <c r="B13" s="724" t="s">
        <v>871</v>
      </c>
      <c r="C13" s="722" t="s">
        <v>830</v>
      </c>
      <c r="D13" s="835"/>
      <c r="E13" s="723">
        <v>248070</v>
      </c>
      <c r="F13" s="723">
        <v>242</v>
      </c>
      <c r="G13" s="723">
        <v>0</v>
      </c>
      <c r="H13" s="723">
        <v>545510</v>
      </c>
      <c r="I13" s="723">
        <v>426.3</v>
      </c>
      <c r="J13" s="832">
        <v>0</v>
      </c>
      <c r="K13" s="1251">
        <v>0</v>
      </c>
      <c r="L13" s="1251">
        <v>0</v>
      </c>
      <c r="M13" s="1251">
        <v>0</v>
      </c>
      <c r="N13" s="1251">
        <v>0</v>
      </c>
      <c r="O13" s="1251">
        <v>0</v>
      </c>
      <c r="P13" s="1251">
        <v>-0.125</v>
      </c>
      <c r="Q13" s="1251">
        <v>-0.125</v>
      </c>
      <c r="R13" s="1251">
        <v>-0.125</v>
      </c>
      <c r="S13" s="1251">
        <v>-0.125</v>
      </c>
      <c r="T13" s="1251">
        <v>-0.125</v>
      </c>
      <c r="U13" s="1251">
        <v>-0.125</v>
      </c>
      <c r="V13" s="1251">
        <v>-0.125</v>
      </c>
      <c r="W13" s="1251">
        <v>-0.14499999999999999</v>
      </c>
      <c r="X13" s="827">
        <v>0</v>
      </c>
      <c r="Y13" s="1254">
        <f t="shared" si="0"/>
        <v>-7.2499999999999995E-2</v>
      </c>
      <c r="Z13" s="833">
        <v>0</v>
      </c>
      <c r="AA13" s="1722" t="s">
        <v>104</v>
      </c>
      <c r="AB13" s="833">
        <v>0</v>
      </c>
      <c r="AC13" s="1255" t="str">
        <f t="shared" si="1"/>
        <v/>
      </c>
      <c r="AD13" s="1255" t="str">
        <f t="shared" si="1"/>
        <v/>
      </c>
      <c r="AE13" s="1255" t="str">
        <f t="shared" si="1"/>
        <v/>
      </c>
      <c r="AF13" s="1255">
        <f t="shared" si="1"/>
        <v>-7.2499999999999995E-2</v>
      </c>
      <c r="AG13" s="617"/>
      <c r="AH13" s="616"/>
      <c r="AI13" s="1721"/>
    </row>
    <row r="14" spans="1:35" s="459" customFormat="1">
      <c r="A14" s="720" t="s">
        <v>1982</v>
      </c>
      <c r="B14" s="724" t="s">
        <v>871</v>
      </c>
      <c r="C14" s="722" t="s">
        <v>830</v>
      </c>
      <c r="D14" s="835"/>
      <c r="E14" s="723">
        <v>248070</v>
      </c>
      <c r="F14" s="723">
        <v>242</v>
      </c>
      <c r="G14" s="723">
        <v>0</v>
      </c>
      <c r="H14" s="723" t="s">
        <v>1977</v>
      </c>
      <c r="I14" s="723">
        <v>107</v>
      </c>
      <c r="J14" s="832">
        <v>0</v>
      </c>
      <c r="K14" s="1251">
        <v>0</v>
      </c>
      <c r="L14" s="1251">
        <v>0</v>
      </c>
      <c r="M14" s="1251">
        <v>0</v>
      </c>
      <c r="N14" s="1251">
        <v>0</v>
      </c>
      <c r="O14" s="1251">
        <v>0</v>
      </c>
      <c r="P14" s="1251">
        <v>0</v>
      </c>
      <c r="Q14" s="1251">
        <v>-3.0150000000000001</v>
      </c>
      <c r="R14" s="1251">
        <v>-3.0150000000000001</v>
      </c>
      <c r="S14" s="1251">
        <v>-3.0150000000000001</v>
      </c>
      <c r="T14" s="1251">
        <v>-3.0150000000000001</v>
      </c>
      <c r="U14" s="1251">
        <v>-1.48558594</v>
      </c>
      <c r="V14" s="1251">
        <v>-1.48558594</v>
      </c>
      <c r="W14" s="1251">
        <v>0</v>
      </c>
      <c r="X14" s="827">
        <v>0</v>
      </c>
      <c r="Y14" s="1254">
        <f t="shared" si="0"/>
        <v>0</v>
      </c>
      <c r="Z14" s="833">
        <v>0</v>
      </c>
      <c r="AA14" s="1722" t="s">
        <v>104</v>
      </c>
      <c r="AB14" s="833">
        <v>0</v>
      </c>
      <c r="AC14" s="1255" t="str">
        <f t="shared" si="1"/>
        <v/>
      </c>
      <c r="AD14" s="1255" t="str">
        <f t="shared" si="1"/>
        <v/>
      </c>
      <c r="AE14" s="1255" t="str">
        <f t="shared" si="1"/>
        <v/>
      </c>
      <c r="AF14" s="1255">
        <f t="shared" si="1"/>
        <v>0</v>
      </c>
      <c r="AG14" s="617"/>
      <c r="AH14" s="616"/>
      <c r="AI14" s="1721"/>
    </row>
    <row r="15" spans="1:35" s="459" customFormat="1">
      <c r="A15" s="720" t="s">
        <v>1983</v>
      </c>
      <c r="B15" s="724" t="s">
        <v>871</v>
      </c>
      <c r="C15" s="722" t="s">
        <v>830</v>
      </c>
      <c r="D15" s="835"/>
      <c r="E15" s="723">
        <v>248070</v>
      </c>
      <c r="F15" s="723">
        <v>242</v>
      </c>
      <c r="G15" s="723">
        <v>0</v>
      </c>
      <c r="H15" s="723" t="s">
        <v>1977</v>
      </c>
      <c r="I15" s="723">
        <v>107</v>
      </c>
      <c r="J15" s="832">
        <v>0</v>
      </c>
      <c r="K15" s="1251">
        <v>0</v>
      </c>
      <c r="L15" s="1251">
        <v>0</v>
      </c>
      <c r="M15" s="1251">
        <v>0</v>
      </c>
      <c r="N15" s="1251">
        <v>0</v>
      </c>
      <c r="O15" s="1251">
        <v>0</v>
      </c>
      <c r="P15" s="1251">
        <v>0</v>
      </c>
      <c r="Q15" s="1251">
        <v>-1.7569999999999999</v>
      </c>
      <c r="R15" s="1251">
        <v>-1.7569999999999999</v>
      </c>
      <c r="S15" s="1251">
        <v>-1.7569999999999999</v>
      </c>
      <c r="T15" s="1251">
        <v>-1.7569999999999999</v>
      </c>
      <c r="U15" s="1251">
        <v>-1.7569999999999999</v>
      </c>
      <c r="V15" s="1251">
        <v>0</v>
      </c>
      <c r="W15" s="1251">
        <v>0</v>
      </c>
      <c r="X15" s="827">
        <v>0</v>
      </c>
      <c r="Y15" s="1254">
        <f t="shared" si="0"/>
        <v>0</v>
      </c>
      <c r="Z15" s="833">
        <v>0</v>
      </c>
      <c r="AA15" s="1722" t="s">
        <v>104</v>
      </c>
      <c r="AB15" s="833">
        <v>0</v>
      </c>
      <c r="AC15" s="1255" t="str">
        <f t="shared" si="1"/>
        <v/>
      </c>
      <c r="AD15" s="1255" t="str">
        <f t="shared" si="1"/>
        <v/>
      </c>
      <c r="AE15" s="1255" t="str">
        <f t="shared" si="1"/>
        <v/>
      </c>
      <c r="AF15" s="1255">
        <f t="shared" si="1"/>
        <v>0</v>
      </c>
      <c r="AG15" s="617"/>
      <c r="AH15" s="616"/>
      <c r="AI15" s="1721"/>
    </row>
    <row r="16" spans="1:35" s="459" customFormat="1">
      <c r="A16" s="720" t="s">
        <v>1984</v>
      </c>
      <c r="B16" s="724" t="s">
        <v>871</v>
      </c>
      <c r="C16" s="722" t="s">
        <v>830</v>
      </c>
      <c r="D16" s="835"/>
      <c r="E16" s="723">
        <v>248070</v>
      </c>
      <c r="F16" s="723">
        <v>242</v>
      </c>
      <c r="G16" s="723">
        <v>0</v>
      </c>
      <c r="H16" s="723">
        <v>545500</v>
      </c>
      <c r="I16" s="723">
        <v>555.25</v>
      </c>
      <c r="J16" s="832">
        <v>0</v>
      </c>
      <c r="K16" s="1251">
        <v>0</v>
      </c>
      <c r="L16" s="1251">
        <v>0</v>
      </c>
      <c r="M16" s="1251">
        <v>0</v>
      </c>
      <c r="N16" s="1251">
        <v>0</v>
      </c>
      <c r="O16" s="1251">
        <v>0</v>
      </c>
      <c r="P16" s="1251">
        <v>0</v>
      </c>
      <c r="Q16" s="1251">
        <v>0</v>
      </c>
      <c r="R16" s="1251">
        <v>0</v>
      </c>
      <c r="S16" s="1251">
        <v>0</v>
      </c>
      <c r="T16" s="1251">
        <v>-4.2042940000000001E-2</v>
      </c>
      <c r="U16" s="1251">
        <v>-4.2042940000000001E-2</v>
      </c>
      <c r="V16" s="1251">
        <v>-4.2042940000000001E-2</v>
      </c>
      <c r="W16" s="1251">
        <v>-7.0000000000000007E-2</v>
      </c>
      <c r="X16" s="827">
        <v>0</v>
      </c>
      <c r="Y16" s="1254">
        <f t="shared" si="0"/>
        <v>-3.5000000000000003E-2</v>
      </c>
      <c r="Z16" s="833">
        <v>0</v>
      </c>
      <c r="AA16" s="1722" t="s">
        <v>104</v>
      </c>
      <c r="AB16" s="833">
        <v>0</v>
      </c>
      <c r="AC16" s="1255" t="str">
        <f t="shared" si="1"/>
        <v/>
      </c>
      <c r="AD16" s="1255" t="str">
        <f t="shared" si="1"/>
        <v/>
      </c>
      <c r="AE16" s="1255" t="str">
        <f t="shared" si="1"/>
        <v/>
      </c>
      <c r="AF16" s="1255">
        <f t="shared" si="1"/>
        <v>-3.5000000000000003E-2</v>
      </c>
      <c r="AG16" s="617"/>
      <c r="AH16" s="616"/>
      <c r="AI16" s="1721"/>
    </row>
    <row r="17" spans="1:35" s="459" customFormat="1">
      <c r="A17" s="720" t="s">
        <v>1985</v>
      </c>
      <c r="B17" s="724" t="s">
        <v>871</v>
      </c>
      <c r="C17" s="722" t="s">
        <v>830</v>
      </c>
      <c r="D17" s="835"/>
      <c r="E17" s="723">
        <v>248070</v>
      </c>
      <c r="F17" s="723">
        <v>242</v>
      </c>
      <c r="G17" s="723">
        <v>0</v>
      </c>
      <c r="H17" s="723">
        <v>545500</v>
      </c>
      <c r="I17" s="723">
        <v>555.25</v>
      </c>
      <c r="J17" s="832">
        <v>0</v>
      </c>
      <c r="K17" s="1251">
        <v>0</v>
      </c>
      <c r="L17" s="1251">
        <v>0</v>
      </c>
      <c r="M17" s="1251">
        <v>0</v>
      </c>
      <c r="N17" s="1251">
        <v>0</v>
      </c>
      <c r="O17" s="1251">
        <v>0</v>
      </c>
      <c r="P17" s="1251">
        <v>0</v>
      </c>
      <c r="Q17" s="1251">
        <v>0</v>
      </c>
      <c r="R17" s="1251">
        <v>0</v>
      </c>
      <c r="S17" s="1251">
        <v>0</v>
      </c>
      <c r="T17" s="1251">
        <v>0</v>
      </c>
      <c r="U17" s="1251">
        <v>-1.65</v>
      </c>
      <c r="V17" s="1251">
        <v>0</v>
      </c>
      <c r="W17" s="1251">
        <v>0</v>
      </c>
      <c r="X17" s="827">
        <v>0</v>
      </c>
      <c r="Y17" s="1254">
        <f t="shared" si="0"/>
        <v>0</v>
      </c>
      <c r="Z17" s="833">
        <v>0</v>
      </c>
      <c r="AA17" s="1722" t="s">
        <v>104</v>
      </c>
      <c r="AB17" s="833">
        <v>0</v>
      </c>
      <c r="AC17" s="1255" t="str">
        <f t="shared" si="1"/>
        <v/>
      </c>
      <c r="AD17" s="1255" t="str">
        <f t="shared" si="1"/>
        <v/>
      </c>
      <c r="AE17" s="1255" t="str">
        <f t="shared" si="1"/>
        <v/>
      </c>
      <c r="AF17" s="1255">
        <f t="shared" si="1"/>
        <v>0</v>
      </c>
      <c r="AG17" s="617"/>
      <c r="AH17" s="616"/>
      <c r="AI17" s="1721"/>
    </row>
    <row r="18" spans="1:35" s="459" customFormat="1">
      <c r="A18" s="720" t="s">
        <v>1986</v>
      </c>
      <c r="B18" s="724" t="s">
        <v>871</v>
      </c>
      <c r="C18" s="722" t="s">
        <v>830</v>
      </c>
      <c r="D18" s="835"/>
      <c r="E18" s="723">
        <v>248070</v>
      </c>
      <c r="F18" s="723">
        <v>242</v>
      </c>
      <c r="G18" s="723">
        <v>0</v>
      </c>
      <c r="H18" s="723">
        <v>506059</v>
      </c>
      <c r="I18" s="723">
        <v>565.1</v>
      </c>
      <c r="J18" s="832">
        <v>0</v>
      </c>
      <c r="K18" s="1251">
        <v>0</v>
      </c>
      <c r="L18" s="1251">
        <v>0</v>
      </c>
      <c r="M18" s="1251">
        <v>0</v>
      </c>
      <c r="N18" s="1251">
        <v>0</v>
      </c>
      <c r="O18" s="1251">
        <v>0</v>
      </c>
      <c r="P18" s="1251">
        <v>0</v>
      </c>
      <c r="Q18" s="1251">
        <v>0</v>
      </c>
      <c r="R18" s="1251">
        <v>0</v>
      </c>
      <c r="S18" s="1251">
        <v>0</v>
      </c>
      <c r="T18" s="1251">
        <v>0</v>
      </c>
      <c r="U18" s="1251">
        <v>0</v>
      </c>
      <c r="V18" s="1251">
        <v>0</v>
      </c>
      <c r="W18" s="1251">
        <v>-3.2312557799999997</v>
      </c>
      <c r="X18" s="827">
        <v>0</v>
      </c>
      <c r="Y18" s="1254">
        <f t="shared" si="0"/>
        <v>-1.6156278899999998</v>
      </c>
      <c r="Z18" s="833">
        <v>0</v>
      </c>
      <c r="AA18" s="1722" t="s">
        <v>104</v>
      </c>
      <c r="AB18" s="833">
        <v>0</v>
      </c>
      <c r="AC18" s="1255" t="str">
        <f t="shared" si="1"/>
        <v/>
      </c>
      <c r="AD18" s="1255" t="str">
        <f t="shared" si="1"/>
        <v/>
      </c>
      <c r="AE18" s="1255" t="str">
        <f t="shared" si="1"/>
        <v/>
      </c>
      <c r="AF18" s="1255">
        <f t="shared" si="1"/>
        <v>-1.6156278899999998</v>
      </c>
      <c r="AG18" s="617"/>
      <c r="AH18" s="616"/>
      <c r="AI18" s="1721"/>
    </row>
    <row r="19" spans="1:35" s="459" customFormat="1">
      <c r="A19" s="720" t="s">
        <v>1426</v>
      </c>
      <c r="B19" s="724" t="s">
        <v>871</v>
      </c>
      <c r="C19" s="722" t="s">
        <v>830</v>
      </c>
      <c r="D19" s="835"/>
      <c r="E19" s="723">
        <v>289950</v>
      </c>
      <c r="F19" s="723">
        <v>253.99</v>
      </c>
      <c r="G19" s="723">
        <v>0</v>
      </c>
      <c r="H19" s="723">
        <v>545502</v>
      </c>
      <c r="I19" s="723">
        <v>426.5</v>
      </c>
      <c r="J19" s="832">
        <v>0</v>
      </c>
      <c r="K19" s="1251">
        <v>-119.10360148000001</v>
      </c>
      <c r="L19" s="1251">
        <v>-119.31028192000001</v>
      </c>
      <c r="M19" s="1251">
        <v>-119.51696235999999</v>
      </c>
      <c r="N19" s="1251">
        <v>-119.72364279999999</v>
      </c>
      <c r="O19" s="1251">
        <v>-119.93032323999999</v>
      </c>
      <c r="P19" s="1251">
        <v>-120.13700368000001</v>
      </c>
      <c r="Q19" s="1251">
        <v>-120.34368412000001</v>
      </c>
      <c r="R19" s="1251">
        <v>-120.55036456000001</v>
      </c>
      <c r="S19" s="1251">
        <v>-120.75704500000001</v>
      </c>
      <c r="T19" s="1251">
        <v>-120.96372544</v>
      </c>
      <c r="U19" s="1251">
        <v>-121.17040587999999</v>
      </c>
      <c r="V19" s="1251">
        <v>-121.37708631999999</v>
      </c>
      <c r="W19" s="1251">
        <v>-121.58376676</v>
      </c>
      <c r="X19" s="827">
        <v>0</v>
      </c>
      <c r="Y19" s="1254">
        <f t="shared" si="0"/>
        <v>-120.34368412000001</v>
      </c>
      <c r="Z19" s="833">
        <v>0</v>
      </c>
      <c r="AA19" s="1722" t="s">
        <v>104</v>
      </c>
      <c r="AB19" s="833">
        <v>0</v>
      </c>
      <c r="AC19" s="1255" t="str">
        <f t="shared" si="1"/>
        <v/>
      </c>
      <c r="AD19" s="1255" t="str">
        <f t="shared" si="1"/>
        <v/>
      </c>
      <c r="AE19" s="1255" t="str">
        <f t="shared" si="1"/>
        <v/>
      </c>
      <c r="AF19" s="1255">
        <f t="shared" si="1"/>
        <v>-120.34368412000001</v>
      </c>
      <c r="AG19" s="617"/>
      <c r="AH19" s="616"/>
      <c r="AI19" s="1721"/>
    </row>
    <row r="20" spans="1:35" s="459" customFormat="1">
      <c r="A20" s="720" t="s">
        <v>1427</v>
      </c>
      <c r="B20" s="724" t="s">
        <v>870</v>
      </c>
      <c r="C20" s="722" t="s">
        <v>830</v>
      </c>
      <c r="D20" s="835"/>
      <c r="E20" s="723">
        <v>248025</v>
      </c>
      <c r="F20" s="723">
        <v>242</v>
      </c>
      <c r="G20" s="723">
        <v>0</v>
      </c>
      <c r="H20" s="723">
        <v>505214</v>
      </c>
      <c r="I20" s="723">
        <v>555.63</v>
      </c>
      <c r="J20" s="832">
        <v>0</v>
      </c>
      <c r="K20" s="1251">
        <v>-0.20699999999999999</v>
      </c>
      <c r="L20" s="1251">
        <v>-0.20699999999999999</v>
      </c>
      <c r="M20" s="1251">
        <v>-0.20699999999999999</v>
      </c>
      <c r="N20" s="1251">
        <v>-0.20699999999999999</v>
      </c>
      <c r="O20" s="1251">
        <v>-0.20699999999999999</v>
      </c>
      <c r="P20" s="1251">
        <v>-0.20699999999999999</v>
      </c>
      <c r="Q20" s="1251">
        <v>-0.20699999999999999</v>
      </c>
      <c r="R20" s="1251">
        <v>-0.20699999999999999</v>
      </c>
      <c r="S20" s="1251">
        <v>-0.20699999999999999</v>
      </c>
      <c r="T20" s="1251">
        <v>-0.20699999999999999</v>
      </c>
      <c r="U20" s="1251">
        <v>-0.20699999999999999</v>
      </c>
      <c r="V20" s="1251">
        <v>-0.20699999999999999</v>
      </c>
      <c r="W20" s="1251">
        <v>-0.20699999999999999</v>
      </c>
      <c r="X20" s="827">
        <v>0</v>
      </c>
      <c r="Y20" s="1254">
        <f t="shared" si="0"/>
        <v>-0.20699999999999999</v>
      </c>
      <c r="Z20" s="833">
        <v>0</v>
      </c>
      <c r="AA20" s="1722" t="s">
        <v>104</v>
      </c>
      <c r="AB20" s="833">
        <v>0</v>
      </c>
      <c r="AC20" s="1255" t="str">
        <f t="shared" si="1"/>
        <v/>
      </c>
      <c r="AD20" s="1255" t="str">
        <f t="shared" si="1"/>
        <v/>
      </c>
      <c r="AE20" s="1255" t="str">
        <f t="shared" si="1"/>
        <v/>
      </c>
      <c r="AF20" s="1255">
        <f t="shared" si="1"/>
        <v>-0.20699999999999999</v>
      </c>
      <c r="AG20" s="617"/>
      <c r="AH20" s="616"/>
      <c r="AI20" s="1721"/>
    </row>
    <row r="21" spans="1:35" s="459" customFormat="1">
      <c r="A21" s="720" t="s">
        <v>1813</v>
      </c>
      <c r="B21" s="724" t="s">
        <v>870</v>
      </c>
      <c r="C21" s="722" t="s">
        <v>830</v>
      </c>
      <c r="D21" s="835"/>
      <c r="E21" s="723">
        <v>248025</v>
      </c>
      <c r="F21" s="723">
        <v>242</v>
      </c>
      <c r="G21" s="723">
        <v>0</v>
      </c>
      <c r="H21" s="723">
        <v>505214</v>
      </c>
      <c r="I21" s="723">
        <v>555.63</v>
      </c>
      <c r="J21" s="832">
        <v>0</v>
      </c>
      <c r="K21" s="1251">
        <v>-1.14040261</v>
      </c>
      <c r="L21" s="1251">
        <v>-1.1404026100000002</v>
      </c>
      <c r="M21" s="1251">
        <v>-1.1404026100000002</v>
      </c>
      <c r="N21" s="1251">
        <v>-1.17878719</v>
      </c>
      <c r="O21" s="1251">
        <v>-1.0805549699999999</v>
      </c>
      <c r="P21" s="1251">
        <v>-0.98232269999999999</v>
      </c>
      <c r="Q21" s="1251">
        <v>-0.88409043000000009</v>
      </c>
      <c r="R21" s="1251">
        <v>-0.78585816000000008</v>
      </c>
      <c r="S21" s="1251">
        <v>-0.68762588999999996</v>
      </c>
      <c r="T21" s="1251">
        <v>-0.58939361999999995</v>
      </c>
      <c r="U21" s="1251">
        <v>-0.49116135</v>
      </c>
      <c r="V21" s="1251">
        <v>-0.39292908000000004</v>
      </c>
      <c r="W21" s="1251">
        <v>-0.29469680999999998</v>
      </c>
      <c r="X21" s="827">
        <v>0</v>
      </c>
      <c r="Y21" s="1254">
        <f t="shared" si="0"/>
        <v>-0.71754971000000001</v>
      </c>
      <c r="Z21" s="833">
        <v>0</v>
      </c>
      <c r="AA21" s="1722" t="s">
        <v>104</v>
      </c>
      <c r="AB21" s="833">
        <v>0</v>
      </c>
      <c r="AC21" s="1255" t="str">
        <f t="shared" si="1"/>
        <v/>
      </c>
      <c r="AD21" s="1255" t="str">
        <f t="shared" si="1"/>
        <v/>
      </c>
      <c r="AE21" s="1255" t="str">
        <f t="shared" si="1"/>
        <v/>
      </c>
      <c r="AF21" s="1255">
        <f t="shared" si="1"/>
        <v>-0.71754971000000001</v>
      </c>
      <c r="AG21" s="617"/>
      <c r="AH21" s="616"/>
      <c r="AI21" s="1721"/>
    </row>
    <row r="22" spans="1:35" s="459" customFormat="1">
      <c r="A22" s="720" t="s">
        <v>1987</v>
      </c>
      <c r="B22" s="724" t="s">
        <v>870</v>
      </c>
      <c r="C22" s="722" t="s">
        <v>830</v>
      </c>
      <c r="D22" s="835"/>
      <c r="E22" s="723">
        <v>248025</v>
      </c>
      <c r="F22" s="723">
        <v>242</v>
      </c>
      <c r="G22" s="723">
        <v>0</v>
      </c>
      <c r="H22" s="723">
        <v>505206</v>
      </c>
      <c r="I22" s="723">
        <v>555.25</v>
      </c>
      <c r="J22" s="832">
        <v>0</v>
      </c>
      <c r="K22" s="1251">
        <v>-2.1611211800000003</v>
      </c>
      <c r="L22" s="1251">
        <v>-1.3488977800000002</v>
      </c>
      <c r="M22" s="1251">
        <v>-0.98955421999999993</v>
      </c>
      <c r="N22" s="1251">
        <v>-0.38798116000000005</v>
      </c>
      <c r="O22" s="1251">
        <v>-2.6454599999999884E-3</v>
      </c>
      <c r="P22" s="1251">
        <v>0</v>
      </c>
      <c r="Q22" s="1251">
        <v>0</v>
      </c>
      <c r="R22" s="1251">
        <v>0</v>
      </c>
      <c r="S22" s="1251">
        <v>0</v>
      </c>
      <c r="T22" s="1251">
        <v>0</v>
      </c>
      <c r="U22" s="1251">
        <v>0</v>
      </c>
      <c r="V22" s="1251">
        <v>0</v>
      </c>
      <c r="W22" s="1251">
        <v>0</v>
      </c>
      <c r="X22" s="827">
        <v>0</v>
      </c>
      <c r="Y22" s="1254">
        <f t="shared" si="0"/>
        <v>-1.0805605900000002</v>
      </c>
      <c r="Z22" s="833">
        <v>0</v>
      </c>
      <c r="AA22" s="1722" t="s">
        <v>104</v>
      </c>
      <c r="AB22" s="833">
        <v>0</v>
      </c>
      <c r="AC22" s="1255" t="str">
        <f t="shared" si="1"/>
        <v/>
      </c>
      <c r="AD22" s="1255" t="str">
        <f t="shared" si="1"/>
        <v/>
      </c>
      <c r="AE22" s="1255" t="str">
        <f t="shared" si="1"/>
        <v/>
      </c>
      <c r="AF22" s="1255">
        <f t="shared" si="1"/>
        <v>-1.0805605900000002</v>
      </c>
      <c r="AG22" s="617"/>
      <c r="AH22" s="616"/>
      <c r="AI22" s="1721"/>
    </row>
    <row r="23" spans="1:35" s="459" customFormat="1">
      <c r="A23" s="720" t="s">
        <v>1988</v>
      </c>
      <c r="B23" s="724" t="s">
        <v>870</v>
      </c>
      <c r="C23" s="722" t="s">
        <v>830</v>
      </c>
      <c r="D23" s="835"/>
      <c r="E23" s="723">
        <v>248025</v>
      </c>
      <c r="F23" s="723">
        <v>242</v>
      </c>
      <c r="G23" s="723">
        <v>0</v>
      </c>
      <c r="H23" s="723">
        <v>505206</v>
      </c>
      <c r="I23" s="723">
        <v>555.25</v>
      </c>
      <c r="J23" s="832">
        <v>0</v>
      </c>
      <c r="K23" s="1251">
        <v>-0.20195339000000001</v>
      </c>
      <c r="L23" s="1251">
        <v>-0.20195339000000001</v>
      </c>
      <c r="M23" s="1251">
        <v>-0.20195339000000001</v>
      </c>
      <c r="N23" s="1251">
        <v>-0.20195339000000001</v>
      </c>
      <c r="O23" s="1251">
        <v>-0.20195339000000001</v>
      </c>
      <c r="P23" s="1251">
        <v>-0.20195339000000001</v>
      </c>
      <c r="Q23" s="1251">
        <v>-0.20195339000000001</v>
      </c>
      <c r="R23" s="1251">
        <v>-0.20195339000000001</v>
      </c>
      <c r="S23" s="1251">
        <v>-0.20195339000000001</v>
      </c>
      <c r="T23" s="1251">
        <v>-0.20195339000000001</v>
      </c>
      <c r="U23" s="1251">
        <v>-0.20195339000000001</v>
      </c>
      <c r="V23" s="1251">
        <v>-0.20195339000000001</v>
      </c>
      <c r="W23" s="1251">
        <v>-0.20195339000000001</v>
      </c>
      <c r="X23" s="827">
        <v>0</v>
      </c>
      <c r="Y23" s="1254">
        <f t="shared" si="0"/>
        <v>-0.20195339000000001</v>
      </c>
      <c r="Z23" s="833">
        <v>0</v>
      </c>
      <c r="AA23" s="1722" t="s">
        <v>104</v>
      </c>
      <c r="AB23" s="833">
        <v>0</v>
      </c>
      <c r="AC23" s="1255" t="str">
        <f t="shared" si="1"/>
        <v/>
      </c>
      <c r="AD23" s="1255" t="str">
        <f t="shared" si="1"/>
        <v/>
      </c>
      <c r="AE23" s="1255" t="str">
        <f t="shared" si="1"/>
        <v/>
      </c>
      <c r="AF23" s="1255">
        <f t="shared" si="1"/>
        <v>-0.20195339000000001</v>
      </c>
      <c r="AG23" s="617"/>
      <c r="AH23" s="616"/>
      <c r="AI23" s="1721"/>
    </row>
    <row r="24" spans="1:35" s="459" customFormat="1">
      <c r="A24" s="720" t="s">
        <v>1989</v>
      </c>
      <c r="B24" s="724" t="s">
        <v>870</v>
      </c>
      <c r="C24" s="722" t="s">
        <v>830</v>
      </c>
      <c r="D24" s="835"/>
      <c r="E24" s="723">
        <v>248025</v>
      </c>
      <c r="F24" s="723">
        <v>242</v>
      </c>
      <c r="G24" s="723">
        <v>0</v>
      </c>
      <c r="H24" s="723">
        <v>506050</v>
      </c>
      <c r="I24" s="723">
        <v>565.46</v>
      </c>
      <c r="J24" s="832">
        <v>0</v>
      </c>
      <c r="K24" s="1251">
        <v>0</v>
      </c>
      <c r="L24" s="1251">
        <v>0</v>
      </c>
      <c r="M24" s="1251">
        <v>0</v>
      </c>
      <c r="N24" s="1251">
        <v>0</v>
      </c>
      <c r="O24" s="1251">
        <v>0</v>
      </c>
      <c r="P24" s="1251">
        <v>0</v>
      </c>
      <c r="Q24" s="1251">
        <v>0</v>
      </c>
      <c r="R24" s="1251">
        <v>-0.196968</v>
      </c>
      <c r="S24" s="1251">
        <v>-0.38969999999999999</v>
      </c>
      <c r="T24" s="1251">
        <v>-0.45535599999999998</v>
      </c>
      <c r="U24" s="1251">
        <v>-0.52101200000000003</v>
      </c>
      <c r="V24" s="1251">
        <v>-0.58666799999999997</v>
      </c>
      <c r="W24" s="1251">
        <v>-0.65321200000000001</v>
      </c>
      <c r="X24" s="827">
        <v>0</v>
      </c>
      <c r="Y24" s="1254">
        <f t="shared" si="0"/>
        <v>-0.32660600000000001</v>
      </c>
      <c r="Z24" s="833">
        <v>0</v>
      </c>
      <c r="AA24" s="1722" t="s">
        <v>104</v>
      </c>
      <c r="AB24" s="833">
        <v>0</v>
      </c>
      <c r="AC24" s="1255" t="str">
        <f t="shared" ref="AC24:AF74" si="2">IF($AA24=AC$7,$Y24,"")</f>
        <v/>
      </c>
      <c r="AD24" s="1255" t="str">
        <f t="shared" si="2"/>
        <v/>
      </c>
      <c r="AE24" s="1255" t="str">
        <f t="shared" si="2"/>
        <v/>
      </c>
      <c r="AF24" s="1255">
        <f t="shared" si="2"/>
        <v>-0.32660600000000001</v>
      </c>
      <c r="AG24" s="617"/>
      <c r="AH24" s="616"/>
      <c r="AI24" s="1721"/>
    </row>
    <row r="25" spans="1:35" s="459" customFormat="1">
      <c r="A25" s="720" t="s">
        <v>1990</v>
      </c>
      <c r="B25" s="724" t="s">
        <v>1994</v>
      </c>
      <c r="C25" s="722" t="s">
        <v>830</v>
      </c>
      <c r="D25" s="835"/>
      <c r="E25" s="723">
        <v>284100</v>
      </c>
      <c r="F25" s="723">
        <v>229</v>
      </c>
      <c r="G25" s="723">
        <v>0</v>
      </c>
      <c r="H25" s="723">
        <v>301913</v>
      </c>
      <c r="I25" s="723">
        <v>456.19900000000001</v>
      </c>
      <c r="J25" s="832">
        <v>0</v>
      </c>
      <c r="K25" s="1251">
        <v>-1.87973222</v>
      </c>
      <c r="L25" s="1251">
        <v>-1.87973222</v>
      </c>
      <c r="M25" s="1251">
        <v>-1.87973222</v>
      </c>
      <c r="N25" s="1251">
        <v>-1.87973222</v>
      </c>
      <c r="O25" s="1251">
        <v>-1.87973222</v>
      </c>
      <c r="P25" s="1251">
        <v>-2.1377112299999999</v>
      </c>
      <c r="Q25" s="1251">
        <v>0</v>
      </c>
      <c r="R25" s="1251">
        <v>0</v>
      </c>
      <c r="S25" s="1251">
        <v>0</v>
      </c>
      <c r="T25" s="1251">
        <v>0</v>
      </c>
      <c r="U25" s="1251">
        <v>0</v>
      </c>
      <c r="V25" s="1251">
        <v>0</v>
      </c>
      <c r="W25" s="1251">
        <v>-5.8173240000000001E-2</v>
      </c>
      <c r="X25" s="827">
        <v>0</v>
      </c>
      <c r="Y25" s="1254">
        <f t="shared" si="0"/>
        <v>-0.96895272999999993</v>
      </c>
      <c r="Z25" s="833">
        <v>0</v>
      </c>
      <c r="AA25" s="1722" t="s">
        <v>104</v>
      </c>
      <c r="AB25" s="833">
        <v>0</v>
      </c>
      <c r="AC25" s="1255" t="str">
        <f t="shared" si="2"/>
        <v/>
      </c>
      <c r="AD25" s="1255" t="str">
        <f t="shared" si="2"/>
        <v/>
      </c>
      <c r="AE25" s="1255" t="str">
        <f t="shared" si="2"/>
        <v/>
      </c>
      <c r="AF25" s="1255">
        <f t="shared" si="2"/>
        <v>-0.96895272999999993</v>
      </c>
      <c r="AG25" s="617"/>
      <c r="AH25" s="616"/>
      <c r="AI25" s="1721"/>
    </row>
    <row r="26" spans="1:35" s="459" customFormat="1">
      <c r="A26" s="720" t="s">
        <v>1991</v>
      </c>
      <c r="B26" s="724" t="s">
        <v>1995</v>
      </c>
      <c r="C26" s="722" t="s">
        <v>830</v>
      </c>
      <c r="D26" s="835"/>
      <c r="E26" s="723">
        <v>289517</v>
      </c>
      <c r="F26" s="723">
        <v>253.3</v>
      </c>
      <c r="G26" s="723">
        <v>0</v>
      </c>
      <c r="H26" s="723">
        <v>515100</v>
      </c>
      <c r="I26" s="723">
        <v>501.1</v>
      </c>
      <c r="J26" s="832">
        <v>0</v>
      </c>
      <c r="K26" s="1251">
        <v>-5.6175144499999998</v>
      </c>
      <c r="L26" s="1251">
        <v>-5.63633468</v>
      </c>
      <c r="M26" s="1251">
        <v>-5.66153087</v>
      </c>
      <c r="N26" s="1251">
        <v>-5.6822137899999996</v>
      </c>
      <c r="O26" s="1251">
        <v>-5.7049926099999997</v>
      </c>
      <c r="P26" s="1251">
        <v>-5.7234683899999999</v>
      </c>
      <c r="Q26" s="1251">
        <v>-5.7509168400000004</v>
      </c>
      <c r="R26" s="1251">
        <v>-5.7672180600000003</v>
      </c>
      <c r="S26" s="1251">
        <v>-5.7866218800000002</v>
      </c>
      <c r="T26" s="1251">
        <v>-5.81104705</v>
      </c>
      <c r="U26" s="1251">
        <v>-5.8277629099999997</v>
      </c>
      <c r="V26" s="1251">
        <v>-5.8440990700000004</v>
      </c>
      <c r="W26" s="1251">
        <v>-5.8604762700000004</v>
      </c>
      <c r="X26" s="827">
        <v>0</v>
      </c>
      <c r="Y26" s="1254">
        <f t="shared" si="0"/>
        <v>-5.7389953600000005</v>
      </c>
      <c r="Z26" s="833">
        <v>0</v>
      </c>
      <c r="AA26" s="1722" t="s">
        <v>104</v>
      </c>
      <c r="AB26" s="833">
        <v>0</v>
      </c>
      <c r="AC26" s="1255" t="str">
        <f t="shared" si="2"/>
        <v/>
      </c>
      <c r="AD26" s="1255" t="str">
        <f t="shared" si="2"/>
        <v/>
      </c>
      <c r="AE26" s="1255" t="str">
        <f t="shared" si="2"/>
        <v/>
      </c>
      <c r="AF26" s="1255">
        <f t="shared" si="2"/>
        <v>-5.7389953600000005</v>
      </c>
      <c r="AG26" s="617"/>
      <c r="AH26" s="616"/>
      <c r="AI26" s="1721"/>
    </row>
    <row r="27" spans="1:35" s="459" customFormat="1">
      <c r="A27" s="720" t="s">
        <v>1992</v>
      </c>
      <c r="B27" s="724" t="s">
        <v>1996</v>
      </c>
      <c r="C27" s="722" t="s">
        <v>830</v>
      </c>
      <c r="D27" s="835"/>
      <c r="E27" s="723">
        <v>289955</v>
      </c>
      <c r="F27" s="723">
        <v>253.99</v>
      </c>
      <c r="G27" s="723">
        <v>0</v>
      </c>
      <c r="H27" s="723">
        <v>582300</v>
      </c>
      <c r="I27" s="723" t="s">
        <v>1978</v>
      </c>
      <c r="J27" s="832">
        <v>0</v>
      </c>
      <c r="K27" s="1251">
        <v>-2.2498002700000002</v>
      </c>
      <c r="L27" s="1251">
        <v>-2.2771945200000001</v>
      </c>
      <c r="M27" s="1251">
        <v>-2.3045887700000001</v>
      </c>
      <c r="N27" s="1251">
        <v>-2.33198302</v>
      </c>
      <c r="O27" s="1251">
        <v>-2.3593772799999999</v>
      </c>
      <c r="P27" s="1251">
        <v>-2.3867715199999999</v>
      </c>
      <c r="Q27" s="1251">
        <v>-2.4141657699999999</v>
      </c>
      <c r="R27" s="1251">
        <v>-2.4415600199999998</v>
      </c>
      <c r="S27" s="1251">
        <v>-2.4278755699999999</v>
      </c>
      <c r="T27" s="1251">
        <v>-2.4596151399999999</v>
      </c>
      <c r="U27" s="1251">
        <v>-2.4891820400000002</v>
      </c>
      <c r="V27" s="1251">
        <v>-2.51874895</v>
      </c>
      <c r="W27" s="1251">
        <v>-2.55048254</v>
      </c>
      <c r="X27" s="827">
        <v>0</v>
      </c>
      <c r="Y27" s="1254">
        <f t="shared" si="0"/>
        <v>-2.4001414050000003</v>
      </c>
      <c r="Z27" s="833">
        <v>0</v>
      </c>
      <c r="AA27" s="1722" t="s">
        <v>104</v>
      </c>
      <c r="AB27" s="833">
        <v>0</v>
      </c>
      <c r="AC27" s="1255" t="str">
        <f t="shared" si="2"/>
        <v/>
      </c>
      <c r="AD27" s="1255" t="str">
        <f t="shared" si="2"/>
        <v/>
      </c>
      <c r="AE27" s="1255" t="str">
        <f t="shared" si="2"/>
        <v/>
      </c>
      <c r="AF27" s="1255">
        <f t="shared" si="2"/>
        <v>-2.4001414050000003</v>
      </c>
      <c r="AG27" s="617"/>
      <c r="AH27" s="616"/>
      <c r="AI27" s="1721"/>
    </row>
    <row r="28" spans="1:35" s="459" customFormat="1">
      <c r="A28" s="720" t="s">
        <v>1479</v>
      </c>
      <c r="B28" s="724" t="s">
        <v>850</v>
      </c>
      <c r="C28" s="722" t="s">
        <v>830</v>
      </c>
      <c r="D28" s="835"/>
      <c r="E28" s="723">
        <v>280311</v>
      </c>
      <c r="F28" s="723">
        <v>228.21</v>
      </c>
      <c r="G28" s="723">
        <v>0</v>
      </c>
      <c r="H28" s="723">
        <v>545050</v>
      </c>
      <c r="I28" s="723">
        <v>925</v>
      </c>
      <c r="J28" s="832">
        <v>0</v>
      </c>
      <c r="K28" s="1251">
        <v>-65.87397163</v>
      </c>
      <c r="L28" s="1251">
        <v>-63.975127630000003</v>
      </c>
      <c r="M28" s="1251">
        <v>-63.293877630000004</v>
      </c>
      <c r="N28" s="1251">
        <v>-62.499627630000006</v>
      </c>
      <c r="O28" s="1251">
        <v>-61.817715630000002</v>
      </c>
      <c r="P28" s="1251">
        <v>-61.71713227</v>
      </c>
      <c r="Q28" s="1251">
        <v>-65.57731527</v>
      </c>
      <c r="R28" s="1251">
        <v>-65.36404374</v>
      </c>
      <c r="S28" s="1251">
        <v>-64.721111020000009</v>
      </c>
      <c r="T28" s="1251">
        <v>-59.03469561</v>
      </c>
      <c r="U28" s="1251">
        <v>-53.581476960000003</v>
      </c>
      <c r="V28" s="1251">
        <v>-51.417667700000003</v>
      </c>
      <c r="W28" s="1251">
        <v>-53.792440079999999</v>
      </c>
      <c r="X28" s="827">
        <v>0</v>
      </c>
      <c r="Y28" s="1254">
        <f t="shared" si="0"/>
        <v>-59.833205855000003</v>
      </c>
      <c r="Z28" s="833">
        <v>0</v>
      </c>
      <c r="AA28" s="1722" t="s">
        <v>63</v>
      </c>
      <c r="AB28" s="833">
        <v>0</v>
      </c>
      <c r="AC28" s="1255" t="str">
        <f t="shared" si="2"/>
        <v/>
      </c>
      <c r="AD28" s="1255" t="str">
        <f t="shared" si="2"/>
        <v/>
      </c>
      <c r="AE28" s="1255">
        <f t="shared" si="2"/>
        <v>-59.833205855000003</v>
      </c>
      <c r="AF28" s="1255" t="str">
        <f t="shared" si="2"/>
        <v/>
      </c>
      <c r="AG28" s="617"/>
      <c r="AH28" s="616"/>
      <c r="AI28" s="1721"/>
    </row>
    <row r="29" spans="1:35" s="459" customFormat="1">
      <c r="A29" s="720" t="s">
        <v>1993</v>
      </c>
      <c r="B29" s="724" t="s">
        <v>850</v>
      </c>
      <c r="C29" s="722" t="s">
        <v>830</v>
      </c>
      <c r="D29" s="835"/>
      <c r="E29" s="723">
        <v>116925</v>
      </c>
      <c r="F29" s="723">
        <v>228.25</v>
      </c>
      <c r="G29" s="723">
        <v>0</v>
      </c>
      <c r="H29" s="723">
        <v>545050</v>
      </c>
      <c r="I29" s="723">
        <v>925</v>
      </c>
      <c r="J29" s="832">
        <v>0</v>
      </c>
      <c r="K29" s="1251">
        <v>50.097373909999995</v>
      </c>
      <c r="L29" s="1251">
        <v>50.097763499999999</v>
      </c>
      <c r="M29" s="1251">
        <v>50.146758249999998</v>
      </c>
      <c r="N29" s="1251">
        <v>50.388060680000002</v>
      </c>
      <c r="O29" s="1251">
        <v>50.388826469999998</v>
      </c>
      <c r="P29" s="1251">
        <v>50.597390409999996</v>
      </c>
      <c r="Q29" s="1251">
        <v>54.519511850000001</v>
      </c>
      <c r="R29" s="1251">
        <v>54.566574850000002</v>
      </c>
      <c r="S29" s="1251">
        <v>54.66681019</v>
      </c>
      <c r="T29" s="1251">
        <v>34.201517259999996</v>
      </c>
      <c r="U29" s="1251">
        <v>34.303978819999998</v>
      </c>
      <c r="V29" s="1251">
        <v>24.42987462</v>
      </c>
      <c r="W29" s="1251">
        <v>27.24147439</v>
      </c>
      <c r="X29" s="827">
        <v>0</v>
      </c>
      <c r="Y29" s="1254">
        <f t="shared" si="0"/>
        <v>38.669424149999998</v>
      </c>
      <c r="Z29" s="833">
        <v>0</v>
      </c>
      <c r="AA29" s="1722" t="s">
        <v>63</v>
      </c>
      <c r="AB29" s="833">
        <v>0</v>
      </c>
      <c r="AC29" s="1255" t="str">
        <f t="shared" si="2"/>
        <v/>
      </c>
      <c r="AD29" s="1255" t="str">
        <f t="shared" si="2"/>
        <v/>
      </c>
      <c r="AE29" s="1255">
        <f t="shared" si="2"/>
        <v>38.669424149999998</v>
      </c>
      <c r="AF29" s="1255" t="str">
        <f t="shared" si="2"/>
        <v/>
      </c>
      <c r="AG29" s="617"/>
      <c r="AH29" s="616"/>
      <c r="AI29" s="1721"/>
    </row>
    <row r="30" spans="1:35" s="459" customFormat="1">
      <c r="A30" s="720"/>
      <c r="B30" s="724"/>
      <c r="C30" s="722"/>
      <c r="D30" s="835"/>
      <c r="E30" s="723"/>
      <c r="F30" s="723"/>
      <c r="G30" s="723"/>
      <c r="H30" s="723"/>
      <c r="I30" s="723"/>
      <c r="J30" s="832"/>
      <c r="K30" s="1251"/>
      <c r="L30" s="1251"/>
      <c r="M30" s="1251"/>
      <c r="N30" s="1251"/>
      <c r="O30" s="1251"/>
      <c r="P30" s="1251"/>
      <c r="Q30" s="1251"/>
      <c r="R30" s="1251"/>
      <c r="S30" s="1251"/>
      <c r="T30" s="1251"/>
      <c r="U30" s="1251"/>
      <c r="V30" s="1251"/>
      <c r="W30" s="1251"/>
      <c r="X30" s="827"/>
      <c r="Y30" s="1254"/>
      <c r="Z30" s="833"/>
      <c r="AA30" s="1722"/>
      <c r="AB30" s="833"/>
      <c r="AC30" s="1255" t="str">
        <f t="shared" si="2"/>
        <v/>
      </c>
      <c r="AD30" s="1255" t="str">
        <f t="shared" si="2"/>
        <v/>
      </c>
      <c r="AE30" s="1255" t="str">
        <f t="shared" si="2"/>
        <v/>
      </c>
      <c r="AF30" s="1255" t="str">
        <f t="shared" si="2"/>
        <v/>
      </c>
      <c r="AG30" s="617"/>
      <c r="AH30" s="616"/>
      <c r="AI30" s="1721"/>
    </row>
    <row r="31" spans="1:35" s="459" customFormat="1">
      <c r="A31" s="720" t="s">
        <v>869</v>
      </c>
      <c r="B31" s="724" t="s">
        <v>867</v>
      </c>
      <c r="C31" s="722" t="s">
        <v>830</v>
      </c>
      <c r="D31" s="835"/>
      <c r="E31" s="723">
        <v>118100</v>
      </c>
      <c r="F31" s="723">
        <v>144</v>
      </c>
      <c r="G31" s="723">
        <v>0</v>
      </c>
      <c r="H31" s="723">
        <v>550750</v>
      </c>
      <c r="I31" s="723">
        <v>904</v>
      </c>
      <c r="J31" s="832">
        <v>0</v>
      </c>
      <c r="K31" s="1251">
        <v>-6.0369412699999998</v>
      </c>
      <c r="L31" s="1251">
        <v>-6.3810832699999995</v>
      </c>
      <c r="M31" s="1251">
        <v>-6.2161042699999998</v>
      </c>
      <c r="N31" s="1251">
        <v>-6.4243682699999995</v>
      </c>
      <c r="O31" s="1251">
        <v>-6.6649722699999998</v>
      </c>
      <c r="P31" s="1251">
        <v>-6.5112072699999999</v>
      </c>
      <c r="Q31" s="1251">
        <v>-6.2006842699999991</v>
      </c>
      <c r="R31" s="1251">
        <v>-6.3250582699999995</v>
      </c>
      <c r="S31" s="1251">
        <v>-6.3897792699999991</v>
      </c>
      <c r="T31" s="1251">
        <v>-5.92528627</v>
      </c>
      <c r="U31" s="1251">
        <v>-5.8001779999999998</v>
      </c>
      <c r="V31" s="1251">
        <v>-5.4749515000000004</v>
      </c>
      <c r="W31" s="1251">
        <v>-6.0916860000000002</v>
      </c>
      <c r="X31" s="827">
        <v>0</v>
      </c>
      <c r="Y31" s="1254">
        <f t="shared" si="0"/>
        <v>-6.0643136349999995</v>
      </c>
      <c r="Z31" s="833">
        <v>0</v>
      </c>
      <c r="AA31" s="1722" t="s">
        <v>104</v>
      </c>
      <c r="AB31" s="833">
        <v>0</v>
      </c>
      <c r="AC31" s="1255" t="str">
        <f t="shared" si="2"/>
        <v/>
      </c>
      <c r="AD31" s="1255" t="str">
        <f t="shared" si="2"/>
        <v/>
      </c>
      <c r="AE31" s="1255" t="str">
        <f t="shared" si="2"/>
        <v/>
      </c>
      <c r="AF31" s="1255">
        <f t="shared" si="2"/>
        <v>-6.0643136349999995</v>
      </c>
      <c r="AG31" s="617"/>
      <c r="AH31" s="616"/>
      <c r="AI31" s="1721"/>
    </row>
    <row r="32" spans="1:35" s="459" customFormat="1">
      <c r="A32" s="720" t="s">
        <v>868</v>
      </c>
      <c r="B32" s="724" t="s">
        <v>867</v>
      </c>
      <c r="C32" s="722" t="s">
        <v>830</v>
      </c>
      <c r="D32" s="835"/>
      <c r="E32" s="723">
        <v>118150</v>
      </c>
      <c r="F32" s="723">
        <v>144</v>
      </c>
      <c r="G32" s="723">
        <v>0</v>
      </c>
      <c r="H32" s="723">
        <v>550750</v>
      </c>
      <c r="I32" s="723">
        <v>904</v>
      </c>
      <c r="J32" s="832">
        <v>0</v>
      </c>
      <c r="K32" s="1251">
        <v>-1.8155199999999999E-3</v>
      </c>
      <c r="L32" s="1251">
        <v>6.6248000000000001E-4</v>
      </c>
      <c r="M32" s="1251">
        <v>1.7348E-4</v>
      </c>
      <c r="N32" s="1251">
        <v>-5.5555200000000004E-3</v>
      </c>
      <c r="O32" s="1251">
        <v>-6.6025200000000006E-3</v>
      </c>
      <c r="P32" s="1251">
        <v>-7.4425200000000002E-3</v>
      </c>
      <c r="Q32" s="1251">
        <v>-8.1225200000000011E-3</v>
      </c>
      <c r="R32" s="1251">
        <v>-8.3795199999999997E-3</v>
      </c>
      <c r="S32" s="1251">
        <v>-1.057552E-2</v>
      </c>
      <c r="T32" s="1251">
        <v>-1.047352E-2</v>
      </c>
      <c r="U32" s="1251">
        <v>-2.0240000000000001E-2</v>
      </c>
      <c r="V32" s="1251">
        <v>-1.444E-2</v>
      </c>
      <c r="W32" s="1251">
        <v>-1.5232000000000001E-2</v>
      </c>
      <c r="X32" s="827">
        <v>0</v>
      </c>
      <c r="Y32" s="1254">
        <f t="shared" si="0"/>
        <v>-8.52376E-3</v>
      </c>
      <c r="Z32" s="833">
        <v>0</v>
      </c>
      <c r="AA32" s="1722" t="s">
        <v>104</v>
      </c>
      <c r="AB32" s="833">
        <v>0</v>
      </c>
      <c r="AC32" s="1255" t="str">
        <f t="shared" si="2"/>
        <v/>
      </c>
      <c r="AD32" s="1255" t="str">
        <f t="shared" si="2"/>
        <v/>
      </c>
      <c r="AE32" s="1255" t="str">
        <f t="shared" si="2"/>
        <v/>
      </c>
      <c r="AF32" s="1255">
        <f t="shared" si="2"/>
        <v>-8.52376E-3</v>
      </c>
      <c r="AG32" s="617"/>
      <c r="AH32" s="616"/>
      <c r="AI32" s="1721"/>
    </row>
    <row r="33" spans="1:35" s="459" customFormat="1">
      <c r="A33" s="720" t="s">
        <v>1428</v>
      </c>
      <c r="B33" s="724" t="s">
        <v>1429</v>
      </c>
      <c r="C33" s="722" t="s">
        <v>830</v>
      </c>
      <c r="D33" s="835"/>
      <c r="E33" s="723">
        <v>118155</v>
      </c>
      <c r="F33" s="723">
        <v>172</v>
      </c>
      <c r="G33" s="723">
        <v>0</v>
      </c>
      <c r="H33" s="723">
        <v>301869</v>
      </c>
      <c r="I33" s="723">
        <v>454.1</v>
      </c>
      <c r="J33" s="832">
        <v>0</v>
      </c>
      <c r="K33" s="1251">
        <v>-5.5429110000000004E-2</v>
      </c>
      <c r="L33" s="1251">
        <v>-9.074691E-2</v>
      </c>
      <c r="M33" s="1251">
        <v>-7.6068789999999997E-2</v>
      </c>
      <c r="N33" s="1251">
        <v>-4.6187829999999999E-2</v>
      </c>
      <c r="O33" s="1251">
        <v>-5.4935169999999998E-2</v>
      </c>
      <c r="P33" s="1251">
        <v>-4.2681160000000003E-2</v>
      </c>
      <c r="Q33" s="1251">
        <v>-3.4284750000000003E-2</v>
      </c>
      <c r="R33" s="1251">
        <v>-5.4288780000000002E-2</v>
      </c>
      <c r="S33" s="1251">
        <v>-4.7306000000000001E-2</v>
      </c>
      <c r="T33" s="1251">
        <v>-5.0378050000000001E-2</v>
      </c>
      <c r="U33" s="1251">
        <v>-6.955501E-2</v>
      </c>
      <c r="V33" s="1251">
        <v>-5.479676E-2</v>
      </c>
      <c r="W33" s="1251">
        <v>-7.1722220000000003E-2</v>
      </c>
      <c r="X33" s="827">
        <v>0</v>
      </c>
      <c r="Y33" s="1254">
        <f t="shared" si="0"/>
        <v>-6.3575665000000003E-2</v>
      </c>
      <c r="Z33" s="833">
        <v>0</v>
      </c>
      <c r="AA33" s="1722" t="s">
        <v>104</v>
      </c>
      <c r="AB33" s="833">
        <v>0</v>
      </c>
      <c r="AC33" s="1255" t="str">
        <f t="shared" si="2"/>
        <v/>
      </c>
      <c r="AD33" s="1255" t="str">
        <f t="shared" si="2"/>
        <v/>
      </c>
      <c r="AE33" s="1255" t="str">
        <f t="shared" si="2"/>
        <v/>
      </c>
      <c r="AF33" s="1255">
        <f t="shared" si="2"/>
        <v>-6.3575665000000003E-2</v>
      </c>
      <c r="AG33" s="617"/>
      <c r="AH33" s="616"/>
      <c r="AI33" s="1721"/>
    </row>
    <row r="34" spans="1:35" s="459" customFormat="1">
      <c r="A34" s="720" t="s">
        <v>866</v>
      </c>
      <c r="B34" s="724" t="s">
        <v>865</v>
      </c>
      <c r="C34" s="722" t="s">
        <v>830</v>
      </c>
      <c r="D34" s="835"/>
      <c r="E34" s="723">
        <v>118157</v>
      </c>
      <c r="F34" s="723">
        <v>144</v>
      </c>
      <c r="G34" s="723">
        <v>0</v>
      </c>
      <c r="H34" s="723">
        <v>550776</v>
      </c>
      <c r="I34" s="723">
        <v>904.2</v>
      </c>
      <c r="J34" s="832">
        <v>0</v>
      </c>
      <c r="K34" s="1251">
        <v>-0.85023308999999991</v>
      </c>
      <c r="L34" s="1251">
        <v>-0.89361765000000004</v>
      </c>
      <c r="M34" s="1251">
        <v>-0.90654119999999994</v>
      </c>
      <c r="N34" s="1251">
        <v>-0.94265951999999997</v>
      </c>
      <c r="O34" s="1251">
        <v>-0.91180906000000006</v>
      </c>
      <c r="P34" s="1251">
        <v>-0.91919762000000005</v>
      </c>
      <c r="Q34" s="1251">
        <v>-0.88567761999999994</v>
      </c>
      <c r="R34" s="1251">
        <v>-0.9168212</v>
      </c>
      <c r="S34" s="1251">
        <v>-0.94058719999999996</v>
      </c>
      <c r="T34" s="1251">
        <v>-0.91125794999999998</v>
      </c>
      <c r="U34" s="1251">
        <v>-0.91658032</v>
      </c>
      <c r="V34" s="1251">
        <v>-0.86546000000000001</v>
      </c>
      <c r="W34" s="1251">
        <v>-0.77497651000000001</v>
      </c>
      <c r="X34" s="827">
        <v>0</v>
      </c>
      <c r="Y34" s="1254">
        <f t="shared" si="0"/>
        <v>-0.8126047999999999</v>
      </c>
      <c r="Z34" s="833">
        <v>0</v>
      </c>
      <c r="AA34" s="1722" t="s">
        <v>104</v>
      </c>
      <c r="AB34" s="833">
        <v>0</v>
      </c>
      <c r="AC34" s="1255" t="str">
        <f t="shared" si="2"/>
        <v/>
      </c>
      <c r="AD34" s="1255" t="str">
        <f t="shared" si="2"/>
        <v/>
      </c>
      <c r="AE34" s="1255" t="str">
        <f t="shared" si="2"/>
        <v/>
      </c>
      <c r="AF34" s="1255">
        <f t="shared" si="2"/>
        <v>-0.8126047999999999</v>
      </c>
      <c r="AG34" s="617"/>
      <c r="AH34" s="616"/>
      <c r="AI34" s="1721"/>
    </row>
    <row r="35" spans="1:35" s="459" customFormat="1">
      <c r="A35" s="720" t="s">
        <v>864</v>
      </c>
      <c r="B35" s="724" t="s">
        <v>850</v>
      </c>
      <c r="C35" s="722" t="s">
        <v>830</v>
      </c>
      <c r="D35" s="835"/>
      <c r="E35" s="723">
        <v>118168</v>
      </c>
      <c r="F35" s="723">
        <v>144</v>
      </c>
      <c r="G35" s="723">
        <v>0</v>
      </c>
      <c r="H35" s="723">
        <v>550750</v>
      </c>
      <c r="I35" s="723">
        <v>904</v>
      </c>
      <c r="J35" s="832">
        <v>0</v>
      </c>
      <c r="K35" s="1251">
        <v>-7.2665839999999995E-2</v>
      </c>
      <c r="L35" s="1251">
        <v>-7.2665839999999995E-2</v>
      </c>
      <c r="M35" s="1251">
        <v>-7.2665839999999995E-2</v>
      </c>
      <c r="N35" s="1251">
        <v>-7.358983999999999E-2</v>
      </c>
      <c r="O35" s="1251">
        <v>-7.358983999999999E-2</v>
      </c>
      <c r="P35" s="1251">
        <v>-7.358983999999999E-2</v>
      </c>
      <c r="Q35" s="1251">
        <v>-7.031213E-2</v>
      </c>
      <c r="R35" s="1251">
        <v>-7.031213E-2</v>
      </c>
      <c r="S35" s="1251">
        <v>-6.0312129999999999E-2</v>
      </c>
      <c r="T35" s="1251">
        <v>-5.886429E-2</v>
      </c>
      <c r="U35" s="1251">
        <v>-5.886429E-2</v>
      </c>
      <c r="V35" s="1251">
        <v>-5.886429E-2</v>
      </c>
      <c r="W35" s="1251">
        <v>-5.8543039999999998E-2</v>
      </c>
      <c r="X35" s="827">
        <v>0</v>
      </c>
      <c r="Y35" s="1254">
        <f t="shared" si="0"/>
        <v>-6.560444E-2</v>
      </c>
      <c r="Z35" s="833">
        <v>0</v>
      </c>
      <c r="AA35" s="1722" t="s">
        <v>104</v>
      </c>
      <c r="AB35" s="833">
        <v>0</v>
      </c>
      <c r="AC35" s="1255" t="str">
        <f t="shared" si="2"/>
        <v/>
      </c>
      <c r="AD35" s="1255" t="str">
        <f t="shared" si="2"/>
        <v/>
      </c>
      <c r="AE35" s="1255" t="str">
        <f t="shared" si="2"/>
        <v/>
      </c>
      <c r="AF35" s="1255">
        <f t="shared" si="2"/>
        <v>-6.560444E-2</v>
      </c>
      <c r="AG35" s="617"/>
      <c r="AH35" s="616"/>
      <c r="AI35" s="1721"/>
    </row>
    <row r="36" spans="1:35" s="459" customFormat="1">
      <c r="A36" s="720" t="s">
        <v>1430</v>
      </c>
      <c r="B36" s="724" t="s">
        <v>850</v>
      </c>
      <c r="C36" s="722" t="s">
        <v>830</v>
      </c>
      <c r="D36" s="835"/>
      <c r="E36" s="723">
        <v>118175</v>
      </c>
      <c r="F36" s="723">
        <v>144</v>
      </c>
      <c r="G36" s="723">
        <v>0</v>
      </c>
      <c r="H36" s="723">
        <v>550775</v>
      </c>
      <c r="I36" s="723">
        <v>904</v>
      </c>
      <c r="J36" s="832">
        <v>0</v>
      </c>
      <c r="K36" s="1251">
        <v>-5.666098E-2</v>
      </c>
      <c r="L36" s="1251">
        <v>-5.666098E-2</v>
      </c>
      <c r="M36" s="1251">
        <v>-5.666098E-2</v>
      </c>
      <c r="N36" s="1251">
        <v>-5.666098E-2</v>
      </c>
      <c r="O36" s="1251">
        <v>-5.666098E-2</v>
      </c>
      <c r="P36" s="1251">
        <v>-5.666098E-2</v>
      </c>
      <c r="Q36" s="1251">
        <v>-5.666098E-2</v>
      </c>
      <c r="R36" s="1251">
        <v>-5.666098E-2</v>
      </c>
      <c r="S36" s="1251">
        <v>-5.666098E-2</v>
      </c>
      <c r="T36" s="1251">
        <v>-5.666098E-2</v>
      </c>
      <c r="U36" s="1251">
        <v>-5.666098E-2</v>
      </c>
      <c r="V36" s="1251">
        <v>-5.666098E-2</v>
      </c>
      <c r="W36" s="1251">
        <v>-6.6057599999999994E-2</v>
      </c>
      <c r="X36" s="827">
        <v>0</v>
      </c>
      <c r="Y36" s="1254">
        <f t="shared" si="0"/>
        <v>-6.1359289999999997E-2</v>
      </c>
      <c r="Z36" s="833">
        <v>0</v>
      </c>
      <c r="AA36" s="1722" t="s">
        <v>104</v>
      </c>
      <c r="AB36" s="833">
        <v>0</v>
      </c>
      <c r="AC36" s="1255" t="str">
        <f t="shared" si="2"/>
        <v/>
      </c>
      <c r="AD36" s="1255" t="str">
        <f t="shared" si="2"/>
        <v/>
      </c>
      <c r="AE36" s="1255" t="str">
        <f t="shared" si="2"/>
        <v/>
      </c>
      <c r="AF36" s="1255">
        <f t="shared" si="2"/>
        <v>-6.1359289999999997E-2</v>
      </c>
      <c r="AG36" s="617"/>
      <c r="AH36" s="616"/>
      <c r="AI36" s="1721"/>
    </row>
    <row r="37" spans="1:35" s="459" customFormat="1">
      <c r="A37" s="720" t="s">
        <v>1431</v>
      </c>
      <c r="B37" s="724" t="s">
        <v>867</v>
      </c>
      <c r="C37" s="722" t="s">
        <v>830</v>
      </c>
      <c r="D37" s="835"/>
      <c r="E37" s="723">
        <v>118200</v>
      </c>
      <c r="F37" s="723">
        <v>173</v>
      </c>
      <c r="G37" s="723">
        <v>0</v>
      </c>
      <c r="H37" s="723">
        <v>301119</v>
      </c>
      <c r="I37" s="723">
        <v>440.1</v>
      </c>
      <c r="J37" s="832">
        <v>0</v>
      </c>
      <c r="K37" s="1251">
        <v>-0.28699999999999998</v>
      </c>
      <c r="L37" s="1251">
        <v>-0.23400000000000001</v>
      </c>
      <c r="M37" s="1251">
        <v>-0.189</v>
      </c>
      <c r="N37" s="1251">
        <v>-0.20200000000000001</v>
      </c>
      <c r="O37" s="1251">
        <v>-0.214</v>
      </c>
      <c r="P37" s="1251">
        <v>-0.22</v>
      </c>
      <c r="Q37" s="1251">
        <v>-0.255</v>
      </c>
      <c r="R37" s="1251">
        <v>-0.251</v>
      </c>
      <c r="S37" s="1251">
        <v>-0.24099999999999999</v>
      </c>
      <c r="T37" s="1251">
        <v>-0.20399999999999999</v>
      </c>
      <c r="U37" s="1251">
        <v>-0.221</v>
      </c>
      <c r="V37" s="1251">
        <v>-0.26200000000000001</v>
      </c>
      <c r="W37" s="1251">
        <v>-0.254</v>
      </c>
      <c r="X37" s="827">
        <v>0</v>
      </c>
      <c r="Y37" s="1254">
        <f t="shared" si="0"/>
        <v>-0.27049999999999996</v>
      </c>
      <c r="Z37" s="833">
        <v>0</v>
      </c>
      <c r="AA37" s="1722" t="s">
        <v>104</v>
      </c>
      <c r="AB37" s="833">
        <v>0</v>
      </c>
      <c r="AC37" s="1255" t="str">
        <f t="shared" si="2"/>
        <v/>
      </c>
      <c r="AD37" s="1255" t="str">
        <f t="shared" si="2"/>
        <v/>
      </c>
      <c r="AE37" s="1255" t="str">
        <f t="shared" si="2"/>
        <v/>
      </c>
      <c r="AF37" s="1255">
        <f t="shared" si="2"/>
        <v>-0.27049999999999996</v>
      </c>
      <c r="AG37" s="617"/>
      <c r="AH37" s="616"/>
      <c r="AI37" s="1721"/>
    </row>
    <row r="38" spans="1:35" s="459" customFormat="1">
      <c r="A38" s="720" t="s">
        <v>1432</v>
      </c>
      <c r="B38" s="724" t="s">
        <v>867</v>
      </c>
      <c r="C38" s="722" t="s">
        <v>830</v>
      </c>
      <c r="D38" s="835"/>
      <c r="E38" s="723">
        <v>118300</v>
      </c>
      <c r="F38" s="723">
        <v>173</v>
      </c>
      <c r="G38" s="723">
        <v>0</v>
      </c>
      <c r="H38" s="723">
        <v>301119</v>
      </c>
      <c r="I38" s="723">
        <v>440.1</v>
      </c>
      <c r="J38" s="832">
        <v>0</v>
      </c>
      <c r="K38" s="1251">
        <v>-0.44500000000000001</v>
      </c>
      <c r="L38" s="1251">
        <v>-0.35299999999999998</v>
      </c>
      <c r="M38" s="1251">
        <v>-0.308</v>
      </c>
      <c r="N38" s="1251">
        <v>-0.33600000000000002</v>
      </c>
      <c r="O38" s="1251">
        <v>-0.35499999999999998</v>
      </c>
      <c r="P38" s="1251">
        <v>-0.38400000000000001</v>
      </c>
      <c r="Q38" s="1251">
        <v>-0.48199999999999998</v>
      </c>
      <c r="R38" s="1251">
        <v>-0.45400000000000001</v>
      </c>
      <c r="S38" s="1251">
        <v>-0.46</v>
      </c>
      <c r="T38" s="1251">
        <v>-0.39400000000000002</v>
      </c>
      <c r="U38" s="1251">
        <v>-0.38</v>
      </c>
      <c r="V38" s="1251">
        <v>-0.372</v>
      </c>
      <c r="W38" s="1251">
        <v>-0.374</v>
      </c>
      <c r="X38" s="827">
        <v>0</v>
      </c>
      <c r="Y38" s="1254">
        <f t="shared" si="0"/>
        <v>-0.40949999999999998</v>
      </c>
      <c r="Z38" s="833">
        <v>0</v>
      </c>
      <c r="AA38" s="1722" t="s">
        <v>104</v>
      </c>
      <c r="AB38" s="833">
        <v>0</v>
      </c>
      <c r="AC38" s="1255" t="str">
        <f t="shared" si="2"/>
        <v/>
      </c>
      <c r="AD38" s="1255" t="str">
        <f t="shared" si="2"/>
        <v/>
      </c>
      <c r="AE38" s="1255" t="str">
        <f t="shared" si="2"/>
        <v/>
      </c>
      <c r="AF38" s="1255">
        <f t="shared" si="2"/>
        <v>-0.40949999999999998</v>
      </c>
      <c r="AG38" s="617"/>
      <c r="AH38" s="616"/>
      <c r="AI38" s="1721"/>
    </row>
    <row r="39" spans="1:35" s="459" customFormat="1">
      <c r="A39" s="720"/>
      <c r="B39" s="724"/>
      <c r="C39" s="722"/>
      <c r="D39" s="835"/>
      <c r="E39" s="723"/>
      <c r="F39" s="723"/>
      <c r="G39" s="723"/>
      <c r="H39" s="723"/>
      <c r="I39" s="723"/>
      <c r="J39" s="832"/>
      <c r="K39" s="1251"/>
      <c r="L39" s="1251"/>
      <c r="M39" s="1251"/>
      <c r="N39" s="1251"/>
      <c r="O39" s="1251"/>
      <c r="P39" s="1251"/>
      <c r="Q39" s="1251"/>
      <c r="R39" s="1251"/>
      <c r="S39" s="1251"/>
      <c r="T39" s="1251"/>
      <c r="U39" s="1251"/>
      <c r="V39" s="1251"/>
      <c r="W39" s="1251"/>
      <c r="X39" s="827"/>
      <c r="Y39" s="1254"/>
      <c r="Z39" s="833"/>
      <c r="AA39" s="1722"/>
      <c r="AB39" s="833"/>
      <c r="AC39" s="1255" t="str">
        <f t="shared" si="2"/>
        <v/>
      </c>
      <c r="AD39" s="1255" t="str">
        <f t="shared" si="2"/>
        <v/>
      </c>
      <c r="AE39" s="1255" t="str">
        <f t="shared" si="2"/>
        <v/>
      </c>
      <c r="AF39" s="1255" t="str">
        <f t="shared" si="2"/>
        <v/>
      </c>
      <c r="AG39" s="617"/>
      <c r="AH39" s="616"/>
      <c r="AI39" s="1721"/>
    </row>
    <row r="40" spans="1:35" s="459" customFormat="1">
      <c r="A40" s="720" t="s">
        <v>863</v>
      </c>
      <c r="B40" s="724" t="s">
        <v>862</v>
      </c>
      <c r="C40" s="722" t="s">
        <v>830</v>
      </c>
      <c r="D40" s="835"/>
      <c r="E40" s="723">
        <v>120930</v>
      </c>
      <c r="F40" s="723">
        <v>154.99</v>
      </c>
      <c r="G40" s="723">
        <v>0</v>
      </c>
      <c r="H40" s="723">
        <v>516400</v>
      </c>
      <c r="I40" s="723">
        <v>557</v>
      </c>
      <c r="J40" s="832">
        <v>0</v>
      </c>
      <c r="K40" s="1251">
        <v>-0.34131745000000002</v>
      </c>
      <c r="L40" s="1251">
        <v>-0.34131745000000002</v>
      </c>
      <c r="M40" s="1251">
        <v>-0.34131745000000002</v>
      </c>
      <c r="N40" s="1251">
        <v>-0.40568990000000005</v>
      </c>
      <c r="O40" s="1251">
        <v>-0.40568990000000005</v>
      </c>
      <c r="P40" s="1251">
        <v>-0.40568990000000005</v>
      </c>
      <c r="Q40" s="1251">
        <v>-0.40568990000000005</v>
      </c>
      <c r="R40" s="1251">
        <v>-0.68271254000000003</v>
      </c>
      <c r="S40" s="1251">
        <v>-0.21785829000000001</v>
      </c>
      <c r="T40" s="1251">
        <v>-0.13856923999999998</v>
      </c>
      <c r="U40" s="1251">
        <v>-0.13856923999999998</v>
      </c>
      <c r="V40" s="1251">
        <v>-1.2036129999999999E-2</v>
      </c>
      <c r="W40" s="1251">
        <v>-0.60151915</v>
      </c>
      <c r="X40" s="827">
        <v>0</v>
      </c>
      <c r="Y40" s="1254">
        <f t="shared" si="0"/>
        <v>-0.47141830000000001</v>
      </c>
      <c r="Z40" s="833">
        <v>0</v>
      </c>
      <c r="AA40" s="1722" t="s">
        <v>104</v>
      </c>
      <c r="AB40" s="833">
        <v>0</v>
      </c>
      <c r="AC40" s="1255" t="str">
        <f t="shared" si="2"/>
        <v/>
      </c>
      <c r="AD40" s="1255" t="str">
        <f t="shared" si="2"/>
        <v/>
      </c>
      <c r="AE40" s="1255" t="str">
        <f t="shared" si="2"/>
        <v/>
      </c>
      <c r="AF40" s="1255">
        <f t="shared" si="2"/>
        <v>-0.47141830000000001</v>
      </c>
      <c r="AG40" s="617"/>
      <c r="AH40" s="616"/>
      <c r="AI40" s="1721"/>
    </row>
    <row r="41" spans="1:35" s="459" customFormat="1">
      <c r="A41" s="720" t="s">
        <v>1433</v>
      </c>
      <c r="B41" s="724" t="s">
        <v>862</v>
      </c>
      <c r="C41" s="722" t="s">
        <v>830</v>
      </c>
      <c r="D41" s="835"/>
      <c r="E41" s="723">
        <v>120931</v>
      </c>
      <c r="F41" s="723">
        <v>154.99</v>
      </c>
      <c r="G41" s="723">
        <v>0</v>
      </c>
      <c r="H41" s="723">
        <v>516900</v>
      </c>
      <c r="I41" s="723" t="s">
        <v>1441</v>
      </c>
      <c r="J41" s="832">
        <v>0</v>
      </c>
      <c r="K41" s="1251">
        <v>-1.6449453000000001</v>
      </c>
      <c r="L41" s="1251">
        <v>-1.6446211799999999</v>
      </c>
      <c r="M41" s="1251">
        <v>-1.6258190700000001</v>
      </c>
      <c r="N41" s="1251">
        <v>-1.8099503000000001</v>
      </c>
      <c r="O41" s="1251">
        <v>-1.8099503000000001</v>
      </c>
      <c r="P41" s="1251">
        <v>-1.8075431000000002</v>
      </c>
      <c r="Q41" s="1251">
        <v>0</v>
      </c>
      <c r="R41" s="1251">
        <v>0</v>
      </c>
      <c r="S41" s="1251">
        <v>0</v>
      </c>
      <c r="T41" s="1251">
        <v>0</v>
      </c>
      <c r="U41" s="1251">
        <v>0</v>
      </c>
      <c r="V41" s="1251">
        <v>0</v>
      </c>
      <c r="W41" s="1251">
        <v>0</v>
      </c>
      <c r="X41" s="827">
        <v>0</v>
      </c>
      <c r="Y41" s="1254">
        <f t="shared" si="0"/>
        <v>-0.82247265000000003</v>
      </c>
      <c r="Z41" s="833">
        <v>0</v>
      </c>
      <c r="AA41" s="1722" t="s">
        <v>104</v>
      </c>
      <c r="AB41" s="833">
        <v>0</v>
      </c>
      <c r="AC41" s="1255" t="str">
        <f t="shared" si="2"/>
        <v/>
      </c>
      <c r="AD41" s="1255" t="str">
        <f t="shared" si="2"/>
        <v/>
      </c>
      <c r="AE41" s="1255" t="str">
        <f t="shared" si="2"/>
        <v/>
      </c>
      <c r="AF41" s="1255">
        <f t="shared" si="2"/>
        <v>-0.82247265000000003</v>
      </c>
      <c r="AG41" s="617"/>
      <c r="AH41" s="616"/>
      <c r="AI41" s="1721"/>
    </row>
    <row r="42" spans="1:35" s="459" customFormat="1">
      <c r="A42" s="720" t="s">
        <v>1997</v>
      </c>
      <c r="B42" s="724" t="s">
        <v>2000</v>
      </c>
      <c r="C42" s="722" t="s">
        <v>830</v>
      </c>
      <c r="D42" s="835"/>
      <c r="E42" s="723">
        <v>120932</v>
      </c>
      <c r="F42" s="723">
        <v>154.99</v>
      </c>
      <c r="G42" s="723">
        <v>0</v>
      </c>
      <c r="H42" s="723">
        <v>516900</v>
      </c>
      <c r="I42" s="723" t="s">
        <v>1441</v>
      </c>
      <c r="J42" s="832">
        <v>0</v>
      </c>
      <c r="K42" s="1251">
        <v>0</v>
      </c>
      <c r="L42" s="1251">
        <v>0</v>
      </c>
      <c r="M42" s="1251">
        <v>0</v>
      </c>
      <c r="N42" s="1251">
        <v>0</v>
      </c>
      <c r="O42" s="1251">
        <v>0</v>
      </c>
      <c r="P42" s="1251">
        <v>0</v>
      </c>
      <c r="Q42" s="1251">
        <v>-1.0581095899999999</v>
      </c>
      <c r="R42" s="1251">
        <v>-1.0464980699999999</v>
      </c>
      <c r="S42" s="1251">
        <v>-1.06371616</v>
      </c>
      <c r="T42" s="1251">
        <v>-1.06416077</v>
      </c>
      <c r="U42" s="1251">
        <v>-1.1867398300000001</v>
      </c>
      <c r="V42" s="1251">
        <v>-1.1202426700000001</v>
      </c>
      <c r="W42" s="1251">
        <v>-1.5594819900000001</v>
      </c>
      <c r="X42" s="827">
        <v>0</v>
      </c>
      <c r="Y42" s="1254">
        <f t="shared" si="0"/>
        <v>-0.77974099500000005</v>
      </c>
      <c r="Z42" s="833">
        <v>0</v>
      </c>
      <c r="AA42" s="1722" t="s">
        <v>104</v>
      </c>
      <c r="AB42" s="833">
        <v>0</v>
      </c>
      <c r="AC42" s="1255" t="str">
        <f t="shared" si="2"/>
        <v/>
      </c>
      <c r="AD42" s="1255" t="str">
        <f t="shared" si="2"/>
        <v/>
      </c>
      <c r="AE42" s="1255" t="str">
        <f t="shared" si="2"/>
        <v/>
      </c>
      <c r="AF42" s="1255">
        <f t="shared" si="2"/>
        <v>-0.77974099500000005</v>
      </c>
      <c r="AG42" s="617"/>
      <c r="AH42" s="616"/>
      <c r="AI42" s="1721"/>
    </row>
    <row r="43" spans="1:35" s="459" customFormat="1">
      <c r="A43" s="720" t="s">
        <v>1998</v>
      </c>
      <c r="B43" s="724" t="s">
        <v>2001</v>
      </c>
      <c r="C43" s="722" t="s">
        <v>830</v>
      </c>
      <c r="D43" s="835"/>
      <c r="E43" s="723">
        <v>120933</v>
      </c>
      <c r="F43" s="723">
        <v>154.99</v>
      </c>
      <c r="G43" s="723">
        <v>0</v>
      </c>
      <c r="H43" s="723">
        <v>516900</v>
      </c>
      <c r="I43" s="723" t="s">
        <v>1441</v>
      </c>
      <c r="J43" s="832">
        <v>0</v>
      </c>
      <c r="K43" s="1251">
        <v>0</v>
      </c>
      <c r="L43" s="1251">
        <v>0</v>
      </c>
      <c r="M43" s="1251">
        <v>0</v>
      </c>
      <c r="N43" s="1251">
        <v>0</v>
      </c>
      <c r="O43" s="1251">
        <v>0</v>
      </c>
      <c r="P43" s="1251">
        <v>0</v>
      </c>
      <c r="Q43" s="1251">
        <v>-0.72751586000000001</v>
      </c>
      <c r="R43" s="1251">
        <v>-0.72751586000000001</v>
      </c>
      <c r="S43" s="1251">
        <v>-0.72751586000000001</v>
      </c>
      <c r="T43" s="1251">
        <v>-0.74736532</v>
      </c>
      <c r="U43" s="1251">
        <v>-0.74736532</v>
      </c>
      <c r="V43" s="1251">
        <v>-0.73704798000000005</v>
      </c>
      <c r="W43" s="1251">
        <v>-0.77823456000000002</v>
      </c>
      <c r="X43" s="827">
        <v>0</v>
      </c>
      <c r="Y43" s="1254">
        <f t="shared" si="0"/>
        <v>-0.38911728000000001</v>
      </c>
      <c r="Z43" s="833">
        <v>0</v>
      </c>
      <c r="AA43" s="1722" t="s">
        <v>104</v>
      </c>
      <c r="AB43" s="833">
        <v>0</v>
      </c>
      <c r="AC43" s="1255" t="str">
        <f t="shared" si="2"/>
        <v/>
      </c>
      <c r="AD43" s="1255" t="str">
        <f t="shared" si="2"/>
        <v/>
      </c>
      <c r="AE43" s="1255" t="str">
        <f t="shared" si="2"/>
        <v/>
      </c>
      <c r="AF43" s="1255">
        <f t="shared" si="2"/>
        <v>-0.38911728000000001</v>
      </c>
      <c r="AG43" s="617"/>
      <c r="AH43" s="616"/>
      <c r="AI43" s="1721"/>
    </row>
    <row r="44" spans="1:35" s="459" customFormat="1">
      <c r="A44" s="720" t="s">
        <v>861</v>
      </c>
      <c r="B44" s="724" t="s">
        <v>857</v>
      </c>
      <c r="C44" s="722" t="s">
        <v>830</v>
      </c>
      <c r="D44" s="835"/>
      <c r="E44" s="723">
        <v>148001</v>
      </c>
      <c r="F44" s="723">
        <v>107</v>
      </c>
      <c r="G44" s="723">
        <v>0</v>
      </c>
      <c r="H44" s="723">
        <v>554990</v>
      </c>
      <c r="I44" s="723" t="s">
        <v>860</v>
      </c>
      <c r="J44" s="832">
        <v>0</v>
      </c>
      <c r="K44" s="1251">
        <v>-1.50807118</v>
      </c>
      <c r="L44" s="1251">
        <v>-1.4360711799999999</v>
      </c>
      <c r="M44" s="1251">
        <v>-1.40107118</v>
      </c>
      <c r="N44" s="1251">
        <v>-1.5950711799999999</v>
      </c>
      <c r="O44" s="1251">
        <v>-1.5580000000000001</v>
      </c>
      <c r="P44" s="1251">
        <v>-1.593</v>
      </c>
      <c r="Q44" s="1251">
        <v>-1.3640000000000001</v>
      </c>
      <c r="R44" s="1251">
        <v>-1.5049999999999999</v>
      </c>
      <c r="S44" s="1251">
        <v>-1.635</v>
      </c>
      <c r="T44" s="1251">
        <v>-2.0866843400000001</v>
      </c>
      <c r="U44" s="1251">
        <v>-2.0872782999999999</v>
      </c>
      <c r="V44" s="1251">
        <v>-2.1435659900000004</v>
      </c>
      <c r="W44" s="1251">
        <v>-1.93031635</v>
      </c>
      <c r="X44" s="827">
        <v>0</v>
      </c>
      <c r="Y44" s="1254">
        <f t="shared" si="0"/>
        <v>-1.719193765</v>
      </c>
      <c r="Z44" s="833">
        <v>0</v>
      </c>
      <c r="AA44" s="1722" t="s">
        <v>104</v>
      </c>
      <c r="AB44" s="833">
        <v>0</v>
      </c>
      <c r="AC44" s="1255" t="str">
        <f t="shared" si="2"/>
        <v/>
      </c>
      <c r="AD44" s="1255" t="str">
        <f t="shared" si="2"/>
        <v/>
      </c>
      <c r="AE44" s="1255" t="str">
        <f t="shared" si="2"/>
        <v/>
      </c>
      <c r="AF44" s="1255">
        <f t="shared" si="2"/>
        <v>-1.719193765</v>
      </c>
      <c r="AG44" s="617"/>
      <c r="AH44" s="616"/>
      <c r="AI44" s="1721"/>
    </row>
    <row r="45" spans="1:35" s="459" customFormat="1">
      <c r="A45" s="720" t="s">
        <v>859</v>
      </c>
      <c r="B45" s="724" t="s">
        <v>858</v>
      </c>
      <c r="C45" s="722" t="s">
        <v>830</v>
      </c>
      <c r="D45" s="835"/>
      <c r="E45" s="723">
        <v>162010</v>
      </c>
      <c r="F45" s="723">
        <v>124.9</v>
      </c>
      <c r="G45" s="723">
        <v>0</v>
      </c>
      <c r="H45" s="723">
        <v>550750</v>
      </c>
      <c r="I45" s="723">
        <v>904</v>
      </c>
      <c r="J45" s="832">
        <v>0</v>
      </c>
      <c r="K45" s="1251">
        <v>-9.8632520000000001E-2</v>
      </c>
      <c r="L45" s="1251">
        <v>-9.8632479999999995E-2</v>
      </c>
      <c r="M45" s="1251">
        <v>-9.863247E-2</v>
      </c>
      <c r="N45" s="1251">
        <v>-0.10535410000000001</v>
      </c>
      <c r="O45" s="1251">
        <v>-0.10535405</v>
      </c>
      <c r="P45" s="1251">
        <v>-0.10535405</v>
      </c>
      <c r="Q45" s="1251">
        <v>-0.10521773</v>
      </c>
      <c r="R45" s="1251">
        <v>-0.10521762</v>
      </c>
      <c r="S45" s="1251">
        <v>-0.10521762</v>
      </c>
      <c r="T45" s="1251">
        <v>-0.1050685</v>
      </c>
      <c r="U45" s="1251">
        <v>-0.10506849</v>
      </c>
      <c r="V45" s="1251">
        <v>-0.10297455</v>
      </c>
      <c r="W45" s="1251">
        <v>-0.10282039999999999</v>
      </c>
      <c r="X45" s="827">
        <v>0</v>
      </c>
      <c r="Y45" s="1254">
        <f t="shared" si="0"/>
        <v>-0.10072645999999999</v>
      </c>
      <c r="Z45" s="833">
        <v>0</v>
      </c>
      <c r="AA45" s="1722" t="s">
        <v>104</v>
      </c>
      <c r="AB45" s="833">
        <v>0</v>
      </c>
      <c r="AC45" s="1255" t="str">
        <f t="shared" si="2"/>
        <v/>
      </c>
      <c r="AD45" s="1255" t="str">
        <f t="shared" si="2"/>
        <v/>
      </c>
      <c r="AE45" s="1255" t="str">
        <f t="shared" si="2"/>
        <v/>
      </c>
      <c r="AF45" s="1255">
        <f t="shared" si="2"/>
        <v>-0.10072645999999999</v>
      </c>
      <c r="AG45" s="617"/>
      <c r="AH45" s="616"/>
      <c r="AI45" s="1721"/>
    </row>
    <row r="46" spans="1:35" s="459" customFormat="1">
      <c r="A46" s="720"/>
      <c r="B46" s="724"/>
      <c r="C46" s="722"/>
      <c r="D46" s="835"/>
      <c r="E46" s="723"/>
      <c r="F46" s="723"/>
      <c r="G46" s="723"/>
      <c r="H46" s="723"/>
      <c r="I46" s="723"/>
      <c r="J46" s="832"/>
      <c r="K46" s="1251"/>
      <c r="L46" s="1251"/>
      <c r="M46" s="1251"/>
      <c r="N46" s="1251"/>
      <c r="O46" s="1251"/>
      <c r="P46" s="1251"/>
      <c r="Q46" s="1251"/>
      <c r="R46" s="1251"/>
      <c r="S46" s="1251"/>
      <c r="T46" s="1251"/>
      <c r="U46" s="1251"/>
      <c r="V46" s="1251"/>
      <c r="W46" s="1251"/>
      <c r="X46" s="827"/>
      <c r="Y46" s="1254"/>
      <c r="Z46" s="833"/>
      <c r="AA46" s="1722"/>
      <c r="AB46" s="833"/>
      <c r="AC46" s="1255" t="str">
        <f t="shared" si="2"/>
        <v/>
      </c>
      <c r="AD46" s="1255" t="str">
        <f t="shared" si="2"/>
        <v/>
      </c>
      <c r="AE46" s="1255" t="str">
        <f t="shared" si="2"/>
        <v/>
      </c>
      <c r="AF46" s="1255" t="str">
        <f t="shared" si="2"/>
        <v/>
      </c>
      <c r="AG46" s="617"/>
      <c r="AH46" s="616"/>
      <c r="AI46" s="1721"/>
    </row>
    <row r="47" spans="1:35" s="459" customFormat="1">
      <c r="A47" s="720" t="s">
        <v>856</v>
      </c>
      <c r="B47" s="724" t="s">
        <v>855</v>
      </c>
      <c r="C47" s="722" t="s">
        <v>830</v>
      </c>
      <c r="D47" s="835"/>
      <c r="E47" s="723">
        <v>210649</v>
      </c>
      <c r="F47" s="723">
        <v>232</v>
      </c>
      <c r="G47" s="723">
        <v>0</v>
      </c>
      <c r="H47" s="723">
        <v>515100</v>
      </c>
      <c r="I47" s="723">
        <v>501.1</v>
      </c>
      <c r="J47" s="832">
        <v>0</v>
      </c>
      <c r="K47" s="1251">
        <v>-2.8436367100000002</v>
      </c>
      <c r="L47" s="1251">
        <v>-2.8436367100000002</v>
      </c>
      <c r="M47" s="1251">
        <v>-2.8436367100000002</v>
      </c>
      <c r="N47" s="1251">
        <v>-2.8436367100000002</v>
      </c>
      <c r="O47" s="1251">
        <v>-2.8436367100000002</v>
      </c>
      <c r="P47" s="1251">
        <v>-2.8436367100000002</v>
      </c>
      <c r="Q47" s="1251">
        <v>-2.8436367100000002</v>
      </c>
      <c r="R47" s="1251">
        <v>-2.8436367100000002</v>
      </c>
      <c r="S47" s="1251">
        <v>-2.8436367100000002</v>
      </c>
      <c r="T47" s="1251">
        <v>-2.8436367100000002</v>
      </c>
      <c r="U47" s="1251">
        <v>0</v>
      </c>
      <c r="V47" s="1251">
        <v>0</v>
      </c>
      <c r="W47" s="1251">
        <v>0</v>
      </c>
      <c r="X47" s="827">
        <v>0</v>
      </c>
      <c r="Y47" s="1254">
        <f t="shared" si="0"/>
        <v>-1.4218183550000001</v>
      </c>
      <c r="Z47" s="833">
        <v>0</v>
      </c>
      <c r="AA47" s="1722" t="s">
        <v>104</v>
      </c>
      <c r="AB47" s="833">
        <v>0</v>
      </c>
      <c r="AC47" s="1255" t="str">
        <f t="shared" si="2"/>
        <v/>
      </c>
      <c r="AD47" s="1255" t="str">
        <f t="shared" si="2"/>
        <v/>
      </c>
      <c r="AE47" s="1255" t="str">
        <f t="shared" si="2"/>
        <v/>
      </c>
      <c r="AF47" s="1255">
        <f t="shared" si="2"/>
        <v>-1.4218183550000001</v>
      </c>
      <c r="AG47" s="617"/>
      <c r="AH47" s="616"/>
      <c r="AI47" s="1721"/>
    </row>
    <row r="48" spans="1:35" s="459" customFormat="1">
      <c r="A48" s="720"/>
      <c r="B48" s="724"/>
      <c r="C48" s="722"/>
      <c r="D48" s="835"/>
      <c r="E48" s="723"/>
      <c r="F48" s="723"/>
      <c r="G48" s="723"/>
      <c r="H48" s="723"/>
      <c r="I48" s="723"/>
      <c r="J48" s="832"/>
      <c r="K48" s="1251"/>
      <c r="L48" s="1251"/>
      <c r="M48" s="1251"/>
      <c r="N48" s="1251"/>
      <c r="O48" s="1251"/>
      <c r="P48" s="1251"/>
      <c r="Q48" s="1251"/>
      <c r="R48" s="1251"/>
      <c r="S48" s="1251"/>
      <c r="T48" s="1251"/>
      <c r="U48" s="1251"/>
      <c r="V48" s="1251"/>
      <c r="W48" s="1251"/>
      <c r="X48" s="827"/>
      <c r="Y48" s="1254"/>
      <c r="Z48" s="833"/>
      <c r="AA48" s="1722"/>
      <c r="AB48" s="833"/>
      <c r="AC48" s="1255" t="str">
        <f t="shared" si="2"/>
        <v/>
      </c>
      <c r="AD48" s="1255" t="str">
        <f t="shared" si="2"/>
        <v/>
      </c>
      <c r="AE48" s="1255" t="str">
        <f t="shared" si="2"/>
        <v/>
      </c>
      <c r="AF48" s="1255" t="str">
        <f t="shared" si="2"/>
        <v/>
      </c>
      <c r="AG48" s="617"/>
      <c r="AH48" s="616"/>
      <c r="AI48" s="1721"/>
    </row>
    <row r="49" spans="1:35" s="459" customFormat="1">
      <c r="A49" s="1618" t="s">
        <v>854</v>
      </c>
      <c r="B49" s="724" t="s">
        <v>850</v>
      </c>
      <c r="C49" s="722" t="s">
        <v>830</v>
      </c>
      <c r="D49" s="835"/>
      <c r="E49" s="723">
        <v>235190</v>
      </c>
      <c r="F49" s="723">
        <v>232</v>
      </c>
      <c r="G49" s="723">
        <v>0</v>
      </c>
      <c r="H49" s="723">
        <v>500700</v>
      </c>
      <c r="I49" s="723">
        <v>920</v>
      </c>
      <c r="J49" s="832">
        <v>0</v>
      </c>
      <c r="K49" s="1251">
        <v>-0.52084209000000004</v>
      </c>
      <c r="L49" s="1251">
        <v>-0.48717626000000003</v>
      </c>
      <c r="M49" s="1251">
        <v>-0.38254800999999999</v>
      </c>
      <c r="N49" s="1251">
        <v>-0.31900067999999998</v>
      </c>
      <c r="O49" s="1251">
        <v>-0.26421113000000002</v>
      </c>
      <c r="P49" s="1251">
        <v>-0.21817935999999999</v>
      </c>
      <c r="Q49" s="1251">
        <v>-0.17214758999999999</v>
      </c>
      <c r="R49" s="1251">
        <v>-0.19761454000000001</v>
      </c>
      <c r="S49" s="1251">
        <v>-0.18560858</v>
      </c>
      <c r="T49" s="1251">
        <v>-0.21289878000000001</v>
      </c>
      <c r="U49" s="1251">
        <v>-0.20881872000000001</v>
      </c>
      <c r="V49" s="1251">
        <v>-0.28520645</v>
      </c>
      <c r="W49" s="1251">
        <v>-0.54283040999999999</v>
      </c>
      <c r="X49" s="827">
        <v>0</v>
      </c>
      <c r="Y49" s="1254">
        <f t="shared" si="0"/>
        <v>-0.53183625000000001</v>
      </c>
      <c r="Z49" s="833">
        <v>0</v>
      </c>
      <c r="AA49" s="1722" t="s">
        <v>63</v>
      </c>
      <c r="AB49" s="833">
        <v>0</v>
      </c>
      <c r="AC49" s="1255" t="str">
        <f t="shared" si="2"/>
        <v/>
      </c>
      <c r="AD49" s="1255" t="str">
        <f t="shared" si="2"/>
        <v/>
      </c>
      <c r="AE49" s="1255">
        <f t="shared" si="2"/>
        <v>-0.53183625000000001</v>
      </c>
      <c r="AF49" s="1255" t="str">
        <f t="shared" si="2"/>
        <v/>
      </c>
      <c r="AG49" s="617"/>
      <c r="AH49" s="616"/>
      <c r="AI49" s="1721"/>
    </row>
    <row r="50" spans="1:35" s="459" customFormat="1">
      <c r="A50" s="1618" t="s">
        <v>853</v>
      </c>
      <c r="B50" s="724" t="s">
        <v>851</v>
      </c>
      <c r="C50" s="722" t="s">
        <v>830</v>
      </c>
      <c r="D50" s="835"/>
      <c r="E50" s="723">
        <v>235510</v>
      </c>
      <c r="F50" s="723">
        <v>232</v>
      </c>
      <c r="G50" s="723">
        <v>0</v>
      </c>
      <c r="H50" s="723">
        <v>500410</v>
      </c>
      <c r="I50" s="723" t="s">
        <v>835</v>
      </c>
      <c r="J50" s="832">
        <v>0</v>
      </c>
      <c r="K50" s="1251">
        <v>0</v>
      </c>
      <c r="L50" s="1251">
        <v>-2.9001144000000001</v>
      </c>
      <c r="M50" s="1251">
        <v>-5.8122770900000003</v>
      </c>
      <c r="N50" s="1251">
        <v>-8.7279203499999998</v>
      </c>
      <c r="O50" s="1251">
        <v>-11.63414019</v>
      </c>
      <c r="P50" s="1251">
        <v>-14.397201050000001</v>
      </c>
      <c r="Q50" s="1251">
        <v>-16.957059000000001</v>
      </c>
      <c r="R50" s="1251">
        <v>-17.035512829999998</v>
      </c>
      <c r="S50" s="1251">
        <v>-18.283082059999998</v>
      </c>
      <c r="T50" s="1251">
        <v>-21.74932291</v>
      </c>
      <c r="U50" s="1251">
        <v>-24.221191940000001</v>
      </c>
      <c r="V50" s="1251">
        <v>-26.90969548</v>
      </c>
      <c r="W50" s="1251">
        <v>0</v>
      </c>
      <c r="X50" s="827">
        <v>0</v>
      </c>
      <c r="Y50" s="1254">
        <f t="shared" si="0"/>
        <v>0</v>
      </c>
      <c r="Z50" s="833">
        <v>0</v>
      </c>
      <c r="AA50" s="1722" t="s">
        <v>63</v>
      </c>
      <c r="AB50" s="833">
        <v>0</v>
      </c>
      <c r="AC50" s="1255" t="str">
        <f t="shared" si="2"/>
        <v/>
      </c>
      <c r="AD50" s="1255" t="str">
        <f t="shared" si="2"/>
        <v/>
      </c>
      <c r="AE50" s="1255">
        <f t="shared" si="2"/>
        <v>0</v>
      </c>
      <c r="AF50" s="1255" t="str">
        <f t="shared" si="2"/>
        <v/>
      </c>
      <c r="AG50" s="617"/>
      <c r="AH50" s="616"/>
      <c r="AI50" s="1721"/>
    </row>
    <row r="51" spans="1:35" s="459" customFormat="1">
      <c r="A51" s="1618" t="s">
        <v>852</v>
      </c>
      <c r="B51" s="724" t="s">
        <v>851</v>
      </c>
      <c r="C51" s="722" t="s">
        <v>830</v>
      </c>
      <c r="D51" s="835"/>
      <c r="E51" s="723">
        <v>215078</v>
      </c>
      <c r="F51" s="723">
        <v>232</v>
      </c>
      <c r="G51" s="723">
        <v>0</v>
      </c>
      <c r="H51" s="723">
        <v>501250</v>
      </c>
      <c r="I51" s="723" t="s">
        <v>835</v>
      </c>
      <c r="J51" s="832">
        <v>0</v>
      </c>
      <c r="K51" s="1251">
        <v>-1.84913543</v>
      </c>
      <c r="L51" s="1251">
        <v>-2.0877208999999999</v>
      </c>
      <c r="M51" s="1251">
        <v>-0.42543053000000003</v>
      </c>
      <c r="N51" s="1251">
        <v>-0.59752848000000003</v>
      </c>
      <c r="O51" s="1251">
        <v>-0.75608136000000004</v>
      </c>
      <c r="P51" s="1251">
        <v>-0.91307730000000009</v>
      </c>
      <c r="Q51" s="1251">
        <v>-1.0606051200000002</v>
      </c>
      <c r="R51" s="1251">
        <v>-1.13038949</v>
      </c>
      <c r="S51" s="1251">
        <v>-1.3624031799999998</v>
      </c>
      <c r="T51" s="1251">
        <v>-1.5088806499999998</v>
      </c>
      <c r="U51" s="1251">
        <v>-1.65581635</v>
      </c>
      <c r="V51" s="1251">
        <v>-1.8005896399999999</v>
      </c>
      <c r="W51" s="1251">
        <v>-1.8612392499999999</v>
      </c>
      <c r="X51" s="827">
        <v>0</v>
      </c>
      <c r="Y51" s="1254">
        <f t="shared" si="0"/>
        <v>-1.8551873400000001</v>
      </c>
      <c r="Z51" s="833">
        <v>0</v>
      </c>
      <c r="AA51" s="1722" t="s">
        <v>63</v>
      </c>
      <c r="AB51" s="833">
        <v>0</v>
      </c>
      <c r="AC51" s="1255" t="str">
        <f t="shared" si="2"/>
        <v/>
      </c>
      <c r="AD51" s="1255" t="str">
        <f t="shared" si="2"/>
        <v/>
      </c>
      <c r="AE51" s="1255">
        <f t="shared" si="2"/>
        <v>-1.8551873400000001</v>
      </c>
      <c r="AF51" s="1255" t="str">
        <f t="shared" si="2"/>
        <v/>
      </c>
      <c r="AG51" s="617"/>
      <c r="AH51" s="616"/>
      <c r="AI51" s="1721"/>
    </row>
    <row r="52" spans="1:35" s="459" customFormat="1">
      <c r="A52" s="1618" t="s">
        <v>1999</v>
      </c>
      <c r="B52" s="724" t="s">
        <v>851</v>
      </c>
      <c r="C52" s="722" t="s">
        <v>830</v>
      </c>
      <c r="D52" s="835"/>
      <c r="E52" s="723">
        <v>235599</v>
      </c>
      <c r="F52" s="723">
        <v>232</v>
      </c>
      <c r="G52" s="723">
        <v>0</v>
      </c>
      <c r="H52" s="723">
        <v>500400</v>
      </c>
      <c r="I52" s="723" t="s">
        <v>835</v>
      </c>
      <c r="J52" s="832">
        <v>0</v>
      </c>
      <c r="K52" s="1251">
        <v>-2.6552902999999999</v>
      </c>
      <c r="L52" s="1251">
        <v>-0.22158342</v>
      </c>
      <c r="M52" s="1251">
        <v>-0.44306244</v>
      </c>
      <c r="N52" s="1251">
        <v>-0.66457279000000002</v>
      </c>
      <c r="O52" s="1251">
        <v>-0.88559695000000005</v>
      </c>
      <c r="P52" s="1251">
        <v>-1.65308762</v>
      </c>
      <c r="Q52" s="1251">
        <v>-1.3085</v>
      </c>
      <c r="R52" s="1251">
        <v>-1.53562515</v>
      </c>
      <c r="S52" s="1251">
        <v>-1.75033328</v>
      </c>
      <c r="T52" s="1251">
        <v>-1.962375</v>
      </c>
      <c r="U52" s="1251">
        <v>-2.1712500800000001</v>
      </c>
      <c r="V52" s="1251">
        <v>-2.3824165499999999</v>
      </c>
      <c r="W52" s="1251">
        <v>-2.5895000000000001</v>
      </c>
      <c r="X52" s="827">
        <v>0</v>
      </c>
      <c r="Y52" s="1254">
        <f t="shared" si="0"/>
        <v>-2.62239515</v>
      </c>
      <c r="Z52" s="833">
        <v>0</v>
      </c>
      <c r="AA52" s="1722" t="s">
        <v>63</v>
      </c>
      <c r="AB52" s="833">
        <v>0</v>
      </c>
      <c r="AC52" s="1255" t="str">
        <f t="shared" si="2"/>
        <v/>
      </c>
      <c r="AD52" s="1255" t="str">
        <f t="shared" si="2"/>
        <v/>
      </c>
      <c r="AE52" s="1255">
        <f t="shared" si="2"/>
        <v>-2.62239515</v>
      </c>
      <c r="AF52" s="1255" t="str">
        <f t="shared" si="2"/>
        <v/>
      </c>
      <c r="AG52" s="617"/>
      <c r="AH52" s="616"/>
      <c r="AI52" s="1721"/>
    </row>
    <row r="53" spans="1:35" s="459" customFormat="1">
      <c r="A53" s="1618" t="s">
        <v>849</v>
      </c>
      <c r="B53" s="724" t="s">
        <v>848</v>
      </c>
      <c r="C53" s="722" t="s">
        <v>847</v>
      </c>
      <c r="D53" s="835"/>
      <c r="E53" s="723">
        <v>289000</v>
      </c>
      <c r="F53" s="723">
        <v>253.99</v>
      </c>
      <c r="G53" s="723">
        <v>0</v>
      </c>
      <c r="H53" s="723">
        <v>550500</v>
      </c>
      <c r="I53" s="723">
        <v>921</v>
      </c>
      <c r="J53" s="832">
        <v>0</v>
      </c>
      <c r="K53" s="1251">
        <v>-0.26887295999999999</v>
      </c>
      <c r="L53" s="1251">
        <v>-0.25600603</v>
      </c>
      <c r="M53" s="1251">
        <v>-0.2431391</v>
      </c>
      <c r="N53" s="1251">
        <v>-0.23027217000000003</v>
      </c>
      <c r="O53" s="1251">
        <v>-0.21740524</v>
      </c>
      <c r="P53" s="1251">
        <v>-0.20453831</v>
      </c>
      <c r="Q53" s="1251">
        <v>-0.19167138</v>
      </c>
      <c r="R53" s="1251">
        <v>-0.17880445</v>
      </c>
      <c r="S53" s="1251">
        <v>-0.16593751999999998</v>
      </c>
      <c r="T53" s="1251">
        <v>-0.15307059000000001</v>
      </c>
      <c r="U53" s="1251">
        <v>-0.14020366000000001</v>
      </c>
      <c r="V53" s="1251">
        <v>-0.12733673000000001</v>
      </c>
      <c r="W53" s="1251">
        <v>-0.1144698</v>
      </c>
      <c r="X53" s="827">
        <v>0</v>
      </c>
      <c r="Y53" s="1254">
        <f t="shared" si="0"/>
        <v>-0.19167138</v>
      </c>
      <c r="Z53" s="833">
        <v>0</v>
      </c>
      <c r="AA53" s="1722" t="s">
        <v>63</v>
      </c>
      <c r="AB53" s="833">
        <v>0</v>
      </c>
      <c r="AC53" s="1255" t="str">
        <f t="shared" si="2"/>
        <v/>
      </c>
      <c r="AD53" s="1255" t="str">
        <f t="shared" si="2"/>
        <v/>
      </c>
      <c r="AE53" s="1255">
        <f t="shared" si="2"/>
        <v>-0.19167138</v>
      </c>
      <c r="AF53" s="1255" t="str">
        <f t="shared" si="2"/>
        <v/>
      </c>
      <c r="AG53" s="617"/>
      <c r="AH53" s="616"/>
      <c r="AI53" s="1721"/>
    </row>
    <row r="54" spans="1:35" s="459" customFormat="1" ht="38.25">
      <c r="A54" s="720" t="s">
        <v>1434</v>
      </c>
      <c r="B54" s="724" t="s">
        <v>1435</v>
      </c>
      <c r="C54" s="722" t="s">
        <v>1436</v>
      </c>
      <c r="D54" s="835"/>
      <c r="E54" s="723">
        <v>288601</v>
      </c>
      <c r="F54" s="723">
        <v>253.99</v>
      </c>
      <c r="G54" s="723">
        <v>0</v>
      </c>
      <c r="H54" s="723">
        <v>140709</v>
      </c>
      <c r="I54" s="723">
        <v>102</v>
      </c>
      <c r="J54" s="832">
        <v>0</v>
      </c>
      <c r="K54" s="1251">
        <v>-9.5000000000000001E-2</v>
      </c>
      <c r="L54" s="1251">
        <v>-9.5000000000000001E-2</v>
      </c>
      <c r="M54" s="1251">
        <v>-9.5000000000000001E-2</v>
      </c>
      <c r="N54" s="1251">
        <v>-9.5000000000000001E-2</v>
      </c>
      <c r="O54" s="1251">
        <v>-9.5000000000000001E-2</v>
      </c>
      <c r="P54" s="1251">
        <v>-9.5000000000000001E-2</v>
      </c>
      <c r="Q54" s="1251">
        <v>-4.6395000000000004E-3</v>
      </c>
      <c r="R54" s="1251">
        <v>-4.2017499999999998E-3</v>
      </c>
      <c r="S54" s="1251">
        <v>-4.2017499999999998E-3</v>
      </c>
      <c r="T54" s="1251">
        <v>-4.2017499999999998E-3</v>
      </c>
      <c r="U54" s="1251">
        <v>-4.176E-3</v>
      </c>
      <c r="V54" s="1251">
        <v>-4.176E-3</v>
      </c>
      <c r="W54" s="1251">
        <v>0</v>
      </c>
      <c r="X54" s="827">
        <v>0</v>
      </c>
      <c r="Y54" s="1254">
        <f t="shared" si="0"/>
        <v>-4.7500000000000001E-2</v>
      </c>
      <c r="Z54" s="833">
        <v>0</v>
      </c>
      <c r="AA54" s="1722" t="s">
        <v>104</v>
      </c>
      <c r="AB54" s="833">
        <v>0</v>
      </c>
      <c r="AC54" s="1255" t="str">
        <f t="shared" si="2"/>
        <v/>
      </c>
      <c r="AD54" s="1255" t="str">
        <f t="shared" si="2"/>
        <v/>
      </c>
      <c r="AE54" s="1255" t="str">
        <f t="shared" si="2"/>
        <v/>
      </c>
      <c r="AF54" s="1255">
        <f t="shared" si="2"/>
        <v>-4.7500000000000001E-2</v>
      </c>
      <c r="AG54" s="617"/>
      <c r="AH54" s="616"/>
      <c r="AI54" s="1721"/>
    </row>
    <row r="55" spans="1:35" s="459" customFormat="1" ht="38.25">
      <c r="A55" s="720" t="s">
        <v>1437</v>
      </c>
      <c r="B55" s="724" t="s">
        <v>1435</v>
      </c>
      <c r="C55" s="722" t="s">
        <v>1436</v>
      </c>
      <c r="D55" s="835"/>
      <c r="E55" s="723">
        <v>288602</v>
      </c>
      <c r="F55" s="723">
        <v>253.99</v>
      </c>
      <c r="G55" s="723">
        <v>0</v>
      </c>
      <c r="H55" s="723">
        <v>140709</v>
      </c>
      <c r="I55" s="723">
        <v>102</v>
      </c>
      <c r="J55" s="832">
        <v>0</v>
      </c>
      <c r="K55" s="1251">
        <v>-4.9874970000000005E-2</v>
      </c>
      <c r="L55" s="1251">
        <v>-4.9874970000000005E-2</v>
      </c>
      <c r="M55" s="1251">
        <v>-4.9874970000000005E-2</v>
      </c>
      <c r="N55" s="1251">
        <v>-4.9874970000000005E-2</v>
      </c>
      <c r="O55" s="1251">
        <v>-4.9874970000000005E-2</v>
      </c>
      <c r="P55" s="1251">
        <v>-4.9874970000000005E-2</v>
      </c>
      <c r="Q55" s="1251">
        <v>-2.4357100000000002E-3</v>
      </c>
      <c r="R55" s="1251">
        <v>-2.2599699999999996E-3</v>
      </c>
      <c r="S55" s="1251">
        <v>-2.2599699999999996E-3</v>
      </c>
      <c r="T55" s="1251">
        <v>-2.2599699999999996E-3</v>
      </c>
      <c r="U55" s="1251">
        <v>-2.2464499999999997E-3</v>
      </c>
      <c r="V55" s="1251">
        <v>-2.2464499999999997E-3</v>
      </c>
      <c r="W55" s="1251">
        <v>0</v>
      </c>
      <c r="X55" s="827">
        <v>0</v>
      </c>
      <c r="Y55" s="1254">
        <f t="shared" si="0"/>
        <v>-2.4937485000000002E-2</v>
      </c>
      <c r="Z55" s="833">
        <v>0</v>
      </c>
      <c r="AA55" s="1722" t="s">
        <v>104</v>
      </c>
      <c r="AB55" s="833">
        <v>0</v>
      </c>
      <c r="AC55" s="1255" t="str">
        <f t="shared" si="2"/>
        <v/>
      </c>
      <c r="AD55" s="1255" t="str">
        <f t="shared" si="2"/>
        <v/>
      </c>
      <c r="AE55" s="1255" t="str">
        <f t="shared" si="2"/>
        <v/>
      </c>
      <c r="AF55" s="1255">
        <f t="shared" si="2"/>
        <v>-2.4937485000000002E-2</v>
      </c>
      <c r="AG55" s="617"/>
      <c r="AH55" s="616"/>
      <c r="AI55" s="1721"/>
    </row>
    <row r="56" spans="1:35" s="459" customFormat="1" ht="38.25">
      <c r="A56" s="720" t="s">
        <v>1438</v>
      </c>
      <c r="B56" s="724" t="s">
        <v>1435</v>
      </c>
      <c r="C56" s="722" t="s">
        <v>1436</v>
      </c>
      <c r="D56" s="835"/>
      <c r="E56" s="723">
        <v>288603</v>
      </c>
      <c r="F56" s="723">
        <v>253.99</v>
      </c>
      <c r="G56" s="723">
        <v>0</v>
      </c>
      <c r="H56" s="723">
        <v>140709</v>
      </c>
      <c r="I56" s="723">
        <v>102</v>
      </c>
      <c r="J56" s="832">
        <v>0</v>
      </c>
      <c r="K56" s="1251">
        <v>-4.5125029999999997E-2</v>
      </c>
      <c r="L56" s="1251">
        <v>-4.5125029999999997E-2</v>
      </c>
      <c r="M56" s="1251">
        <v>-4.5125029999999997E-2</v>
      </c>
      <c r="N56" s="1251">
        <v>-4.5125029999999997E-2</v>
      </c>
      <c r="O56" s="1251">
        <v>-4.5125029999999997E-2</v>
      </c>
      <c r="P56" s="1251">
        <v>-4.5125029999999997E-2</v>
      </c>
      <c r="Q56" s="1251">
        <v>-2.2037900000000002E-3</v>
      </c>
      <c r="R56" s="1251">
        <v>-2.0447799999999999E-3</v>
      </c>
      <c r="S56" s="1251">
        <v>-2.0447799999999999E-3</v>
      </c>
      <c r="T56" s="1251">
        <v>-2.0447799999999999E-3</v>
      </c>
      <c r="U56" s="1251">
        <v>-2.0325500000000002E-3</v>
      </c>
      <c r="V56" s="1251">
        <v>-2.0325500000000002E-3</v>
      </c>
      <c r="W56" s="1251">
        <v>0</v>
      </c>
      <c r="X56" s="827">
        <v>0</v>
      </c>
      <c r="Y56" s="1254">
        <f t="shared" si="0"/>
        <v>-2.2562514999999998E-2</v>
      </c>
      <c r="Z56" s="833">
        <v>0</v>
      </c>
      <c r="AA56" s="1722" t="s">
        <v>104</v>
      </c>
      <c r="AB56" s="833">
        <v>0</v>
      </c>
      <c r="AC56" s="1255" t="str">
        <f t="shared" si="2"/>
        <v/>
      </c>
      <c r="AD56" s="1255" t="str">
        <f t="shared" si="2"/>
        <v/>
      </c>
      <c r="AE56" s="1255" t="str">
        <f t="shared" si="2"/>
        <v/>
      </c>
      <c r="AF56" s="1255">
        <f t="shared" si="2"/>
        <v>-2.2562514999999998E-2</v>
      </c>
      <c r="AG56" s="617"/>
      <c r="AH56" s="616"/>
      <c r="AI56" s="1721"/>
    </row>
    <row r="57" spans="1:35" s="459" customFormat="1">
      <c r="A57" s="720"/>
      <c r="B57" s="724"/>
      <c r="C57" s="722"/>
      <c r="D57" s="835"/>
      <c r="E57" s="723"/>
      <c r="F57" s="723"/>
      <c r="G57" s="723"/>
      <c r="H57" s="723"/>
      <c r="I57" s="723"/>
      <c r="J57" s="832"/>
      <c r="K57" s="1251"/>
      <c r="L57" s="1251"/>
      <c r="M57" s="1251"/>
      <c r="N57" s="1251"/>
      <c r="O57" s="1251"/>
      <c r="P57" s="1251"/>
      <c r="Q57" s="1251"/>
      <c r="R57" s="1251"/>
      <c r="S57" s="1251"/>
      <c r="T57" s="1251"/>
      <c r="U57" s="1251"/>
      <c r="V57" s="1251"/>
      <c r="W57" s="1251"/>
      <c r="X57" s="827"/>
      <c r="Y57" s="1254"/>
      <c r="Z57" s="833"/>
      <c r="AA57" s="1722"/>
      <c r="AB57" s="833"/>
      <c r="AC57" s="1255" t="str">
        <f t="shared" si="2"/>
        <v/>
      </c>
      <c r="AD57" s="1255" t="str">
        <f t="shared" si="2"/>
        <v/>
      </c>
      <c r="AE57" s="1255" t="str">
        <f t="shared" si="2"/>
        <v/>
      </c>
      <c r="AF57" s="1255" t="str">
        <f t="shared" si="2"/>
        <v/>
      </c>
      <c r="AG57" s="617"/>
      <c r="AH57" s="616"/>
      <c r="AI57" s="1721"/>
    </row>
    <row r="58" spans="1:35" s="459" customFormat="1">
      <c r="A58" s="1618" t="s">
        <v>846</v>
      </c>
      <c r="B58" s="724" t="s">
        <v>838</v>
      </c>
      <c r="C58" s="722" t="s">
        <v>830</v>
      </c>
      <c r="D58" s="835"/>
      <c r="E58" s="723">
        <v>248181</v>
      </c>
      <c r="F58" s="723">
        <v>242</v>
      </c>
      <c r="G58" s="723">
        <v>0</v>
      </c>
      <c r="H58" s="723">
        <v>500515</v>
      </c>
      <c r="I58" s="723" t="s">
        <v>835</v>
      </c>
      <c r="J58" s="832">
        <v>0</v>
      </c>
      <c r="K58" s="1251">
        <v>-3.2191633399999997</v>
      </c>
      <c r="L58" s="1251">
        <v>-3.8490088600000001</v>
      </c>
      <c r="M58" s="1251">
        <v>-4.4627545199999998</v>
      </c>
      <c r="N58" s="1251">
        <v>-4.8473266399999995</v>
      </c>
      <c r="O58" s="1251">
        <v>-5.19718634</v>
      </c>
      <c r="P58" s="1251">
        <v>-5.4610799199999995</v>
      </c>
      <c r="Q58" s="1251">
        <v>-5.3698670899999996</v>
      </c>
      <c r="R58" s="1251">
        <v>-5.36552746</v>
      </c>
      <c r="S58" s="1251">
        <v>-4.7503363899999993</v>
      </c>
      <c r="T58" s="1251">
        <v>-4.4867965099999996</v>
      </c>
      <c r="U58" s="1251">
        <v>-4.2041890000000004</v>
      </c>
      <c r="V58" s="1251">
        <v>-3.84689025</v>
      </c>
      <c r="W58" s="1251">
        <v>-2.8969822599999997</v>
      </c>
      <c r="X58" s="827">
        <v>0</v>
      </c>
      <c r="Y58" s="1254">
        <f t="shared" si="0"/>
        <v>-3.0580727999999997</v>
      </c>
      <c r="Z58" s="833">
        <v>0</v>
      </c>
      <c r="AA58" s="1722" t="s">
        <v>63</v>
      </c>
      <c r="AB58" s="833">
        <v>0</v>
      </c>
      <c r="AC58" s="1255" t="str">
        <f t="shared" si="2"/>
        <v/>
      </c>
      <c r="AD58" s="1255" t="str">
        <f t="shared" si="2"/>
        <v/>
      </c>
      <c r="AE58" s="1255">
        <f t="shared" si="2"/>
        <v>-3.0580727999999997</v>
      </c>
      <c r="AF58" s="1255" t="str">
        <f t="shared" si="2"/>
        <v/>
      </c>
      <c r="AG58" s="617"/>
      <c r="AH58" s="616"/>
      <c r="AI58" s="1721"/>
    </row>
    <row r="59" spans="1:35" s="459" customFormat="1">
      <c r="A59" s="1618" t="s">
        <v>845</v>
      </c>
      <c r="B59" s="724" t="s">
        <v>838</v>
      </c>
      <c r="C59" s="722" t="s">
        <v>830</v>
      </c>
      <c r="D59" s="835"/>
      <c r="E59" s="723">
        <v>248182</v>
      </c>
      <c r="F59" s="723">
        <v>242</v>
      </c>
      <c r="G59" s="723">
        <v>0</v>
      </c>
      <c r="H59" s="723">
        <v>500517</v>
      </c>
      <c r="I59" s="723" t="s">
        <v>835</v>
      </c>
      <c r="J59" s="832">
        <v>0</v>
      </c>
      <c r="K59" s="1251">
        <v>-1.70462538</v>
      </c>
      <c r="L59" s="1251">
        <v>-1.7840263999999999</v>
      </c>
      <c r="M59" s="1251">
        <v>-1.8545587299999999</v>
      </c>
      <c r="N59" s="1251">
        <v>-1.9247373999999999</v>
      </c>
      <c r="O59" s="1251">
        <v>-1.9246184</v>
      </c>
      <c r="P59" s="1251">
        <v>-1.95569076</v>
      </c>
      <c r="Q59" s="1251">
        <v>-1.96116902</v>
      </c>
      <c r="R59" s="1251">
        <v>-1.9434553600000002</v>
      </c>
      <c r="S59" s="1251">
        <v>-1.8791990199999999</v>
      </c>
      <c r="T59" s="1251">
        <v>-1.83301918</v>
      </c>
      <c r="U59" s="1251">
        <v>-1.8036708300000002</v>
      </c>
      <c r="V59" s="1251">
        <v>-1.7565162700000001</v>
      </c>
      <c r="W59" s="1251">
        <v>-1.6863790000000001</v>
      </c>
      <c r="X59" s="827">
        <v>0</v>
      </c>
      <c r="Y59" s="1254">
        <f t="shared" si="0"/>
        <v>-1.69550219</v>
      </c>
      <c r="Z59" s="833">
        <v>0</v>
      </c>
      <c r="AA59" s="1722" t="s">
        <v>63</v>
      </c>
      <c r="AB59" s="833">
        <v>0</v>
      </c>
      <c r="AC59" s="1255" t="str">
        <f t="shared" si="2"/>
        <v/>
      </c>
      <c r="AD59" s="1255" t="str">
        <f t="shared" si="2"/>
        <v/>
      </c>
      <c r="AE59" s="1255">
        <f t="shared" si="2"/>
        <v>-1.69550219</v>
      </c>
      <c r="AF59" s="1255" t="str">
        <f t="shared" si="2"/>
        <v/>
      </c>
      <c r="AG59" s="617"/>
      <c r="AH59" s="616"/>
      <c r="AI59" s="1721"/>
    </row>
    <row r="60" spans="1:35" s="459" customFormat="1">
      <c r="A60" s="1618" t="s">
        <v>844</v>
      </c>
      <c r="B60" s="724" t="s">
        <v>838</v>
      </c>
      <c r="C60" s="722" t="s">
        <v>830</v>
      </c>
      <c r="D60" s="835"/>
      <c r="E60" s="723">
        <v>248183</v>
      </c>
      <c r="F60" s="723">
        <v>242</v>
      </c>
      <c r="G60" s="723">
        <v>0</v>
      </c>
      <c r="H60" s="723">
        <v>500520</v>
      </c>
      <c r="I60" s="723" t="s">
        <v>835</v>
      </c>
      <c r="J60" s="832">
        <v>0</v>
      </c>
      <c r="K60" s="1251">
        <v>-2.0493750500000001</v>
      </c>
      <c r="L60" s="1251">
        <v>-2.1517815800000002</v>
      </c>
      <c r="M60" s="1251">
        <v>-2.2633070899999996</v>
      </c>
      <c r="N60" s="1251">
        <v>-2.3201469399999999</v>
      </c>
      <c r="O60" s="1251">
        <v>-2.4226732499999999</v>
      </c>
      <c r="P60" s="1251">
        <v>-2.4401571299999998</v>
      </c>
      <c r="Q60" s="1251">
        <v>-2.3905626</v>
      </c>
      <c r="R60" s="1251">
        <v>-2.2936063300000002</v>
      </c>
      <c r="S60" s="1251">
        <v>-2.2082917200000001</v>
      </c>
      <c r="T60" s="1251">
        <v>-2.1695699300000002</v>
      </c>
      <c r="U60" s="1251">
        <v>-2.1230147799999997</v>
      </c>
      <c r="V60" s="1251">
        <v>-2.1059512900000001</v>
      </c>
      <c r="W60" s="1251">
        <v>-2.08485297</v>
      </c>
      <c r="X60" s="827">
        <v>0</v>
      </c>
      <c r="Y60" s="1254">
        <f t="shared" si="0"/>
        <v>-2.0671140100000001</v>
      </c>
      <c r="Z60" s="833">
        <v>0</v>
      </c>
      <c r="AA60" s="1722" t="s">
        <v>63</v>
      </c>
      <c r="AB60" s="833">
        <v>0</v>
      </c>
      <c r="AC60" s="1255" t="str">
        <f t="shared" si="2"/>
        <v/>
      </c>
      <c r="AD60" s="1255" t="str">
        <f t="shared" si="2"/>
        <v/>
      </c>
      <c r="AE60" s="1255">
        <f t="shared" si="2"/>
        <v>-2.0671140100000001</v>
      </c>
      <c r="AF60" s="1255" t="str">
        <f t="shared" si="2"/>
        <v/>
      </c>
      <c r="AG60" s="617"/>
      <c r="AH60" s="616"/>
      <c r="AI60" s="1721"/>
    </row>
    <row r="61" spans="1:35" s="459" customFormat="1">
      <c r="A61" s="1618" t="s">
        <v>843</v>
      </c>
      <c r="B61" s="724" t="s">
        <v>838</v>
      </c>
      <c r="C61" s="722" t="s">
        <v>830</v>
      </c>
      <c r="D61" s="835"/>
      <c r="E61" s="723">
        <v>248186</v>
      </c>
      <c r="F61" s="723">
        <v>242</v>
      </c>
      <c r="G61" s="723">
        <v>0</v>
      </c>
      <c r="H61" s="723">
        <v>500515</v>
      </c>
      <c r="I61" s="723" t="s">
        <v>835</v>
      </c>
      <c r="J61" s="832">
        <v>0</v>
      </c>
      <c r="K61" s="1251">
        <v>-2.4808470000000003E-2</v>
      </c>
      <c r="L61" s="1251">
        <v>-2.7833E-2</v>
      </c>
      <c r="M61" s="1251">
        <v>-3.2167139999999997E-2</v>
      </c>
      <c r="N61" s="1251">
        <v>-4.1442680000000003E-2</v>
      </c>
      <c r="O61" s="1251">
        <v>-4.0660260000000004E-2</v>
      </c>
      <c r="P61" s="1251">
        <v>-3.39946E-2</v>
      </c>
      <c r="Q61" s="1251">
        <v>-3.4391769999999995E-2</v>
      </c>
      <c r="R61" s="1251">
        <v>-3.2065400000000001E-2</v>
      </c>
      <c r="S61" s="1251">
        <v>-3.0751919999999999E-2</v>
      </c>
      <c r="T61" s="1251">
        <v>-3.3426029999999995E-2</v>
      </c>
      <c r="U61" s="1251">
        <v>-3.3936019999999997E-2</v>
      </c>
      <c r="V61" s="1251">
        <v>-3.410556E-2</v>
      </c>
      <c r="W61" s="1251">
        <v>-3.2119309999999998E-2</v>
      </c>
      <c r="X61" s="827">
        <v>0</v>
      </c>
      <c r="Y61" s="1254">
        <f t="shared" si="0"/>
        <v>-2.8463889999999999E-2</v>
      </c>
      <c r="Z61" s="833">
        <v>0</v>
      </c>
      <c r="AA61" s="1722" t="s">
        <v>63</v>
      </c>
      <c r="AB61" s="833">
        <v>0</v>
      </c>
      <c r="AC61" s="1255" t="str">
        <f t="shared" si="2"/>
        <v/>
      </c>
      <c r="AD61" s="1255" t="str">
        <f t="shared" si="2"/>
        <v/>
      </c>
      <c r="AE61" s="1255">
        <f t="shared" si="2"/>
        <v>-2.8463889999999999E-2</v>
      </c>
      <c r="AF61" s="1255" t="str">
        <f t="shared" si="2"/>
        <v/>
      </c>
      <c r="AG61" s="617"/>
      <c r="AH61" s="616"/>
      <c r="AI61" s="1721"/>
    </row>
    <row r="62" spans="1:35" s="459" customFormat="1">
      <c r="A62" s="1618" t="s">
        <v>842</v>
      </c>
      <c r="B62" s="724" t="s">
        <v>838</v>
      </c>
      <c r="C62" s="722" t="s">
        <v>830</v>
      </c>
      <c r="D62" s="835"/>
      <c r="E62" s="723">
        <v>248187</v>
      </c>
      <c r="F62" s="723">
        <v>242</v>
      </c>
      <c r="G62" s="723">
        <v>0</v>
      </c>
      <c r="H62" s="723">
        <v>500518</v>
      </c>
      <c r="I62" s="723" t="s">
        <v>835</v>
      </c>
      <c r="J62" s="832">
        <v>0</v>
      </c>
      <c r="K62" s="1251">
        <v>-3.67614017</v>
      </c>
      <c r="L62" s="1251">
        <v>-3.8794646200000003</v>
      </c>
      <c r="M62" s="1251">
        <v>-4.0517940799999996</v>
      </c>
      <c r="N62" s="1251">
        <v>-4.11589253</v>
      </c>
      <c r="O62" s="1251">
        <v>-4.2142430800000001</v>
      </c>
      <c r="P62" s="1251">
        <v>-4.29139845</v>
      </c>
      <c r="Q62" s="1251">
        <v>-4.1493590400000002</v>
      </c>
      <c r="R62" s="1251">
        <v>-3.90292219</v>
      </c>
      <c r="S62" s="1251">
        <v>-3.7699440499999999</v>
      </c>
      <c r="T62" s="1251">
        <v>-3.8103956499999998</v>
      </c>
      <c r="U62" s="1251">
        <v>-3.7948338800000001</v>
      </c>
      <c r="V62" s="1251">
        <v>-3.7494952000000001</v>
      </c>
      <c r="W62" s="1251">
        <v>-3.5965236099999998</v>
      </c>
      <c r="X62" s="827">
        <v>0</v>
      </c>
      <c r="Y62" s="1254">
        <f t="shared" si="0"/>
        <v>-3.6363318900000001</v>
      </c>
      <c r="Z62" s="833">
        <v>0</v>
      </c>
      <c r="AA62" s="1722" t="s">
        <v>63</v>
      </c>
      <c r="AB62" s="833">
        <v>0</v>
      </c>
      <c r="AC62" s="1255" t="str">
        <f t="shared" si="2"/>
        <v/>
      </c>
      <c r="AD62" s="1255" t="str">
        <f t="shared" si="2"/>
        <v/>
      </c>
      <c r="AE62" s="1255">
        <f t="shared" si="2"/>
        <v>-3.6363318900000001</v>
      </c>
      <c r="AF62" s="1255" t="str">
        <f t="shared" si="2"/>
        <v/>
      </c>
      <c r="AG62" s="617"/>
      <c r="AH62" s="616"/>
      <c r="AI62" s="1721"/>
    </row>
    <row r="63" spans="1:35" s="459" customFormat="1">
      <c r="A63" s="1618" t="s">
        <v>841</v>
      </c>
      <c r="B63" s="724" t="s">
        <v>838</v>
      </c>
      <c r="C63" s="722" t="s">
        <v>830</v>
      </c>
      <c r="D63" s="835"/>
      <c r="E63" s="723">
        <v>248188</v>
      </c>
      <c r="F63" s="723">
        <v>242</v>
      </c>
      <c r="G63" s="723">
        <v>0</v>
      </c>
      <c r="H63" s="723">
        <v>500519</v>
      </c>
      <c r="I63" s="723" t="s">
        <v>835</v>
      </c>
      <c r="J63" s="832">
        <v>0</v>
      </c>
      <c r="K63" s="1251">
        <v>-0.12898480000000001</v>
      </c>
      <c r="L63" s="1251">
        <v>-0.13411224999999999</v>
      </c>
      <c r="M63" s="1251">
        <v>-0.13930495000000001</v>
      </c>
      <c r="N63" s="1251">
        <v>-0.14287867999999998</v>
      </c>
      <c r="O63" s="1251">
        <v>-0.14515198000000001</v>
      </c>
      <c r="P63" s="1251">
        <v>-0.14760363000000001</v>
      </c>
      <c r="Q63" s="1251">
        <v>-0.14337533</v>
      </c>
      <c r="R63" s="1251">
        <v>-0.12500338999999999</v>
      </c>
      <c r="S63" s="1251">
        <v>-0.11527595</v>
      </c>
      <c r="T63" s="1251">
        <v>-0.12202597</v>
      </c>
      <c r="U63" s="1251">
        <v>-0.11857178</v>
      </c>
      <c r="V63" s="1251">
        <v>-0.11234883</v>
      </c>
      <c r="W63" s="1251">
        <v>-0.11171532000000001</v>
      </c>
      <c r="X63" s="827">
        <v>0</v>
      </c>
      <c r="Y63" s="1254">
        <f t="shared" si="0"/>
        <v>-0.12035006000000001</v>
      </c>
      <c r="Z63" s="833">
        <v>0</v>
      </c>
      <c r="AA63" s="1722" t="s">
        <v>63</v>
      </c>
      <c r="AB63" s="833">
        <v>0</v>
      </c>
      <c r="AC63" s="1255" t="str">
        <f t="shared" si="2"/>
        <v/>
      </c>
      <c r="AD63" s="1255" t="str">
        <f t="shared" si="2"/>
        <v/>
      </c>
      <c r="AE63" s="1255">
        <f t="shared" si="2"/>
        <v>-0.12035006000000001</v>
      </c>
      <c r="AF63" s="1255" t="str">
        <f t="shared" si="2"/>
        <v/>
      </c>
      <c r="AG63" s="617"/>
      <c r="AH63" s="616"/>
      <c r="AI63" s="1721"/>
    </row>
    <row r="64" spans="1:35" s="459" customFormat="1">
      <c r="A64" s="1618" t="s">
        <v>840</v>
      </c>
      <c r="B64" s="724" t="s">
        <v>838</v>
      </c>
      <c r="C64" s="722" t="s">
        <v>830</v>
      </c>
      <c r="D64" s="835"/>
      <c r="E64" s="723">
        <v>248189</v>
      </c>
      <c r="F64" s="723">
        <v>242</v>
      </c>
      <c r="G64" s="723">
        <v>0</v>
      </c>
      <c r="H64" s="723">
        <v>500516</v>
      </c>
      <c r="I64" s="723" t="s">
        <v>835</v>
      </c>
      <c r="J64" s="832">
        <v>0</v>
      </c>
      <c r="K64" s="1251">
        <v>-15.68490899</v>
      </c>
      <c r="L64" s="1251">
        <v>-16.1253387</v>
      </c>
      <c r="M64" s="1251">
        <v>-16.429923339999998</v>
      </c>
      <c r="N64" s="1251">
        <v>-16.37010141</v>
      </c>
      <c r="O64" s="1251">
        <v>-16.51583114</v>
      </c>
      <c r="P64" s="1251">
        <v>-16.57272588</v>
      </c>
      <c r="Q64" s="1251">
        <v>-16.350083650000002</v>
      </c>
      <c r="R64" s="1251">
        <v>-16.051389529999998</v>
      </c>
      <c r="S64" s="1251">
        <v>-15.86206142</v>
      </c>
      <c r="T64" s="1251">
        <v>-15.84431502</v>
      </c>
      <c r="U64" s="1251">
        <v>-15.87977575</v>
      </c>
      <c r="V64" s="1251">
        <v>-15.813819029999999</v>
      </c>
      <c r="W64" s="1251">
        <v>-15.500094199999999</v>
      </c>
      <c r="X64" s="827">
        <v>0</v>
      </c>
      <c r="Y64" s="1254">
        <f t="shared" si="0"/>
        <v>-15.592501595</v>
      </c>
      <c r="Z64" s="833">
        <v>0</v>
      </c>
      <c r="AA64" s="1722" t="s">
        <v>63</v>
      </c>
      <c r="AB64" s="833">
        <v>0</v>
      </c>
      <c r="AC64" s="1255" t="str">
        <f t="shared" si="2"/>
        <v/>
      </c>
      <c r="AD64" s="1255" t="str">
        <f t="shared" si="2"/>
        <v/>
      </c>
      <c r="AE64" s="1255">
        <f t="shared" si="2"/>
        <v>-15.592501595</v>
      </c>
      <c r="AF64" s="1255" t="str">
        <f t="shared" si="2"/>
        <v/>
      </c>
      <c r="AG64" s="617"/>
      <c r="AH64" s="616"/>
      <c r="AI64" s="1721"/>
    </row>
    <row r="65" spans="1:35" s="459" customFormat="1">
      <c r="A65" s="1618" t="s">
        <v>839</v>
      </c>
      <c r="B65" s="724" t="s">
        <v>838</v>
      </c>
      <c r="C65" s="722" t="s">
        <v>830</v>
      </c>
      <c r="D65" s="835"/>
      <c r="E65" s="723">
        <v>248195</v>
      </c>
      <c r="F65" s="723">
        <v>242</v>
      </c>
      <c r="G65" s="723">
        <v>0</v>
      </c>
      <c r="H65" s="723">
        <v>500515</v>
      </c>
      <c r="I65" s="723" t="s">
        <v>835</v>
      </c>
      <c r="J65" s="832">
        <v>0</v>
      </c>
      <c r="K65" s="1251">
        <v>-5.95197105</v>
      </c>
      <c r="L65" s="1251">
        <v>-5.9769202899999998</v>
      </c>
      <c r="M65" s="1251">
        <v>-6.1005624000000003</v>
      </c>
      <c r="N65" s="1251">
        <v>-6.1443628300000004</v>
      </c>
      <c r="O65" s="1251">
        <v>-6.1633772800000006</v>
      </c>
      <c r="P65" s="1251">
        <v>-5.3943843300000003</v>
      </c>
      <c r="Q65" s="1251">
        <v>-5.3802542699999991</v>
      </c>
      <c r="R65" s="1251">
        <v>-5.4239816699999999</v>
      </c>
      <c r="S65" s="1251">
        <v>-5.4485879400000004</v>
      </c>
      <c r="T65" s="1251">
        <v>-5.4896020800000001</v>
      </c>
      <c r="U65" s="1251">
        <v>-5.4948643800000001</v>
      </c>
      <c r="V65" s="1251">
        <v>-5.5067399400000001</v>
      </c>
      <c r="W65" s="1251">
        <v>-6.0877574900000004</v>
      </c>
      <c r="X65" s="827">
        <v>0</v>
      </c>
      <c r="Y65" s="1254">
        <f t="shared" si="0"/>
        <v>-6.0198642700000002</v>
      </c>
      <c r="Z65" s="833">
        <v>0</v>
      </c>
      <c r="AA65" s="1722" t="s">
        <v>63</v>
      </c>
      <c r="AB65" s="833">
        <v>0</v>
      </c>
      <c r="AC65" s="1255" t="str">
        <f t="shared" si="2"/>
        <v/>
      </c>
      <c r="AD65" s="1255" t="str">
        <f t="shared" si="2"/>
        <v/>
      </c>
      <c r="AE65" s="1255">
        <f t="shared" si="2"/>
        <v>-6.0198642700000002</v>
      </c>
      <c r="AF65" s="1255" t="str">
        <f t="shared" si="2"/>
        <v/>
      </c>
      <c r="AG65" s="617"/>
      <c r="AH65" s="616"/>
      <c r="AI65" s="1721"/>
    </row>
    <row r="66" spans="1:35" s="459" customFormat="1">
      <c r="A66" s="1618"/>
      <c r="B66" s="721"/>
      <c r="C66" s="722"/>
      <c r="D66" s="835"/>
      <c r="E66" s="723"/>
      <c r="F66" s="723"/>
      <c r="G66" s="723"/>
      <c r="H66" s="723"/>
      <c r="I66" s="723"/>
      <c r="J66" s="832"/>
      <c r="K66" s="1252"/>
      <c r="L66" s="1252"/>
      <c r="M66" s="1252"/>
      <c r="N66" s="1252"/>
      <c r="O66" s="1252"/>
      <c r="P66" s="1252"/>
      <c r="Q66" s="1252"/>
      <c r="R66" s="1252"/>
      <c r="S66" s="1252"/>
      <c r="T66" s="1252"/>
      <c r="U66" s="1252"/>
      <c r="V66" s="1252"/>
      <c r="W66" s="1253"/>
      <c r="X66" s="827"/>
      <c r="Y66" s="1254"/>
      <c r="Z66" s="833"/>
      <c r="AA66" s="1722"/>
      <c r="AB66" s="833"/>
      <c r="AC66" s="1255" t="str">
        <f t="shared" si="2"/>
        <v/>
      </c>
      <c r="AD66" s="1255" t="str">
        <f t="shared" si="2"/>
        <v/>
      </c>
      <c r="AE66" s="1255" t="str">
        <f t="shared" si="2"/>
        <v/>
      </c>
      <c r="AF66" s="1255" t="str">
        <f t="shared" si="2"/>
        <v/>
      </c>
      <c r="AG66" s="617"/>
      <c r="AH66" s="616"/>
      <c r="AI66" s="1721"/>
    </row>
    <row r="67" spans="1:35" s="459" customFormat="1">
      <c r="A67" s="720" t="s">
        <v>1439</v>
      </c>
      <c r="B67" s="724" t="s">
        <v>1440</v>
      </c>
      <c r="C67" s="722" t="s">
        <v>830</v>
      </c>
      <c r="D67" s="835"/>
      <c r="E67" s="723">
        <v>280349</v>
      </c>
      <c r="F67" s="723">
        <v>228.3</v>
      </c>
      <c r="G67" s="723">
        <v>0</v>
      </c>
      <c r="H67" s="723">
        <v>501106</v>
      </c>
      <c r="I67" s="723">
        <v>426.5</v>
      </c>
      <c r="J67" s="832">
        <v>0</v>
      </c>
      <c r="K67" s="1251">
        <v>-2.3225470000000001</v>
      </c>
      <c r="L67" s="1251">
        <v>-2.3454899999999999</v>
      </c>
      <c r="M67" s="1251">
        <v>-2.2992870000000001</v>
      </c>
      <c r="N67" s="1251">
        <v>-2.2942749999999998</v>
      </c>
      <c r="O67" s="1251">
        <v>-2.28407742</v>
      </c>
      <c r="P67" s="1251">
        <v>-2.2833600000000001</v>
      </c>
      <c r="Q67" s="1251">
        <v>-2.2750170000000001</v>
      </c>
      <c r="R67" s="1251">
        <v>-2.257908</v>
      </c>
      <c r="S67" s="1251">
        <v>-2.257908</v>
      </c>
      <c r="T67" s="1251">
        <v>-2.2542390000000001</v>
      </c>
      <c r="U67" s="1251">
        <v>-2.24153</v>
      </c>
      <c r="V67" s="1251">
        <v>-2.238715</v>
      </c>
      <c r="W67" s="1251">
        <v>-2.1906189999999999</v>
      </c>
      <c r="X67" s="827">
        <v>0</v>
      </c>
      <c r="Y67" s="1254">
        <f t="shared" si="0"/>
        <v>-2.256583</v>
      </c>
      <c r="Z67" s="833">
        <v>0</v>
      </c>
      <c r="AA67" s="1722" t="s">
        <v>104</v>
      </c>
      <c r="AB67" s="833">
        <v>0</v>
      </c>
      <c r="AC67" s="1255" t="str">
        <f t="shared" si="2"/>
        <v/>
      </c>
      <c r="AD67" s="1255" t="str">
        <f t="shared" si="2"/>
        <v/>
      </c>
      <c r="AE67" s="1255" t="str">
        <f t="shared" si="2"/>
        <v/>
      </c>
      <c r="AF67" s="1255">
        <f t="shared" si="2"/>
        <v>-2.256583</v>
      </c>
      <c r="AG67" s="617"/>
      <c r="AH67" s="616"/>
      <c r="AI67" s="1721"/>
    </row>
    <row r="68" spans="1:35" s="459" customFormat="1">
      <c r="A68" s="1618" t="s">
        <v>837</v>
      </c>
      <c r="B68" s="724" t="s">
        <v>836</v>
      </c>
      <c r="C68" s="722" t="s">
        <v>830</v>
      </c>
      <c r="D68" s="835"/>
      <c r="E68" s="723">
        <v>280350</v>
      </c>
      <c r="F68" s="723">
        <v>228.35</v>
      </c>
      <c r="G68" s="723">
        <v>0</v>
      </c>
      <c r="H68" s="723">
        <v>501105</v>
      </c>
      <c r="I68" s="723" t="s">
        <v>835</v>
      </c>
      <c r="J68" s="832">
        <v>0</v>
      </c>
      <c r="K68" s="1251">
        <v>-0.69099999999999995</v>
      </c>
      <c r="L68" s="1251">
        <v>-1.3819999999999999</v>
      </c>
      <c r="M68" s="1251">
        <v>-1.379</v>
      </c>
      <c r="N68" s="1251">
        <v>-0.68799999999999994</v>
      </c>
      <c r="O68" s="1251">
        <v>-0.68899999999999995</v>
      </c>
      <c r="P68" s="1251">
        <v>-0.69099999999999995</v>
      </c>
      <c r="Q68" s="1251">
        <v>-1.3757870000000001</v>
      </c>
      <c r="R68" s="1251">
        <v>-0.68601999999999996</v>
      </c>
      <c r="S68" s="1251">
        <v>-0.68301999999999996</v>
      </c>
      <c r="T68" s="1251">
        <v>-1.36602</v>
      </c>
      <c r="U68" s="1251">
        <v>-1.3630199999999999</v>
      </c>
      <c r="V68" s="1251">
        <v>-1.35602</v>
      </c>
      <c r="W68" s="1251">
        <v>-0.66601999999999995</v>
      </c>
      <c r="X68" s="827">
        <v>0</v>
      </c>
      <c r="Y68" s="1254">
        <f t="shared" ref="Y68:Y74" si="3">IF(Toggle=Projection,AVERAGE(K68,W68),IF(Toggle=True_up,AVERAGE(K68:W68),"Set Toggle!"))</f>
        <v>-0.67850999999999995</v>
      </c>
      <c r="Z68" s="833">
        <v>0</v>
      </c>
      <c r="AA68" s="1722" t="s">
        <v>63</v>
      </c>
      <c r="AB68" s="833">
        <v>0</v>
      </c>
      <c r="AC68" s="1255" t="str">
        <f t="shared" si="2"/>
        <v/>
      </c>
      <c r="AD68" s="1255" t="str">
        <f t="shared" si="2"/>
        <v/>
      </c>
      <c r="AE68" s="1255">
        <f t="shared" si="2"/>
        <v>-0.67850999999999995</v>
      </c>
      <c r="AF68" s="1255" t="str">
        <f t="shared" si="2"/>
        <v/>
      </c>
      <c r="AG68" s="617"/>
      <c r="AH68" s="616"/>
      <c r="AI68" s="1721"/>
    </row>
    <row r="69" spans="1:35" s="459" customFormat="1">
      <c r="A69" s="1618"/>
      <c r="B69" s="724"/>
      <c r="C69" s="722"/>
      <c r="D69" s="835"/>
      <c r="E69" s="723"/>
      <c r="F69" s="723"/>
      <c r="G69" s="723"/>
      <c r="H69" s="723"/>
      <c r="I69" s="723"/>
      <c r="J69" s="832"/>
      <c r="K69" s="1251"/>
      <c r="L69" s="1251"/>
      <c r="M69" s="1251"/>
      <c r="N69" s="1251"/>
      <c r="O69" s="1251"/>
      <c r="P69" s="1251"/>
      <c r="Q69" s="1251"/>
      <c r="R69" s="1251"/>
      <c r="S69" s="1251"/>
      <c r="T69" s="1251"/>
      <c r="U69" s="1251"/>
      <c r="V69" s="1251"/>
      <c r="W69" s="1251"/>
      <c r="X69" s="827"/>
      <c r="Y69" s="1254"/>
      <c r="Z69" s="833"/>
      <c r="AA69" s="1722"/>
      <c r="AB69" s="833"/>
      <c r="AC69" s="1255" t="str">
        <f t="shared" si="2"/>
        <v/>
      </c>
      <c r="AD69" s="1255" t="str">
        <f t="shared" si="2"/>
        <v/>
      </c>
      <c r="AE69" s="1255" t="str">
        <f t="shared" si="2"/>
        <v/>
      </c>
      <c r="AF69" s="1255" t="str">
        <f t="shared" si="2"/>
        <v/>
      </c>
      <c r="AG69" s="617"/>
      <c r="AH69" s="616"/>
      <c r="AI69" s="1721"/>
    </row>
    <row r="70" spans="1:35" s="459" customFormat="1">
      <c r="A70" s="1618" t="s">
        <v>560</v>
      </c>
      <c r="B70" s="724" t="s">
        <v>834</v>
      </c>
      <c r="C70" s="722" t="s">
        <v>830</v>
      </c>
      <c r="D70" s="835"/>
      <c r="E70" s="723">
        <v>280465</v>
      </c>
      <c r="F70" s="723">
        <v>228.35</v>
      </c>
      <c r="G70" s="723">
        <v>0</v>
      </c>
      <c r="H70" s="723">
        <v>501115</v>
      </c>
      <c r="I70" s="723" t="s">
        <v>1442</v>
      </c>
      <c r="J70" s="832">
        <v>0</v>
      </c>
      <c r="K70" s="1251">
        <v>-62.957884999999997</v>
      </c>
      <c r="L70" s="1251">
        <v>-62.799192859999998</v>
      </c>
      <c r="M70" s="1251">
        <v>-62.640500719999999</v>
      </c>
      <c r="N70" s="1251">
        <v>-62.473500159999993</v>
      </c>
      <c r="O70" s="1251">
        <v>-62.314808020000001</v>
      </c>
      <c r="P70" s="1251">
        <v>-62.156115880000002</v>
      </c>
      <c r="Q70" s="1251">
        <v>-61.997423740000002</v>
      </c>
      <c r="R70" s="1251">
        <v>-61.838731600000003</v>
      </c>
      <c r="S70" s="1251">
        <v>-61.680039460000003</v>
      </c>
      <c r="T70" s="1251">
        <v>-61.521347320000004</v>
      </c>
      <c r="U70" s="1251">
        <v>-61.362655179999997</v>
      </c>
      <c r="V70" s="1251">
        <v>-61.203963039999998</v>
      </c>
      <c r="W70" s="1251">
        <v>-59.278716000000003</v>
      </c>
      <c r="X70" s="827">
        <v>0</v>
      </c>
      <c r="Y70" s="1254">
        <f t="shared" si="3"/>
        <v>-61.118300500000004</v>
      </c>
      <c r="Z70" s="833">
        <v>0</v>
      </c>
      <c r="AA70" s="1722" t="s">
        <v>63</v>
      </c>
      <c r="AB70" s="833">
        <v>0</v>
      </c>
      <c r="AC70" s="1255" t="str">
        <f t="shared" si="2"/>
        <v/>
      </c>
      <c r="AD70" s="1255" t="str">
        <f t="shared" si="2"/>
        <v/>
      </c>
      <c r="AE70" s="1255">
        <f t="shared" si="2"/>
        <v>-61.118300500000004</v>
      </c>
      <c r="AF70" s="1255" t="str">
        <f t="shared" si="2"/>
        <v/>
      </c>
      <c r="AG70" s="617"/>
      <c r="AH70" s="616"/>
      <c r="AI70" s="1721"/>
    </row>
    <row r="71" spans="1:35" s="459" customFormat="1" ht="38.25">
      <c r="A71" s="1618" t="s">
        <v>889</v>
      </c>
      <c r="B71" s="724" t="s">
        <v>834</v>
      </c>
      <c r="C71" s="722" t="s">
        <v>1470</v>
      </c>
      <c r="D71" s="835"/>
      <c r="E71" s="723">
        <v>299107</v>
      </c>
      <c r="F71" s="723">
        <v>219</v>
      </c>
      <c r="G71" s="723">
        <v>0</v>
      </c>
      <c r="H71" s="723">
        <v>0</v>
      </c>
      <c r="I71" s="723">
        <v>0</v>
      </c>
      <c r="J71" s="832">
        <v>0</v>
      </c>
      <c r="K71" s="1251">
        <v>22.024011999999999</v>
      </c>
      <c r="L71" s="1251">
        <v>21.95025025</v>
      </c>
      <c r="M71" s="1251">
        <v>21.876488500000001</v>
      </c>
      <c r="N71" s="1251">
        <v>21.802726750000001</v>
      </c>
      <c r="O71" s="1251">
        <v>21.728964999999999</v>
      </c>
      <c r="P71" s="1251">
        <v>21.65520325</v>
      </c>
      <c r="Q71" s="1251">
        <v>21.5814415</v>
      </c>
      <c r="R71" s="1251">
        <v>21.507679750000001</v>
      </c>
      <c r="S71" s="1251">
        <v>21.433917999999998</v>
      </c>
      <c r="T71" s="1251">
        <v>21.360156249999999</v>
      </c>
      <c r="U71" s="1251">
        <v>21.2863945</v>
      </c>
      <c r="V71" s="1251">
        <v>21.212632750000001</v>
      </c>
      <c r="W71" s="1251">
        <v>19.363143000000001</v>
      </c>
      <c r="X71" s="827">
        <v>0</v>
      </c>
      <c r="Y71" s="1254">
        <f t="shared" si="3"/>
        <v>20.6935775</v>
      </c>
      <c r="Z71" s="833">
        <v>0</v>
      </c>
      <c r="AA71" s="1722" t="s">
        <v>63</v>
      </c>
      <c r="AB71" s="833">
        <v>0</v>
      </c>
      <c r="AC71" s="1255" t="str">
        <f t="shared" si="2"/>
        <v/>
      </c>
      <c r="AD71" s="1255" t="str">
        <f t="shared" si="2"/>
        <v/>
      </c>
      <c r="AE71" s="1255">
        <f t="shared" si="2"/>
        <v>20.6935775</v>
      </c>
      <c r="AF71" s="1255" t="str">
        <f t="shared" si="2"/>
        <v/>
      </c>
      <c r="AG71" s="617"/>
      <c r="AH71" s="616"/>
      <c r="AI71" s="1721"/>
    </row>
    <row r="72" spans="1:35" s="459" customFormat="1">
      <c r="A72" s="1618"/>
      <c r="B72" s="724"/>
      <c r="C72" s="722"/>
      <c r="D72" s="835"/>
      <c r="E72" s="723"/>
      <c r="F72" s="723"/>
      <c r="G72" s="723"/>
      <c r="H72" s="723"/>
      <c r="I72" s="723"/>
      <c r="J72" s="832"/>
      <c r="K72" s="1251"/>
      <c r="L72" s="1251"/>
      <c r="M72" s="1251"/>
      <c r="N72" s="1251"/>
      <c r="O72" s="1251"/>
      <c r="P72" s="1251"/>
      <c r="Q72" s="1251"/>
      <c r="R72" s="1251"/>
      <c r="S72" s="1251"/>
      <c r="T72" s="1251"/>
      <c r="U72" s="1251"/>
      <c r="V72" s="1251"/>
      <c r="W72" s="1251"/>
      <c r="X72" s="827"/>
      <c r="Y72" s="1254"/>
      <c r="Z72" s="833"/>
      <c r="AA72" s="1722"/>
      <c r="AB72" s="833"/>
      <c r="AC72" s="1255" t="str">
        <f t="shared" si="2"/>
        <v/>
      </c>
      <c r="AD72" s="1255" t="str">
        <f t="shared" si="2"/>
        <v/>
      </c>
      <c r="AE72" s="1255" t="str">
        <f t="shared" si="2"/>
        <v/>
      </c>
      <c r="AF72" s="1255" t="str">
        <f t="shared" si="2"/>
        <v/>
      </c>
      <c r="AG72" s="617"/>
      <c r="AH72" s="616"/>
      <c r="AI72" s="1721"/>
    </row>
    <row r="73" spans="1:35" s="459" customFormat="1">
      <c r="A73" s="1618" t="s">
        <v>833</v>
      </c>
      <c r="B73" s="724" t="s">
        <v>831</v>
      </c>
      <c r="C73" s="722" t="s">
        <v>830</v>
      </c>
      <c r="D73" s="835"/>
      <c r="E73" s="723">
        <v>280330</v>
      </c>
      <c r="F73" s="723">
        <v>228.3</v>
      </c>
      <c r="G73" s="723">
        <v>0</v>
      </c>
      <c r="H73" s="723">
        <v>501160</v>
      </c>
      <c r="I73" s="723">
        <v>920</v>
      </c>
      <c r="J73" s="832">
        <v>0</v>
      </c>
      <c r="K73" s="1251">
        <v>-34.080084999999997</v>
      </c>
      <c r="L73" s="1251">
        <v>-33.955716719999998</v>
      </c>
      <c r="M73" s="1251">
        <v>-33.734683459999999</v>
      </c>
      <c r="N73" s="1251">
        <v>-33.8192545</v>
      </c>
      <c r="O73" s="1251">
        <v>-33.700243180000001</v>
      </c>
      <c r="P73" s="1251">
        <v>-33.804912119999997</v>
      </c>
      <c r="Q73" s="1251">
        <v>-34.017745470000001</v>
      </c>
      <c r="R73" s="1251">
        <v>-34.171126600000001</v>
      </c>
      <c r="S73" s="1251">
        <v>-34.143629070000003</v>
      </c>
      <c r="T73" s="1251">
        <v>-34.424097320000001</v>
      </c>
      <c r="U73" s="1251">
        <v>-34.80000192</v>
      </c>
      <c r="V73" s="1251">
        <v>-34.985692</v>
      </c>
      <c r="W73" s="1251">
        <v>-31.649884</v>
      </c>
      <c r="X73" s="827">
        <v>0</v>
      </c>
      <c r="Y73" s="1254">
        <f t="shared" si="3"/>
        <v>-32.864984499999998</v>
      </c>
      <c r="Z73" s="833">
        <v>0</v>
      </c>
      <c r="AA73" s="1722" t="s">
        <v>63</v>
      </c>
      <c r="AB73" s="833">
        <v>0</v>
      </c>
      <c r="AC73" s="1255" t="str">
        <f t="shared" si="2"/>
        <v/>
      </c>
      <c r="AD73" s="1255" t="str">
        <f t="shared" si="2"/>
        <v/>
      </c>
      <c r="AE73" s="1255">
        <f t="shared" si="2"/>
        <v>-32.864984499999998</v>
      </c>
      <c r="AF73" s="1255" t="str">
        <f t="shared" si="2"/>
        <v/>
      </c>
      <c r="AG73" s="617"/>
      <c r="AH73" s="616"/>
      <c r="AI73" s="1721"/>
    </row>
    <row r="74" spans="1:35" s="459" customFormat="1">
      <c r="A74" s="1618" t="s">
        <v>832</v>
      </c>
      <c r="B74" s="724" t="s">
        <v>831</v>
      </c>
      <c r="C74" s="722" t="s">
        <v>830</v>
      </c>
      <c r="D74" s="835"/>
      <c r="E74" s="723">
        <v>280490</v>
      </c>
      <c r="F74" s="723">
        <v>228.3</v>
      </c>
      <c r="G74" s="723">
        <v>0</v>
      </c>
      <c r="H74" s="723">
        <v>501160</v>
      </c>
      <c r="I74" s="723">
        <v>920</v>
      </c>
      <c r="J74" s="832">
        <v>0</v>
      </c>
      <c r="K74" s="1251">
        <v>-3.2604600000000001</v>
      </c>
      <c r="L74" s="1251">
        <v>-3.2331564400000001</v>
      </c>
      <c r="M74" s="1251">
        <v>-3.22109618</v>
      </c>
      <c r="N74" s="1251">
        <v>-3.20443342</v>
      </c>
      <c r="O74" s="1251">
        <v>-3.17659943</v>
      </c>
      <c r="P74" s="1251">
        <v>-3.1612421299999998</v>
      </c>
      <c r="Q74" s="1251">
        <v>-3.1347910699999999</v>
      </c>
      <c r="R74" s="1251">
        <v>-3.1191131899999998</v>
      </c>
      <c r="S74" s="1251">
        <v>-3.10767433</v>
      </c>
      <c r="T74" s="1251">
        <v>-3.1053828700000001</v>
      </c>
      <c r="U74" s="1251">
        <v>-3.1050743599999997</v>
      </c>
      <c r="V74" s="1251">
        <v>-3.10662357</v>
      </c>
      <c r="W74" s="1251">
        <v>-3.106519</v>
      </c>
      <c r="X74" s="827">
        <v>0</v>
      </c>
      <c r="Y74" s="1254">
        <f t="shared" si="3"/>
        <v>-3.1834895000000003</v>
      </c>
      <c r="Z74" s="833">
        <v>0</v>
      </c>
      <c r="AA74" s="1722" t="s">
        <v>63</v>
      </c>
      <c r="AB74" s="833">
        <v>0</v>
      </c>
      <c r="AC74" s="1255" t="str">
        <f t="shared" si="2"/>
        <v/>
      </c>
      <c r="AD74" s="1255" t="str">
        <f t="shared" si="2"/>
        <v/>
      </c>
      <c r="AE74" s="1255">
        <f t="shared" si="2"/>
        <v>-3.1834895000000003</v>
      </c>
      <c r="AF74" s="1255" t="str">
        <f t="shared" si="2"/>
        <v/>
      </c>
      <c r="AG74" s="617"/>
      <c r="AH74" s="616"/>
      <c r="AI74" s="1721"/>
    </row>
    <row r="75" spans="1:35" s="459" customFormat="1">
      <c r="A75" s="1720" t="s">
        <v>977</v>
      </c>
      <c r="B75" s="726"/>
      <c r="C75" s="726"/>
      <c r="D75" s="835"/>
      <c r="E75" s="727"/>
      <c r="F75" s="727"/>
      <c r="G75" s="727"/>
      <c r="H75" s="727"/>
      <c r="I75" s="727"/>
      <c r="J75" s="727"/>
      <c r="K75" s="1719">
        <f t="shared" ref="K75:W75" si="4">SUM(K8:K74)</f>
        <v>-292.08816462999999</v>
      </c>
      <c r="L75" s="1719">
        <f t="shared" si="4"/>
        <v>-292.99248140999998</v>
      </c>
      <c r="M75" s="1719">
        <f t="shared" si="4"/>
        <v>-292.64445326999999</v>
      </c>
      <c r="N75" s="1719">
        <f t="shared" si="4"/>
        <v>-296.04045384</v>
      </c>
      <c r="O75" s="1719">
        <f t="shared" si="4"/>
        <v>-299.86176064999995</v>
      </c>
      <c r="P75" s="1719">
        <f t="shared" si="4"/>
        <v>-304.42494801999999</v>
      </c>
      <c r="Q75" s="1719">
        <f t="shared" si="4"/>
        <v>-310.03221581000008</v>
      </c>
      <c r="R75" s="1719">
        <f t="shared" si="4"/>
        <v>-310.74987730999993</v>
      </c>
      <c r="S75" s="1719">
        <f t="shared" si="4"/>
        <v>-311.52494121000007</v>
      </c>
      <c r="T75" s="1719">
        <f t="shared" si="4"/>
        <v>-331.6451666800001</v>
      </c>
      <c r="U75" s="1719">
        <f t="shared" si="4"/>
        <v>-327.10509031000004</v>
      </c>
      <c r="V75" s="1719">
        <f t="shared" si="4"/>
        <v>-334.48825451000005</v>
      </c>
      <c r="W75" s="1719">
        <f t="shared" si="4"/>
        <v>-299.02096734999992</v>
      </c>
      <c r="X75" s="728"/>
      <c r="Y75" s="1718">
        <f>ROUND(SUM(K75+W75)/2,4)</f>
        <v>-295.55459999999999</v>
      </c>
      <c r="Z75" s="728"/>
      <c r="AA75" s="728"/>
      <c r="AB75" s="728"/>
      <c r="AC75" s="1717">
        <f>SUM(AC8:AC74)</f>
        <v>0</v>
      </c>
      <c r="AD75" s="1717">
        <f>SUM(AD8:AD74)</f>
        <v>0</v>
      </c>
      <c r="AE75" s="1717">
        <f>SUM(AE8:AE74)</f>
        <v>-135.73477953</v>
      </c>
      <c r="AF75" s="1717">
        <f>SUM(AF8:AF74)</f>
        <v>-159.81978646000005</v>
      </c>
      <c r="AG75" s="728"/>
      <c r="AH75" s="616"/>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437"/>
      <c r="Z76" s="437"/>
      <c r="AA76" s="437"/>
      <c r="AB76" s="437"/>
      <c r="AC76" s="615"/>
      <c r="AD76" s="615"/>
      <c r="AE76" s="615"/>
      <c r="AF76" s="615"/>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2"/>
      <c r="X77" s="437"/>
      <c r="Y77" s="602"/>
      <c r="Z77" s="437"/>
      <c r="AA77" s="437"/>
      <c r="AB77" s="437"/>
      <c r="AE77" s="602"/>
      <c r="AF77" s="602"/>
      <c r="AG77" s="61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712" t="s">
        <v>246</v>
      </c>
      <c r="AB78" s="1712"/>
      <c r="AC78" s="1256">
        <v>1</v>
      </c>
      <c r="AD78" s="619">
        <f>Allocator.gross.plant</f>
        <v>0.23193915482060706</v>
      </c>
      <c r="AE78" s="619">
        <f>Allocator.wages.salary</f>
        <v>7.8815542097072699E-2</v>
      </c>
      <c r="AF78" s="619">
        <v>0</v>
      </c>
      <c r="AG78" s="437"/>
      <c r="AH78" s="437"/>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712" t="s">
        <v>978</v>
      </c>
      <c r="AB79" s="1712"/>
      <c r="AC79" s="1716">
        <f>AC75*AC78</f>
        <v>0</v>
      </c>
      <c r="AD79" s="1715">
        <f>AD75*AD78</f>
        <v>0</v>
      </c>
      <c r="AE79" s="1715">
        <f>AE75*AE78</f>
        <v>-10.698010230083597</v>
      </c>
      <c r="AF79" s="1715">
        <f>AF75*AF78</f>
        <v>0</v>
      </c>
      <c r="AG79" s="1714">
        <f>SUM(AC79:AF79)</f>
        <v>-10.698010230083597</v>
      </c>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712"/>
      <c r="AB80" s="1712"/>
      <c r="AC80" s="437"/>
      <c r="AD80" s="620"/>
      <c r="AE80" s="620"/>
      <c r="AF80" s="620"/>
      <c r="AG80" s="620"/>
    </row>
    <row r="81" spans="1:33">
      <c r="A81" s="605"/>
      <c r="B81" s="606"/>
      <c r="C81" s="606"/>
      <c r="D81" s="607"/>
      <c r="E81" s="607"/>
      <c r="F81" s="607"/>
      <c r="G81" s="607"/>
      <c r="H81" s="607"/>
      <c r="I81" s="607"/>
      <c r="J81" s="607"/>
      <c r="K81" s="602"/>
      <c r="L81" s="602"/>
      <c r="M81" s="602"/>
      <c r="N81" s="602"/>
      <c r="O81" s="602"/>
      <c r="P81" s="602"/>
      <c r="Q81" s="602"/>
      <c r="R81" s="602"/>
      <c r="S81" s="602"/>
      <c r="T81" s="602"/>
      <c r="U81" s="602"/>
      <c r="V81" s="602"/>
      <c r="W81" s="603"/>
      <c r="X81" s="437"/>
      <c r="Y81" s="437"/>
      <c r="Z81" s="437"/>
      <c r="AA81" s="1713" t="s">
        <v>1068</v>
      </c>
      <c r="AB81" s="1712"/>
      <c r="AC81" s="617"/>
      <c r="AD81" s="617"/>
      <c r="AE81" s="618"/>
      <c r="AF81" s="617"/>
      <c r="AG81" s="1711">
        <f>AG79*10^6</f>
        <v>-10698010.230083596</v>
      </c>
    </row>
    <row r="82" spans="1:33">
      <c r="A82" s="458"/>
      <c r="B82" s="457"/>
      <c r="C82" s="457"/>
      <c r="D82" s="456"/>
      <c r="E82" s="456"/>
      <c r="F82" s="456"/>
      <c r="G82" s="456"/>
      <c r="H82" s="456"/>
      <c r="I82" s="456"/>
      <c r="J82" s="456"/>
      <c r="K82" s="455"/>
    </row>
    <row r="83" spans="1:33">
      <c r="A83" s="458"/>
      <c r="B83" s="457"/>
      <c r="C83" s="457"/>
      <c r="D83" s="456"/>
      <c r="E83" s="456"/>
      <c r="F83" s="456"/>
      <c r="G83" s="456"/>
      <c r="H83" s="456"/>
      <c r="I83" s="456"/>
      <c r="J83" s="456"/>
      <c r="K83" s="455"/>
    </row>
    <row r="84" spans="1:33">
      <c r="A84" s="458"/>
      <c r="B84" s="457"/>
      <c r="C84" s="457"/>
      <c r="D84" s="456"/>
      <c r="E84" s="456"/>
      <c r="F84" s="456"/>
      <c r="G84" s="456"/>
      <c r="H84" s="456"/>
      <c r="I84" s="456"/>
      <c r="J84" s="456"/>
      <c r="K84" s="455"/>
    </row>
    <row r="85" spans="1:33">
      <c r="A85" s="458"/>
      <c r="B85" s="457"/>
      <c r="C85" s="457"/>
      <c r="D85" s="456"/>
      <c r="E85" s="456"/>
      <c r="F85" s="456"/>
      <c r="G85" s="456"/>
      <c r="H85" s="456"/>
      <c r="I85" s="456"/>
      <c r="J85" s="456"/>
      <c r="K85" s="455"/>
    </row>
    <row r="86" spans="1:33">
      <c r="A86" s="458"/>
      <c r="B86" s="457"/>
      <c r="C86" s="457"/>
      <c r="D86" s="456"/>
      <c r="E86" s="456"/>
      <c r="F86" s="456"/>
      <c r="G86" s="456"/>
      <c r="H86" s="456"/>
      <c r="I86" s="456"/>
      <c r="J86" s="456"/>
      <c r="K86" s="455"/>
    </row>
    <row r="87" spans="1:33">
      <c r="K87" s="455"/>
    </row>
    <row r="88" spans="1:33">
      <c r="K88" s="455"/>
    </row>
    <row r="89" spans="1:33">
      <c r="K89" s="455"/>
    </row>
    <row r="90" spans="1:33">
      <c r="K90" s="455"/>
    </row>
    <row r="91" spans="1:33">
      <c r="K91" s="455"/>
    </row>
    <row r="92" spans="1:33">
      <c r="K92" s="455"/>
    </row>
    <row r="93" spans="1:33">
      <c r="K93" s="455"/>
    </row>
    <row r="94" spans="1:33">
      <c r="K94" s="455"/>
    </row>
    <row r="95" spans="1:33">
      <c r="K95" s="455"/>
    </row>
    <row r="96" spans="1:33">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row r="165" spans="11:11">
      <c r="K165" s="455"/>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zoomScale="115" zoomScaleNormal="115" workbookViewId="0">
      <selection activeCell="O10" sqref="O10"/>
    </sheetView>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c r="A1" s="1577" t="s">
        <v>365</v>
      </c>
      <c r="B1" s="1584"/>
      <c r="C1" s="1584"/>
      <c r="D1" s="1584"/>
      <c r="E1" s="1584"/>
    </row>
    <row r="2" spans="1:5">
      <c r="A2" s="1577" t="s">
        <v>1477</v>
      </c>
      <c r="B2" s="1584"/>
      <c r="C2" s="1584"/>
      <c r="D2" s="1584"/>
      <c r="E2" s="1584"/>
    </row>
    <row r="5" spans="1:5">
      <c r="B5" s="1698" t="s">
        <v>531</v>
      </c>
      <c r="C5" s="1402" t="s">
        <v>24</v>
      </c>
      <c r="D5" s="1704" t="s">
        <v>1972</v>
      </c>
      <c r="E5" s="1559"/>
    </row>
    <row r="6" spans="1:5">
      <c r="B6" s="1583">
        <v>4265000</v>
      </c>
      <c r="C6" s="1579" t="s">
        <v>2316</v>
      </c>
      <c r="D6" s="1582">
        <v>-55</v>
      </c>
    </row>
    <row r="7" spans="1:5">
      <c r="B7" s="1583">
        <v>5020000</v>
      </c>
      <c r="C7" s="1579" t="s">
        <v>2317</v>
      </c>
      <c r="D7" s="1582">
        <v>-3029.82</v>
      </c>
    </row>
    <row r="8" spans="1:5">
      <c r="B8" s="1583">
        <v>5060000</v>
      </c>
      <c r="C8" s="1579" t="s">
        <v>2318</v>
      </c>
      <c r="D8" s="1582">
        <v>-2080974.76</v>
      </c>
    </row>
    <row r="9" spans="1:5">
      <c r="B9" s="1583">
        <v>5063000</v>
      </c>
      <c r="C9" s="1579" t="s">
        <v>2319</v>
      </c>
      <c r="D9" s="1582">
        <v>229339.3</v>
      </c>
    </row>
    <row r="10" spans="1:5">
      <c r="B10" s="1583">
        <v>5120000</v>
      </c>
      <c r="C10" s="1579" t="s">
        <v>2320</v>
      </c>
      <c r="D10" s="1582">
        <v>-7488</v>
      </c>
    </row>
    <row r="11" spans="1:5">
      <c r="B11" s="1583">
        <v>5140000</v>
      </c>
      <c r="C11" s="1579" t="s">
        <v>2321</v>
      </c>
      <c r="D11" s="1582">
        <v>-9585.98</v>
      </c>
    </row>
    <row r="12" spans="1:5">
      <c r="B12" s="1583">
        <v>5350000</v>
      </c>
      <c r="C12" s="1579" t="s">
        <v>2322</v>
      </c>
      <c r="D12" s="1582">
        <v>-188978.95</v>
      </c>
    </row>
    <row r="13" spans="1:5">
      <c r="B13" s="1583">
        <v>5390000</v>
      </c>
      <c r="C13" s="1579" t="s">
        <v>2323</v>
      </c>
      <c r="D13" s="1582">
        <v>-123701.57</v>
      </c>
    </row>
    <row r="14" spans="1:5">
      <c r="B14" s="1583">
        <v>5480000</v>
      </c>
      <c r="C14" s="1579" t="s">
        <v>2324</v>
      </c>
      <c r="D14" s="1582">
        <v>-9828.94</v>
      </c>
    </row>
    <row r="15" spans="1:5">
      <c r="B15" s="1583">
        <v>5490000</v>
      </c>
      <c r="C15" s="1579" t="s">
        <v>2325</v>
      </c>
      <c r="D15" s="1582">
        <v>-41591.99</v>
      </c>
    </row>
    <row r="16" spans="1:5">
      <c r="B16" s="1583">
        <v>5530000</v>
      </c>
      <c r="C16" s="1579" t="s">
        <v>2326</v>
      </c>
      <c r="D16" s="1582">
        <v>-13225.95</v>
      </c>
    </row>
    <row r="17" spans="2:4">
      <c r="B17" s="1583">
        <v>5560000</v>
      </c>
      <c r="C17" s="1579" t="s">
        <v>2327</v>
      </c>
      <c r="D17" s="1582">
        <v>-10836</v>
      </c>
    </row>
    <row r="18" spans="2:4">
      <c r="B18" s="1583">
        <v>5570000</v>
      </c>
      <c r="C18" s="1579" t="s">
        <v>2328</v>
      </c>
      <c r="D18" s="1582">
        <v>-645574.97</v>
      </c>
    </row>
    <row r="19" spans="2:4">
      <c r="B19" s="1583">
        <v>5600000</v>
      </c>
      <c r="C19" s="1579" t="s">
        <v>2322</v>
      </c>
      <c r="D19" s="1582">
        <v>-312622.34000000003</v>
      </c>
    </row>
    <row r="20" spans="2:4">
      <c r="B20" s="1583">
        <v>5612000</v>
      </c>
      <c r="C20" s="1579" t="s">
        <v>2329</v>
      </c>
      <c r="D20" s="1582">
        <v>-62544.07</v>
      </c>
    </row>
    <row r="21" spans="2:4">
      <c r="B21" s="1583">
        <v>5615000</v>
      </c>
      <c r="C21" s="1579" t="s">
        <v>2330</v>
      </c>
      <c r="D21" s="1582">
        <v>-12554.25</v>
      </c>
    </row>
    <row r="22" spans="2:4">
      <c r="B22" s="1583">
        <v>5660000</v>
      </c>
      <c r="C22" s="1579" t="s">
        <v>2331</v>
      </c>
      <c r="D22" s="1582">
        <v>-2.89</v>
      </c>
    </row>
    <row r="23" spans="2:4">
      <c r="B23" s="1583">
        <v>5680000</v>
      </c>
      <c r="C23" s="1579" t="s">
        <v>2332</v>
      </c>
      <c r="D23" s="1582">
        <v>-39962.620000000003</v>
      </c>
    </row>
    <row r="24" spans="2:4">
      <c r="B24" s="1583">
        <v>5700000</v>
      </c>
      <c r="C24" s="1579" t="s">
        <v>2333</v>
      </c>
      <c r="D24" s="1582">
        <v>-14206.82</v>
      </c>
    </row>
    <row r="25" spans="2:4">
      <c r="B25" s="1583">
        <v>5710000</v>
      </c>
      <c r="C25" s="1579" t="s">
        <v>2334</v>
      </c>
      <c r="D25" s="1582">
        <v>-2526.48</v>
      </c>
    </row>
    <row r="26" spans="2:4">
      <c r="B26" s="1583">
        <v>5800000</v>
      </c>
      <c r="C26" s="1579" t="s">
        <v>2322</v>
      </c>
      <c r="D26" s="1582">
        <v>-361022.21</v>
      </c>
    </row>
    <row r="27" spans="2:4">
      <c r="B27" s="1583">
        <v>5810000</v>
      </c>
      <c r="C27" s="1579" t="s">
        <v>2335</v>
      </c>
      <c r="D27" s="1582">
        <v>-169020.03</v>
      </c>
    </row>
    <row r="28" spans="2:4">
      <c r="B28" s="1583">
        <v>5850000</v>
      </c>
      <c r="C28" s="1579" t="s">
        <v>2336</v>
      </c>
      <c r="D28" s="1582">
        <v>-8695.02</v>
      </c>
    </row>
    <row r="29" spans="2:4">
      <c r="B29" s="1583">
        <v>5880000</v>
      </c>
      <c r="C29" s="1579" t="s">
        <v>2337</v>
      </c>
      <c r="D29" s="1582">
        <v>-44558.37</v>
      </c>
    </row>
    <row r="30" spans="2:4">
      <c r="B30" s="1583">
        <v>5900000</v>
      </c>
      <c r="C30" s="1579" t="s">
        <v>2338</v>
      </c>
      <c r="D30" s="1582">
        <v>-240415.26</v>
      </c>
    </row>
    <row r="31" spans="2:4">
      <c r="B31" s="1583">
        <v>5920000</v>
      </c>
      <c r="C31" s="1579" t="s">
        <v>2339</v>
      </c>
      <c r="D31" s="1582">
        <v>-89791.35</v>
      </c>
    </row>
    <row r="32" spans="2:4">
      <c r="B32" s="1583">
        <v>5930000</v>
      </c>
      <c r="C32" s="1579" t="s">
        <v>2334</v>
      </c>
      <c r="D32" s="1582">
        <v>-12498.06</v>
      </c>
    </row>
    <row r="33" spans="2:4">
      <c r="B33" s="1583">
        <v>5950000</v>
      </c>
      <c r="C33" s="1579" t="s">
        <v>2340</v>
      </c>
      <c r="D33" s="1582">
        <v>-24204.04</v>
      </c>
    </row>
    <row r="34" spans="2:4">
      <c r="B34" s="1583">
        <v>5970000</v>
      </c>
      <c r="C34" s="1579" t="s">
        <v>2341</v>
      </c>
      <c r="D34" s="1582">
        <v>-30551.09</v>
      </c>
    </row>
    <row r="35" spans="2:4">
      <c r="B35" s="1583">
        <v>5980000</v>
      </c>
      <c r="C35" s="1579" t="s">
        <v>2342</v>
      </c>
      <c r="D35" s="1582">
        <v>-25142</v>
      </c>
    </row>
    <row r="36" spans="2:4">
      <c r="B36" s="1583">
        <v>7071000</v>
      </c>
      <c r="C36" s="1579" t="s">
        <v>2343</v>
      </c>
      <c r="D36" s="1582">
        <v>-1564734.08</v>
      </c>
    </row>
    <row r="37" spans="2:4">
      <c r="B37" s="1583">
        <v>7072000</v>
      </c>
      <c r="C37" s="1579" t="s">
        <v>2344</v>
      </c>
      <c r="D37" s="1582">
        <v>-667277.77</v>
      </c>
    </row>
    <row r="38" spans="2:4">
      <c r="B38" s="1583">
        <v>7081000</v>
      </c>
      <c r="C38" s="1579" t="s">
        <v>2345</v>
      </c>
      <c r="D38" s="1582">
        <v>-122017.95</v>
      </c>
    </row>
    <row r="39" spans="2:4">
      <c r="B39" s="1583">
        <v>7082000</v>
      </c>
      <c r="C39" s="1579" t="s">
        <v>2346</v>
      </c>
      <c r="D39" s="1582">
        <v>-97362.07</v>
      </c>
    </row>
    <row r="40" spans="2:4">
      <c r="B40" s="1583">
        <v>9010000</v>
      </c>
      <c r="C40" s="1579" t="s">
        <v>2347</v>
      </c>
      <c r="D40" s="1582">
        <v>-65844.08</v>
      </c>
    </row>
    <row r="41" spans="2:4">
      <c r="B41" s="1583">
        <v>9020000</v>
      </c>
      <c r="C41" s="1579" t="s">
        <v>2348</v>
      </c>
      <c r="D41" s="1582">
        <v>-354657.98</v>
      </c>
    </row>
    <row r="42" spans="2:4">
      <c r="B42" s="1583">
        <v>9030000</v>
      </c>
      <c r="C42" s="1579" t="s">
        <v>2349</v>
      </c>
      <c r="D42" s="1582">
        <v>-4378.99</v>
      </c>
    </row>
    <row r="43" spans="2:4">
      <c r="B43" s="1583">
        <v>9031000</v>
      </c>
      <c r="C43" s="1579" t="s">
        <v>2350</v>
      </c>
      <c r="D43" s="1582">
        <v>-38832.97</v>
      </c>
    </row>
    <row r="44" spans="2:4">
      <c r="B44" s="1583">
        <v>9032000</v>
      </c>
      <c r="C44" s="1579" t="s">
        <v>2351</v>
      </c>
      <c r="D44" s="1582">
        <v>-62547.02</v>
      </c>
    </row>
    <row r="45" spans="2:4">
      <c r="B45" s="1583">
        <v>9033000</v>
      </c>
      <c r="C45" s="1579" t="s">
        <v>2352</v>
      </c>
      <c r="D45" s="1582">
        <v>-46329.03</v>
      </c>
    </row>
    <row r="46" spans="2:4">
      <c r="B46" s="1583">
        <v>9036000</v>
      </c>
      <c r="C46" s="1579" t="s">
        <v>2353</v>
      </c>
      <c r="D46" s="1582">
        <v>-232164.02</v>
      </c>
    </row>
    <row r="47" spans="2:4">
      <c r="B47" s="1583">
        <v>9050000</v>
      </c>
      <c r="C47" s="1579" t="s">
        <v>2354</v>
      </c>
      <c r="D47" s="1582">
        <v>0</v>
      </c>
    </row>
    <row r="48" spans="2:4">
      <c r="B48" s="1583">
        <v>9070000</v>
      </c>
      <c r="C48" s="1579" t="s">
        <v>2355</v>
      </c>
      <c r="D48" s="1582">
        <v>-503.99</v>
      </c>
    </row>
    <row r="49" spans="2:4">
      <c r="B49" s="1583">
        <v>9080000</v>
      </c>
      <c r="C49" s="1579" t="s">
        <v>2356</v>
      </c>
      <c r="D49" s="1582">
        <v>-37472</v>
      </c>
    </row>
    <row r="50" spans="2:4">
      <c r="B50" s="1583">
        <v>9084000</v>
      </c>
      <c r="C50" s="1579" t="s">
        <v>2357</v>
      </c>
      <c r="D50" s="1582">
        <v>-22615.99</v>
      </c>
    </row>
    <row r="51" spans="2:4">
      <c r="B51" s="1583">
        <v>9086000</v>
      </c>
      <c r="C51" s="1579" t="s">
        <v>2358</v>
      </c>
      <c r="D51" s="1582">
        <v>-122748.02</v>
      </c>
    </row>
    <row r="52" spans="2:4">
      <c r="B52" s="1583">
        <v>9090000</v>
      </c>
      <c r="C52" s="1579" t="s">
        <v>2359</v>
      </c>
      <c r="D52" s="1582">
        <v>-1959.03</v>
      </c>
    </row>
    <row r="53" spans="2:4">
      <c r="B53" s="1583">
        <v>9200000</v>
      </c>
      <c r="C53" s="1579" t="s">
        <v>2360</v>
      </c>
      <c r="D53" s="1582">
        <v>-1186575.2</v>
      </c>
    </row>
    <row r="54" spans="2:4">
      <c r="B54" s="1583">
        <v>9350000</v>
      </c>
      <c r="C54" s="1579" t="s">
        <v>2361</v>
      </c>
      <c r="D54" s="1582">
        <v>-15779.62</v>
      </c>
    </row>
    <row r="55" spans="2:4" ht="13.5" thickBot="1">
      <c r="B55" s="1581"/>
      <c r="C55" s="1548" t="s">
        <v>1399</v>
      </c>
      <c r="D55" s="1580">
        <f>SUM(D6:D54)</f>
        <v>-8999649.339999998</v>
      </c>
    </row>
    <row r="56" spans="2:4" ht="13.5" thickTop="1">
      <c r="B56" s="1310"/>
      <c r="C56" s="1310"/>
    </row>
    <row r="57" spans="2:4">
      <c r="B57" s="606" t="s">
        <v>451</v>
      </c>
      <c r="C57" s="1579" t="s">
        <v>1973</v>
      </c>
    </row>
    <row r="58" spans="2:4">
      <c r="C58" s="1579" t="s">
        <v>1398</v>
      </c>
    </row>
    <row r="59" spans="2:4">
      <c r="C59" s="1579" t="s">
        <v>1397</v>
      </c>
    </row>
    <row r="60" spans="2:4">
      <c r="C60" s="1579" t="s">
        <v>1396</v>
      </c>
    </row>
    <row r="61" spans="2:4">
      <c r="C61" s="1579" t="s">
        <v>1395</v>
      </c>
    </row>
    <row r="62" spans="2:4">
      <c r="C62" s="1579" t="s">
        <v>1974</v>
      </c>
    </row>
    <row r="63" spans="2:4">
      <c r="C63" s="1579" t="s">
        <v>1975</v>
      </c>
    </row>
    <row r="64" spans="2:4">
      <c r="C64" s="1579" t="s">
        <v>1478</v>
      </c>
    </row>
  </sheetData>
  <pageMargins left="0.7" right="0.7" top="0.55000000000000004" bottom="0.75" header="0.3" footer="0.3"/>
  <pageSetup scale="8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U34" sqref="U34"/>
    </sheetView>
  </sheetViews>
  <sheetFormatPr defaultRowHeight="15"/>
  <cols>
    <col min="1" max="1" width="4.140625" style="1642" customWidth="1"/>
    <col min="2" max="2" width="11.28515625" style="1642" customWidth="1"/>
    <col min="3" max="3" width="19.28515625" style="1642" customWidth="1"/>
    <col min="4" max="4" width="16.28515625" style="1642" customWidth="1"/>
    <col min="5" max="5" width="19.140625" style="1642" customWidth="1"/>
    <col min="6" max="6" width="18.5703125" style="1642" customWidth="1"/>
    <col min="7" max="7" width="15.28515625" style="1642" customWidth="1"/>
    <col min="8" max="8" width="13.28515625" style="1642" customWidth="1"/>
    <col min="9" max="9" width="15.7109375" style="1642" customWidth="1"/>
    <col min="10" max="10" width="17.140625" style="1642" customWidth="1"/>
    <col min="11" max="11" width="14.140625" style="1642" customWidth="1"/>
    <col min="12" max="12" width="16.140625" style="1642" customWidth="1"/>
    <col min="13" max="16384" width="9.140625" style="1642"/>
  </cols>
  <sheetData>
    <row r="1" spans="2:3">
      <c r="B1" s="1813" t="s">
        <v>2180</v>
      </c>
    </row>
    <row r="3" spans="2:3">
      <c r="B3" s="1615" t="s">
        <v>1941</v>
      </c>
    </row>
    <row r="4" spans="2:3">
      <c r="C4" s="1651"/>
    </row>
    <row r="5" spans="2:3">
      <c r="B5" s="1647">
        <v>42400</v>
      </c>
      <c r="C5" s="1656">
        <v>5252181.71</v>
      </c>
    </row>
    <row r="6" spans="2:3">
      <c r="B6" s="1647">
        <v>42428</v>
      </c>
      <c r="C6" s="1609">
        <v>1203646.8999999992</v>
      </c>
    </row>
    <row r="7" spans="2:3">
      <c r="B7" s="1647">
        <v>42460</v>
      </c>
      <c r="C7" s="1609">
        <v>14138247.960000003</v>
      </c>
    </row>
    <row r="8" spans="2:3">
      <c r="B8" s="1647">
        <v>42490</v>
      </c>
      <c r="C8" s="1609">
        <v>23734246.408059523</v>
      </c>
    </row>
    <row r="9" spans="2:3">
      <c r="B9" s="1647">
        <v>42521</v>
      </c>
      <c r="C9" s="1609">
        <v>55940147.267836519</v>
      </c>
    </row>
    <row r="10" spans="2:3">
      <c r="B10" s="1647">
        <v>42551</v>
      </c>
      <c r="C10" s="1609">
        <v>3428309.7141490332</v>
      </c>
    </row>
    <row r="11" spans="2:3">
      <c r="B11" s="1647">
        <v>42582</v>
      </c>
      <c r="C11" s="1609">
        <v>7086242.61278567</v>
      </c>
    </row>
    <row r="12" spans="2:3">
      <c r="B12" s="1647">
        <v>42613</v>
      </c>
      <c r="C12" s="1609">
        <v>4178481.921028527</v>
      </c>
    </row>
    <row r="13" spans="2:3">
      <c r="B13" s="1647">
        <v>42643</v>
      </c>
      <c r="C13" s="1609">
        <v>5248775.2925282028</v>
      </c>
    </row>
    <row r="14" spans="2:3">
      <c r="B14" s="1647">
        <v>42674</v>
      </c>
      <c r="C14" s="1609">
        <v>5231644.7583732931</v>
      </c>
    </row>
    <row r="15" spans="2:3">
      <c r="B15" s="1647">
        <v>42704</v>
      </c>
      <c r="C15" s="1609">
        <v>5016812.9188968232</v>
      </c>
    </row>
    <row r="16" spans="2:3">
      <c r="B16" s="1647">
        <v>42735</v>
      </c>
      <c r="C16" s="1608">
        <v>5918324.5427543828</v>
      </c>
    </row>
    <row r="19" spans="1:12">
      <c r="A19" s="400"/>
      <c r="B19" s="1645" t="s">
        <v>2181</v>
      </c>
      <c r="C19" s="1613"/>
      <c r="D19" s="1612"/>
      <c r="E19" s="403"/>
      <c r="F19" s="403"/>
      <c r="G19" s="403"/>
      <c r="H19" s="403"/>
      <c r="I19" s="403"/>
      <c r="J19" s="403"/>
      <c r="K19" s="403"/>
      <c r="L19" s="403"/>
    </row>
    <row r="20" spans="1:12">
      <c r="A20" s="1622"/>
      <c r="B20" s="405"/>
      <c r="C20" s="2335" t="s">
        <v>200</v>
      </c>
      <c r="D20" s="2335" t="s">
        <v>201</v>
      </c>
      <c r="E20" s="2335" t="s">
        <v>533</v>
      </c>
      <c r="F20" s="2335" t="s">
        <v>114</v>
      </c>
      <c r="G20" s="2335" t="s">
        <v>115</v>
      </c>
      <c r="H20" s="2335" t="s">
        <v>116</v>
      </c>
      <c r="I20" s="2335" t="s">
        <v>117</v>
      </c>
      <c r="J20" s="2335" t="s">
        <v>118</v>
      </c>
      <c r="K20" s="2335" t="s">
        <v>119</v>
      </c>
      <c r="L20" s="2335" t="s">
        <v>120</v>
      </c>
    </row>
    <row r="21" spans="1:12">
      <c r="A21" s="1622"/>
      <c r="B21" s="405"/>
      <c r="C21" s="2336" t="s">
        <v>124</v>
      </c>
      <c r="D21" s="2336" t="s">
        <v>124</v>
      </c>
      <c r="E21" s="2336" t="s">
        <v>124</v>
      </c>
      <c r="F21" s="2336" t="s">
        <v>124</v>
      </c>
      <c r="G21" s="2336" t="s">
        <v>124</v>
      </c>
      <c r="H21" s="2336" t="s">
        <v>124</v>
      </c>
      <c r="I21" s="2336" t="s">
        <v>124</v>
      </c>
      <c r="J21" s="2336" t="s">
        <v>124</v>
      </c>
      <c r="K21" s="2336" t="s">
        <v>124</v>
      </c>
      <c r="L21" s="2336" t="s">
        <v>124</v>
      </c>
    </row>
    <row r="22" spans="1:12">
      <c r="A22" s="1622"/>
      <c r="B22" s="403"/>
      <c r="C22" s="2337" t="s">
        <v>429</v>
      </c>
      <c r="D22" s="2337"/>
      <c r="E22" s="2337" t="s">
        <v>362</v>
      </c>
      <c r="F22" s="2337" t="s">
        <v>362</v>
      </c>
      <c r="G22" s="2337" t="s">
        <v>362</v>
      </c>
      <c r="H22" s="2337" t="s">
        <v>362</v>
      </c>
      <c r="I22" s="2337" t="s">
        <v>362</v>
      </c>
      <c r="J22" s="2337" t="s">
        <v>362</v>
      </c>
      <c r="K22" s="2337" t="s">
        <v>362</v>
      </c>
      <c r="L22" s="2337" t="s">
        <v>362</v>
      </c>
    </row>
    <row r="23" spans="1:12">
      <c r="A23" s="1622"/>
      <c r="B23" s="403"/>
      <c r="C23" t="s">
        <v>1745</v>
      </c>
      <c r="D23" s="1640"/>
      <c r="E23" s="1640" t="s">
        <v>283</v>
      </c>
      <c r="F23" s="1640" t="s">
        <v>215</v>
      </c>
      <c r="G23" s="1640" t="s">
        <v>228</v>
      </c>
      <c r="H23" s="1640" t="s">
        <v>226</v>
      </c>
      <c r="I23" s="1640" t="s">
        <v>107</v>
      </c>
      <c r="J23" s="1640" t="s">
        <v>229</v>
      </c>
      <c r="K23" s="1640" t="s">
        <v>25</v>
      </c>
      <c r="L23" s="1658" t="s">
        <v>551</v>
      </c>
    </row>
    <row r="24" spans="1:12">
      <c r="A24" s="1622"/>
      <c r="B24" s="1610"/>
      <c r="C24" s="1607"/>
      <c r="D24" s="1666"/>
      <c r="E24" s="1666"/>
      <c r="F24" s="1666"/>
      <c r="G24" s="1666"/>
      <c r="H24" s="1666"/>
      <c r="I24" s="1666"/>
      <c r="J24" s="1666"/>
      <c r="K24" s="1666"/>
      <c r="L24" s="1606"/>
    </row>
    <row r="25" spans="1:12">
      <c r="A25" s="1622"/>
      <c r="B25" s="1647">
        <v>42400</v>
      </c>
      <c r="C25" s="1655">
        <f>C5-L25</f>
        <v>5127419.7799999993</v>
      </c>
      <c r="D25" s="1649"/>
      <c r="E25" s="1649">
        <v>1731.349999999944</v>
      </c>
      <c r="F25" s="1649">
        <v>1193.92</v>
      </c>
      <c r="G25" s="1649">
        <v>0</v>
      </c>
      <c r="H25" s="1649">
        <v>0</v>
      </c>
      <c r="I25" s="1649">
        <v>0</v>
      </c>
      <c r="J25" s="1649">
        <v>121836.66000000061</v>
      </c>
      <c r="K25" s="1649">
        <v>0</v>
      </c>
      <c r="L25" s="1606">
        <f t="shared" ref="L25:L36" si="0">SUM(D25:K25)</f>
        <v>124761.93000000056</v>
      </c>
    </row>
    <row r="26" spans="1:12">
      <c r="A26" s="1622"/>
      <c r="B26" s="1647">
        <v>42428</v>
      </c>
      <c r="C26" s="1655">
        <f t="shared" ref="C26:C36" si="1">C6-L26</f>
        <v>1060761.399999999</v>
      </c>
      <c r="D26" s="1649"/>
      <c r="E26" s="1649">
        <v>2434.3800000000092</v>
      </c>
      <c r="F26" s="1649">
        <v>0</v>
      </c>
      <c r="G26" s="1649">
        <v>0</v>
      </c>
      <c r="H26" s="1649">
        <v>0</v>
      </c>
      <c r="I26" s="1649">
        <v>0</v>
      </c>
      <c r="J26" s="1649">
        <v>140451.12000000029</v>
      </c>
      <c r="K26" s="1649">
        <v>0</v>
      </c>
      <c r="L26" s="1606">
        <f t="shared" si="0"/>
        <v>142885.50000000029</v>
      </c>
    </row>
    <row r="27" spans="1:12">
      <c r="A27" s="1622"/>
      <c r="B27" s="1647">
        <v>42460</v>
      </c>
      <c r="C27" s="1655">
        <f t="shared" si="1"/>
        <v>3782993.3799999971</v>
      </c>
      <c r="D27" s="1649"/>
      <c r="E27" s="1649">
        <v>384.91000000006045</v>
      </c>
      <c r="F27" s="1649">
        <v>0</v>
      </c>
      <c r="G27" s="1649">
        <v>0</v>
      </c>
      <c r="H27" s="1649">
        <v>0</v>
      </c>
      <c r="I27" s="1649">
        <v>0</v>
      </c>
      <c r="J27" s="1649">
        <v>10354869.670000006</v>
      </c>
      <c r="K27" s="1649">
        <v>0</v>
      </c>
      <c r="L27" s="1606">
        <f t="shared" si="0"/>
        <v>10355254.580000006</v>
      </c>
    </row>
    <row r="28" spans="1:12">
      <c r="A28" s="1622"/>
      <c r="B28" s="1647">
        <v>42490</v>
      </c>
      <c r="C28" s="1655">
        <f t="shared" si="1"/>
        <v>23666623.508659523</v>
      </c>
      <c r="D28" s="1649"/>
      <c r="E28" s="1649">
        <v>949</v>
      </c>
      <c r="F28" s="1649">
        <v>0</v>
      </c>
      <c r="G28" s="1649">
        <v>0</v>
      </c>
      <c r="H28" s="1649">
        <v>0</v>
      </c>
      <c r="I28" s="1649">
        <v>0</v>
      </c>
      <c r="J28" s="1649">
        <v>66673.899399999995</v>
      </c>
      <c r="K28" s="1649">
        <v>0</v>
      </c>
      <c r="L28" s="1606">
        <f t="shared" si="0"/>
        <v>67622.899399999995</v>
      </c>
    </row>
    <row r="29" spans="1:12">
      <c r="A29" s="1622"/>
      <c r="B29" s="1647">
        <v>42521</v>
      </c>
      <c r="C29" s="1655">
        <f t="shared" si="1"/>
        <v>55456822.232436515</v>
      </c>
      <c r="D29" s="1649"/>
      <c r="E29" s="1649">
        <v>51510</v>
      </c>
      <c r="F29" s="1649">
        <v>0</v>
      </c>
      <c r="G29" s="1649">
        <v>0</v>
      </c>
      <c r="H29" s="1649">
        <v>0</v>
      </c>
      <c r="I29" s="1649">
        <v>0</v>
      </c>
      <c r="J29" s="1649">
        <v>431815.03539999999</v>
      </c>
      <c r="K29" s="1649">
        <v>0</v>
      </c>
      <c r="L29" s="1606">
        <f t="shared" si="0"/>
        <v>483325.03539999999</v>
      </c>
    </row>
    <row r="30" spans="1:12">
      <c r="A30" s="1622"/>
      <c r="B30" s="1647">
        <v>42551</v>
      </c>
      <c r="C30" s="1655">
        <f t="shared" si="1"/>
        <v>3533990.461249033</v>
      </c>
      <c r="D30" s="1649"/>
      <c r="E30" s="1649">
        <v>30300</v>
      </c>
      <c r="F30" s="1649">
        <v>0</v>
      </c>
      <c r="G30" s="1649">
        <v>0</v>
      </c>
      <c r="H30" s="1649">
        <v>0</v>
      </c>
      <c r="I30" s="1649">
        <v>0</v>
      </c>
      <c r="J30" s="1649">
        <v>-135980.74709999998</v>
      </c>
      <c r="K30" s="1649">
        <v>0</v>
      </c>
      <c r="L30" s="1606">
        <f t="shared" si="0"/>
        <v>-105680.74709999998</v>
      </c>
    </row>
    <row r="31" spans="1:12">
      <c r="A31" s="1622"/>
      <c r="B31" s="1647">
        <v>42582</v>
      </c>
      <c r="C31" s="1655">
        <f t="shared" si="1"/>
        <v>7002605.7595856702</v>
      </c>
      <c r="D31" s="1649"/>
      <c r="E31" s="1649">
        <v>30300</v>
      </c>
      <c r="F31" s="1649">
        <v>0</v>
      </c>
      <c r="G31" s="1649">
        <v>0</v>
      </c>
      <c r="H31" s="1649">
        <v>0</v>
      </c>
      <c r="I31" s="1649">
        <v>0</v>
      </c>
      <c r="J31" s="1649">
        <v>53336.853199999998</v>
      </c>
      <c r="K31" s="1649">
        <v>0</v>
      </c>
      <c r="L31" s="1606">
        <f t="shared" si="0"/>
        <v>83636.853199999998</v>
      </c>
    </row>
    <row r="32" spans="1:12">
      <c r="A32" s="1622"/>
      <c r="B32" s="1647">
        <v>42613</v>
      </c>
      <c r="C32" s="1655">
        <f t="shared" si="1"/>
        <v>3956513.9450285272</v>
      </c>
      <c r="D32" s="1649"/>
      <c r="E32" s="1649">
        <v>0</v>
      </c>
      <c r="F32" s="1649">
        <v>0</v>
      </c>
      <c r="G32" s="1649">
        <v>0</v>
      </c>
      <c r="H32" s="1649">
        <v>0</v>
      </c>
      <c r="I32" s="1649">
        <v>0</v>
      </c>
      <c r="J32" s="1649">
        <v>221967.976</v>
      </c>
      <c r="K32" s="1649">
        <v>0</v>
      </c>
      <c r="L32" s="1606">
        <f t="shared" si="0"/>
        <v>221967.976</v>
      </c>
    </row>
    <row r="33" spans="1:12">
      <c r="A33" s="1622"/>
      <c r="B33" s="1647">
        <v>42643</v>
      </c>
      <c r="C33" s="1655">
        <f t="shared" si="1"/>
        <v>5220572.5032282025</v>
      </c>
      <c r="D33" s="1649"/>
      <c r="E33" s="1649">
        <v>0</v>
      </c>
      <c r="F33" s="1649">
        <v>0</v>
      </c>
      <c r="G33" s="1649">
        <v>0</v>
      </c>
      <c r="H33" s="1649">
        <v>0</v>
      </c>
      <c r="I33" s="1649">
        <v>0</v>
      </c>
      <c r="J33" s="1649">
        <v>28202.7893</v>
      </c>
      <c r="K33" s="1649">
        <v>0</v>
      </c>
      <c r="L33" s="1606">
        <f t="shared" si="0"/>
        <v>28202.7893</v>
      </c>
    </row>
    <row r="34" spans="1:12">
      <c r="A34" s="1622"/>
      <c r="B34" s="1647">
        <v>42674</v>
      </c>
      <c r="C34" s="1655">
        <f t="shared" si="1"/>
        <v>5201059.1445732927</v>
      </c>
      <c r="D34" s="1649"/>
      <c r="E34" s="1649">
        <v>0</v>
      </c>
      <c r="F34" s="1649">
        <v>0</v>
      </c>
      <c r="G34" s="1649">
        <v>0</v>
      </c>
      <c r="H34" s="1649">
        <v>0</v>
      </c>
      <c r="I34" s="1649">
        <v>0</v>
      </c>
      <c r="J34" s="1649">
        <v>30585.613800000003</v>
      </c>
      <c r="K34" s="1649">
        <v>0</v>
      </c>
      <c r="L34" s="1606">
        <f t="shared" si="0"/>
        <v>30585.613800000003</v>
      </c>
    </row>
    <row r="35" spans="1:12">
      <c r="A35" s="1622"/>
      <c r="B35" s="1647">
        <v>42704</v>
      </c>
      <c r="C35" s="1655">
        <f t="shared" si="1"/>
        <v>4987971.255096823</v>
      </c>
      <c r="D35" s="1649"/>
      <c r="E35" s="1649">
        <v>0</v>
      </c>
      <c r="F35" s="1649">
        <v>0</v>
      </c>
      <c r="G35" s="1649">
        <v>0</v>
      </c>
      <c r="H35" s="1649">
        <v>0</v>
      </c>
      <c r="I35" s="1649">
        <v>0</v>
      </c>
      <c r="J35" s="1649">
        <v>28841.663800000002</v>
      </c>
      <c r="K35" s="1649">
        <v>0</v>
      </c>
      <c r="L35" s="1606">
        <f t="shared" si="0"/>
        <v>28841.663800000002</v>
      </c>
    </row>
    <row r="36" spans="1:12">
      <c r="A36" s="1622"/>
      <c r="B36" s="1647">
        <v>42735</v>
      </c>
      <c r="C36" s="1652">
        <f t="shared" si="1"/>
        <v>5891850.5981543828</v>
      </c>
      <c r="D36" s="1648"/>
      <c r="E36" s="1648">
        <v>0</v>
      </c>
      <c r="F36" s="1648">
        <v>0</v>
      </c>
      <c r="G36" s="1648">
        <v>0</v>
      </c>
      <c r="H36" s="1648">
        <v>0</v>
      </c>
      <c r="I36" s="1648">
        <v>0</v>
      </c>
      <c r="J36" s="1648">
        <v>26473.944599999999</v>
      </c>
      <c r="K36" s="1648">
        <v>0</v>
      </c>
      <c r="L36" s="1657">
        <f t="shared" si="0"/>
        <v>26473.944599999999</v>
      </c>
    </row>
    <row r="37" spans="1:12">
      <c r="A37" s="400"/>
      <c r="B37" s="403" t="s">
        <v>282</v>
      </c>
      <c r="C37" s="1605">
        <f>SUM(C24:C36)</f>
        <v>124889183.96801195</v>
      </c>
      <c r="D37" s="1605">
        <f t="shared" ref="D37:K37" si="2">SUM(D24:D36)</f>
        <v>0</v>
      </c>
      <c r="E37" s="1605">
        <f>SUM(E24:E36)</f>
        <v>117609.64000000001</v>
      </c>
      <c r="F37" s="1605">
        <f>SUM(F24:F36)</f>
        <v>1193.92</v>
      </c>
      <c r="G37" s="1605">
        <f t="shared" si="2"/>
        <v>0</v>
      </c>
      <c r="H37" s="1605">
        <f t="shared" si="2"/>
        <v>0</v>
      </c>
      <c r="I37" s="1605">
        <f t="shared" si="2"/>
        <v>0</v>
      </c>
      <c r="J37" s="1605">
        <f t="shared" si="2"/>
        <v>11369074.478400005</v>
      </c>
      <c r="K37" s="1605">
        <f t="shared" si="2"/>
        <v>0</v>
      </c>
      <c r="L37" s="1605">
        <f>SUM(L24:L36)</f>
        <v>11487878.038400006</v>
      </c>
    </row>
  </sheetData>
  <pageMargins left="0.7" right="0.7" top="0.75" bottom="0.75" header="0.3" footer="0.3"/>
  <pageSetup scale="6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06"/>
  <sheetViews>
    <sheetView workbookViewId="0">
      <selection activeCell="E105" sqref="E105"/>
    </sheetView>
  </sheetViews>
  <sheetFormatPr defaultRowHeight="15"/>
  <cols>
    <col min="1" max="1" width="7.5703125" style="1808" customWidth="1"/>
    <col min="2" max="2" width="6" style="1808" customWidth="1"/>
    <col min="3" max="7" width="18.140625" style="1808" customWidth="1"/>
    <col min="8" max="8" width="2" style="1808" customWidth="1"/>
    <col min="9" max="9" width="19.140625" style="1808" customWidth="1"/>
    <col min="10" max="13" width="18.7109375" style="1808" customWidth="1"/>
    <col min="14" max="16384" width="9.140625" style="1808"/>
  </cols>
  <sheetData>
    <row r="1" spans="1:13">
      <c r="A1" s="1623" t="s">
        <v>1454</v>
      </c>
      <c r="B1" s="1630"/>
      <c r="C1" s="1630"/>
      <c r="D1" s="1630"/>
      <c r="E1" s="1630"/>
      <c r="F1" s="1630"/>
      <c r="G1" s="1630"/>
      <c r="H1" s="1641"/>
      <c r="I1" s="1650"/>
      <c r="J1" s="1650"/>
      <c r="K1" s="1650"/>
      <c r="L1" s="1650"/>
      <c r="M1" s="1650"/>
    </row>
    <row r="2" spans="1:13">
      <c r="A2" s="1614" t="s">
        <v>1814</v>
      </c>
      <c r="B2" s="1630"/>
      <c r="C2" s="1630"/>
      <c r="D2" s="1630"/>
      <c r="E2" s="1630"/>
      <c r="F2" s="1630"/>
      <c r="G2" s="1630"/>
      <c r="H2" s="1641"/>
      <c r="I2" s="1650"/>
      <c r="J2" s="1650"/>
      <c r="K2" s="1650"/>
      <c r="L2" s="1650"/>
      <c r="M2" s="1650"/>
    </row>
    <row r="3" spans="1:13">
      <c r="A3" s="1630"/>
      <c r="B3" s="1630"/>
      <c r="C3" s="1630"/>
      <c r="D3" s="1630"/>
      <c r="E3" s="1630"/>
      <c r="F3" s="1630"/>
      <c r="G3" s="1630"/>
      <c r="H3" s="1641"/>
      <c r="I3" s="1650"/>
      <c r="J3" s="1650"/>
      <c r="K3" s="1650"/>
      <c r="L3" s="1650"/>
      <c r="M3" s="1650"/>
    </row>
    <row r="4" spans="1:13">
      <c r="A4" s="1637" t="s">
        <v>1453</v>
      </c>
      <c r="B4" s="1630"/>
      <c r="C4" s="1630"/>
      <c r="D4" s="1630"/>
      <c r="E4" s="1630"/>
      <c r="F4" s="1630"/>
      <c r="G4" s="1630"/>
      <c r="H4" s="1641"/>
      <c r="I4" s="1650"/>
      <c r="J4" s="1650"/>
      <c r="K4" s="1650"/>
      <c r="L4" s="1650"/>
      <c r="M4" s="1650"/>
    </row>
    <row r="5" spans="1:13">
      <c r="A5" s="1809" t="s">
        <v>1448</v>
      </c>
      <c r="B5" s="1660"/>
      <c r="C5" s="1641"/>
      <c r="D5" s="1641"/>
      <c r="E5" s="1641"/>
      <c r="F5" s="1641"/>
      <c r="G5" s="1641"/>
      <c r="H5" s="1641"/>
      <c r="I5" s="1650"/>
      <c r="J5" s="1810"/>
      <c r="K5" s="1650"/>
      <c r="L5" s="1650"/>
      <c r="M5" s="1650"/>
    </row>
    <row r="6" spans="1:13">
      <c r="A6" s="1809" t="s">
        <v>1487</v>
      </c>
      <c r="B6" s="1660"/>
      <c r="C6" s="1641"/>
      <c r="D6" s="1641"/>
      <c r="E6" s="1641"/>
      <c r="F6" s="1641"/>
      <c r="G6" s="1641"/>
      <c r="H6" s="1641"/>
      <c r="I6" s="1650"/>
      <c r="J6" s="1810"/>
      <c r="K6" s="1650"/>
      <c r="L6" s="1650"/>
      <c r="M6" s="1650"/>
    </row>
    <row r="7" spans="1:13">
      <c r="A7" s="1630"/>
      <c r="B7" s="1630"/>
      <c r="C7" s="1630"/>
      <c r="D7" s="1630"/>
      <c r="E7" s="1630"/>
      <c r="F7" s="1630"/>
      <c r="G7" s="1630"/>
      <c r="H7" s="1641"/>
      <c r="I7" s="1650"/>
      <c r="J7" s="1669" t="s">
        <v>1455</v>
      </c>
      <c r="K7" s="1650"/>
      <c r="L7" s="1650"/>
      <c r="M7" s="1650"/>
    </row>
    <row r="8" spans="1:13">
      <c r="A8" s="1630"/>
      <c r="B8" s="1630"/>
      <c r="C8" s="1630"/>
      <c r="D8" s="1630"/>
      <c r="E8" s="1630"/>
      <c r="F8" s="1630"/>
      <c r="G8" s="1630"/>
      <c r="H8" s="1641"/>
      <c r="I8" s="1650"/>
      <c r="J8" s="1811">
        <f>1/58/12</f>
        <v>1.4367816091954023E-3</v>
      </c>
      <c r="K8" s="1812"/>
      <c r="L8" s="1812"/>
      <c r="M8" s="1812"/>
    </row>
    <row r="9" spans="1:13" ht="43.5">
      <c r="A9" s="2308" t="s">
        <v>141</v>
      </c>
      <c r="B9" s="2308" t="s">
        <v>1452</v>
      </c>
      <c r="C9" s="2334" t="s">
        <v>1457</v>
      </c>
      <c r="D9" s="2309" t="s">
        <v>1451</v>
      </c>
      <c r="E9" s="2309" t="s">
        <v>469</v>
      </c>
      <c r="F9" s="2310" t="s">
        <v>1450</v>
      </c>
      <c r="G9" s="2310" t="s">
        <v>1449</v>
      </c>
      <c r="H9" s="2311"/>
      <c r="I9" s="2312" t="s">
        <v>1456</v>
      </c>
      <c r="J9" s="2313" t="s">
        <v>1459</v>
      </c>
      <c r="K9" s="2313" t="s">
        <v>1458</v>
      </c>
      <c r="L9" s="2313" t="s">
        <v>1460</v>
      </c>
      <c r="M9" s="2314" t="s">
        <v>1461</v>
      </c>
    </row>
    <row r="10" spans="1:13">
      <c r="A10" s="2315">
        <v>2008</v>
      </c>
      <c r="B10" s="2316">
        <v>12</v>
      </c>
      <c r="C10" s="2317"/>
      <c r="D10" s="2309"/>
      <c r="E10" s="2309"/>
      <c r="F10" s="2309"/>
      <c r="G10" s="2309"/>
      <c r="H10" s="2317"/>
      <c r="I10" s="2318"/>
      <c r="J10" s="2319"/>
      <c r="K10" s="2319"/>
      <c r="L10" s="2319"/>
      <c r="M10" s="2319"/>
    </row>
    <row r="11" spans="1:13">
      <c r="A11" s="2315">
        <v>2009</v>
      </c>
      <c r="B11" s="2316">
        <v>1</v>
      </c>
      <c r="C11" s="2320">
        <v>5595.33</v>
      </c>
      <c r="D11" s="2321"/>
      <c r="E11" s="2321">
        <v>196.67</v>
      </c>
      <c r="F11" s="2321"/>
      <c r="G11" s="2322">
        <v>5792</v>
      </c>
      <c r="H11" s="2323"/>
      <c r="I11" s="2324">
        <f>SUM(C$11:C11)</f>
        <v>5595.33</v>
      </c>
      <c r="J11" s="2324"/>
      <c r="K11" s="2324"/>
      <c r="L11" s="2324"/>
      <c r="M11" s="2324"/>
    </row>
    <row r="12" spans="1:13">
      <c r="A12" s="2316"/>
      <c r="B12" s="2316">
        <v>2</v>
      </c>
      <c r="C12" s="2320"/>
      <c r="D12" s="2321"/>
      <c r="E12" s="2321">
        <v>29.170000000000016</v>
      </c>
      <c r="F12" s="2321"/>
      <c r="G12" s="2322">
        <v>29.170000000000016</v>
      </c>
      <c r="H12" s="2323"/>
      <c r="I12" s="2324">
        <f>SUM(C$11:C12)</f>
        <v>5595.33</v>
      </c>
      <c r="J12" s="2324"/>
      <c r="K12" s="2324"/>
      <c r="L12" s="2324"/>
      <c r="M12" s="2324"/>
    </row>
    <row r="13" spans="1:13">
      <c r="A13" s="2316"/>
      <c r="B13" s="2316">
        <v>3</v>
      </c>
      <c r="C13" s="2320">
        <v>-5595.33</v>
      </c>
      <c r="D13" s="2321">
        <v>5595.33</v>
      </c>
      <c r="E13" s="2321">
        <v>11.87</v>
      </c>
      <c r="F13" s="2321"/>
      <c r="G13" s="2322">
        <v>11.87</v>
      </c>
      <c r="H13" s="2323"/>
      <c r="I13" s="2324">
        <f>SUM(C$11:C13)</f>
        <v>0</v>
      </c>
      <c r="J13" s="2324"/>
      <c r="K13" s="2324"/>
      <c r="L13" s="2324"/>
      <c r="M13" s="2324"/>
    </row>
    <row r="14" spans="1:13">
      <c r="A14" s="2316"/>
      <c r="B14" s="2316">
        <v>4</v>
      </c>
      <c r="C14" s="2320"/>
      <c r="D14" s="2321"/>
      <c r="E14" s="2321">
        <v>2.14</v>
      </c>
      <c r="F14" s="2321"/>
      <c r="G14" s="2322">
        <v>2.14</v>
      </c>
      <c r="H14" s="2323"/>
      <c r="I14" s="2324">
        <f>SUM(C$11:C14)</f>
        <v>0</v>
      </c>
      <c r="J14" s="2324"/>
      <c r="K14" s="2324"/>
      <c r="L14" s="2324"/>
      <c r="M14" s="2324"/>
    </row>
    <row r="15" spans="1:13">
      <c r="A15" s="2316"/>
      <c r="B15" s="2316">
        <v>5</v>
      </c>
      <c r="C15" s="2320"/>
      <c r="D15" s="2321"/>
      <c r="E15" s="2321">
        <v>0.1</v>
      </c>
      <c r="F15" s="2321"/>
      <c r="G15" s="2322">
        <v>0.1</v>
      </c>
      <c r="H15" s="2323"/>
      <c r="I15" s="2324">
        <f>SUM(C$11:C15)</f>
        <v>0</v>
      </c>
      <c r="J15" s="2324"/>
      <c r="K15" s="2324"/>
      <c r="L15" s="2324"/>
      <c r="M15" s="2324"/>
    </row>
    <row r="16" spans="1:13">
      <c r="A16" s="2316"/>
      <c r="B16" s="2316">
        <v>6</v>
      </c>
      <c r="C16" s="2320"/>
      <c r="D16" s="2321"/>
      <c r="E16" s="2321">
        <v>0.1</v>
      </c>
      <c r="F16" s="2321"/>
      <c r="G16" s="2322">
        <v>0.1</v>
      </c>
      <c r="H16" s="2323"/>
      <c r="I16" s="2324">
        <f>SUM(C$11:C16)</f>
        <v>0</v>
      </c>
      <c r="J16" s="2324"/>
      <c r="K16" s="2324"/>
      <c r="L16" s="2324"/>
      <c r="M16" s="2324"/>
    </row>
    <row r="17" spans="1:13">
      <c r="A17" s="2316"/>
      <c r="B17" s="2316">
        <v>7</v>
      </c>
      <c r="C17" s="2320"/>
      <c r="D17" s="2321"/>
      <c r="E17" s="2321">
        <v>291535.07</v>
      </c>
      <c r="F17" s="2321"/>
      <c r="G17" s="2322">
        <v>291535.07</v>
      </c>
      <c r="H17" s="2323"/>
      <c r="I17" s="2324">
        <f>SUM(C$11:C17)</f>
        <v>0</v>
      </c>
      <c r="J17" s="2324"/>
      <c r="K17" s="2324"/>
      <c r="L17" s="2324"/>
      <c r="M17" s="2324"/>
    </row>
    <row r="18" spans="1:13">
      <c r="A18" s="2316"/>
      <c r="B18" s="2316">
        <v>8</v>
      </c>
      <c r="C18" s="2320"/>
      <c r="D18" s="2321">
        <v>22386.29</v>
      </c>
      <c r="E18" s="2321">
        <v>834.29000000000008</v>
      </c>
      <c r="F18" s="2321"/>
      <c r="G18" s="2322">
        <v>23220.58</v>
      </c>
      <c r="H18" s="2323"/>
      <c r="I18" s="2324">
        <f>SUM(C$11:C18)</f>
        <v>0</v>
      </c>
      <c r="J18" s="2324"/>
      <c r="K18" s="2324"/>
      <c r="L18" s="2324"/>
      <c r="M18" s="2324"/>
    </row>
    <row r="19" spans="1:13">
      <c r="A19" s="2316"/>
      <c r="B19" s="2316">
        <v>9</v>
      </c>
      <c r="C19" s="2320"/>
      <c r="D19" s="2321">
        <v>3940</v>
      </c>
      <c r="E19" s="2321">
        <v>2218516.3000000003</v>
      </c>
      <c r="F19" s="2321"/>
      <c r="G19" s="2322">
        <v>2222456.3000000003</v>
      </c>
      <c r="H19" s="2323"/>
      <c r="I19" s="2324">
        <f>SUM(C$11:C19)</f>
        <v>0</v>
      </c>
      <c r="J19" s="2324"/>
      <c r="K19" s="2324"/>
      <c r="L19" s="2324"/>
      <c r="M19" s="2324"/>
    </row>
    <row r="20" spans="1:13">
      <c r="A20" s="2316"/>
      <c r="B20" s="2316">
        <v>10</v>
      </c>
      <c r="C20" s="2320"/>
      <c r="D20" s="2321">
        <v>0</v>
      </c>
      <c r="E20" s="2321">
        <v>14137.84</v>
      </c>
      <c r="F20" s="2321"/>
      <c r="G20" s="2322">
        <v>14137.84</v>
      </c>
      <c r="H20" s="2323"/>
      <c r="I20" s="2324">
        <f>SUM(C$11:C20)</f>
        <v>0</v>
      </c>
      <c r="J20" s="2324"/>
      <c r="K20" s="2324"/>
      <c r="L20" s="2324"/>
      <c r="M20" s="2324"/>
    </row>
    <row r="21" spans="1:13">
      <c r="A21" s="2316"/>
      <c r="B21" s="2316">
        <v>11</v>
      </c>
      <c r="C21" s="2320"/>
      <c r="D21" s="2321"/>
      <c r="E21" s="2321">
        <v>713565.12</v>
      </c>
      <c r="F21" s="2321"/>
      <c r="G21" s="2322">
        <v>713565.12</v>
      </c>
      <c r="H21" s="2323"/>
      <c r="I21" s="2324">
        <f>SUM(C$11:C21)</f>
        <v>0</v>
      </c>
      <c r="J21" s="2324"/>
      <c r="K21" s="2324"/>
      <c r="L21" s="2324"/>
      <c r="M21" s="2324"/>
    </row>
    <row r="22" spans="1:13">
      <c r="A22" s="2316"/>
      <c r="B22" s="2316">
        <v>12</v>
      </c>
      <c r="C22" s="2320">
        <v>49329088.560000002</v>
      </c>
      <c r="D22" s="2321">
        <v>90.72</v>
      </c>
      <c r="E22" s="2321">
        <v>915261.9</v>
      </c>
      <c r="F22" s="2321"/>
      <c r="G22" s="2322">
        <v>50244441.18</v>
      </c>
      <c r="H22" s="2323"/>
      <c r="I22" s="2325">
        <f>SUM(C$11:C22)</f>
        <v>49329088.560000002</v>
      </c>
      <c r="J22" s="2326">
        <f>+C22*J$8*0.5+J$8*I21</f>
        <v>35437.56362068966</v>
      </c>
      <c r="K22" s="2326">
        <f>J22+K21</f>
        <v>35437.56362068966</v>
      </c>
      <c r="L22" s="2324">
        <f t="shared" ref="L22:L82" si="0">+I22-K22</f>
        <v>49293650.996379316</v>
      </c>
      <c r="M22" s="2326">
        <f>SUM(L10:L22)/13</f>
        <v>3791819.3074137936</v>
      </c>
    </row>
    <row r="23" spans="1:13">
      <c r="A23" s="2315">
        <v>2010</v>
      </c>
      <c r="B23" s="2316">
        <v>1</v>
      </c>
      <c r="C23" s="2321"/>
      <c r="D23" s="2321"/>
      <c r="E23" s="2321">
        <v>-2660.5800000000008</v>
      </c>
      <c r="F23" s="2321"/>
      <c r="G23" s="2322">
        <v>-2660.5800000000008</v>
      </c>
      <c r="H23" s="2323"/>
      <c r="I23" s="2324">
        <f>SUM(C$11:C23)</f>
        <v>49329088.560000002</v>
      </c>
      <c r="J23" s="2326">
        <f t="shared" ref="J23:J82" si="1">+C23*J$8*0.5+J$8*I22</f>
        <v>70875.127241379319</v>
      </c>
      <c r="K23" s="2326">
        <f>J23+K22</f>
        <v>106312.69086206898</v>
      </c>
      <c r="L23" s="2324">
        <f t="shared" si="0"/>
        <v>49222775.869137935</v>
      </c>
      <c r="M23" s="2324"/>
    </row>
    <row r="24" spans="1:13">
      <c r="A24" s="2316"/>
      <c r="B24" s="2316">
        <v>2</v>
      </c>
      <c r="C24" s="2321"/>
      <c r="D24" s="2321"/>
      <c r="E24" s="2321">
        <v>56707.81</v>
      </c>
      <c r="F24" s="2321"/>
      <c r="G24" s="2322">
        <v>56707.81</v>
      </c>
      <c r="H24" s="2323"/>
      <c r="I24" s="2324">
        <f>SUM(C$11:C24)</f>
        <v>49329088.560000002</v>
      </c>
      <c r="J24" s="2326">
        <f t="shared" si="1"/>
        <v>70875.127241379319</v>
      </c>
      <c r="K24" s="2326">
        <f t="shared" ref="K24:K82" si="2">J24+K23</f>
        <v>177187.81810344831</v>
      </c>
      <c r="L24" s="2324">
        <f t="shared" si="0"/>
        <v>49151900.741896555</v>
      </c>
      <c r="M24" s="2324"/>
    </row>
    <row r="25" spans="1:13">
      <c r="A25" s="2316"/>
      <c r="B25" s="2316">
        <v>3</v>
      </c>
      <c r="C25" s="2321">
        <v>186516475.59000003</v>
      </c>
      <c r="D25" s="2321">
        <v>4593.3</v>
      </c>
      <c r="E25" s="2321">
        <v>1540415.9000000001</v>
      </c>
      <c r="F25" s="2321"/>
      <c r="G25" s="2322">
        <v>188061484.79000005</v>
      </c>
      <c r="H25" s="2323"/>
      <c r="I25" s="2324">
        <f>SUM(C$11:C25)</f>
        <v>235845564.15000004</v>
      </c>
      <c r="J25" s="2326">
        <f t="shared" si="1"/>
        <v>204866.84821120693</v>
      </c>
      <c r="K25" s="2326">
        <f t="shared" si="2"/>
        <v>382054.66631465522</v>
      </c>
      <c r="L25" s="2324">
        <f t="shared" si="0"/>
        <v>235463509.48368537</v>
      </c>
      <c r="M25" s="2324"/>
    </row>
    <row r="26" spans="1:13">
      <c r="A26" s="2316"/>
      <c r="B26" s="2316">
        <v>4</v>
      </c>
      <c r="C26" s="2321">
        <v>10877334.39999998</v>
      </c>
      <c r="D26" s="2321">
        <v>4.9999999999727152E-2</v>
      </c>
      <c r="E26" s="2321">
        <v>101389.12</v>
      </c>
      <c r="F26" s="2321"/>
      <c r="G26" s="2322">
        <v>10978723.56999998</v>
      </c>
      <c r="H26" s="2323"/>
      <c r="I26" s="2324">
        <f>SUM(C$11:C26)</f>
        <v>246722898.55000001</v>
      </c>
      <c r="J26" s="2326">
        <f t="shared" si="1"/>
        <v>346672.74619252875</v>
      </c>
      <c r="K26" s="2326">
        <f t="shared" si="2"/>
        <v>728727.41250718397</v>
      </c>
      <c r="L26" s="2324">
        <f t="shared" si="0"/>
        <v>245994171.13749284</v>
      </c>
      <c r="M26" s="2324"/>
    </row>
    <row r="27" spans="1:13">
      <c r="A27" s="2316"/>
      <c r="B27" s="2316">
        <v>5</v>
      </c>
      <c r="C27" s="2321">
        <v>-353166.11999999569</v>
      </c>
      <c r="D27" s="2321"/>
      <c r="E27" s="2321">
        <v>45114.470000000008</v>
      </c>
      <c r="F27" s="2321"/>
      <c r="G27" s="2322">
        <v>-308051.64999999566</v>
      </c>
      <c r="H27" s="2323"/>
      <c r="I27" s="2324">
        <f>SUM(C$11:C27)</f>
        <v>246369732.43000001</v>
      </c>
      <c r="J27" s="2326">
        <f t="shared" si="1"/>
        <v>354233.21191091952</v>
      </c>
      <c r="K27" s="2326">
        <f t="shared" si="2"/>
        <v>1082960.6244181036</v>
      </c>
      <c r="L27" s="2324">
        <f t="shared" si="0"/>
        <v>245286771.8055819</v>
      </c>
      <c r="M27" s="2324"/>
    </row>
    <row r="28" spans="1:13">
      <c r="A28" s="2316"/>
      <c r="B28" s="2316">
        <v>6</v>
      </c>
      <c r="C28" s="2321">
        <v>798120.67999998387</v>
      </c>
      <c r="D28" s="2321">
        <v>-12163.470000000001</v>
      </c>
      <c r="E28" s="2321">
        <v>82042.029999999984</v>
      </c>
      <c r="F28" s="2321"/>
      <c r="G28" s="2322">
        <v>867999.23999998393</v>
      </c>
      <c r="H28" s="2323"/>
      <c r="I28" s="2324">
        <f>SUM(C$11:C28)</f>
        <v>247167853.10999998</v>
      </c>
      <c r="J28" s="2326">
        <f t="shared" si="1"/>
        <v>354552.86317528738</v>
      </c>
      <c r="K28" s="2326">
        <f t="shared" si="2"/>
        <v>1437513.487593391</v>
      </c>
      <c r="L28" s="2324">
        <f t="shared" si="0"/>
        <v>245730339.6224066</v>
      </c>
      <c r="M28" s="2324"/>
    </row>
    <row r="29" spans="1:13">
      <c r="A29" s="2316"/>
      <c r="B29" s="2316">
        <v>7</v>
      </c>
      <c r="C29" s="2321">
        <v>1116636.3700000001</v>
      </c>
      <c r="D29" s="2321">
        <v>1294.0999999999999</v>
      </c>
      <c r="E29" s="2321">
        <v>21234.670000000024</v>
      </c>
      <c r="F29" s="2321"/>
      <c r="G29" s="2322">
        <v>1139165.1400000001</v>
      </c>
      <c r="H29" s="2323"/>
      <c r="I29" s="2324">
        <f>SUM(C$11:C29)</f>
        <v>248284489.47999999</v>
      </c>
      <c r="J29" s="2326">
        <f t="shared" si="1"/>
        <v>355928.40703304595</v>
      </c>
      <c r="K29" s="2326">
        <f t="shared" si="2"/>
        <v>1793441.894626437</v>
      </c>
      <c r="L29" s="2324">
        <f t="shared" si="0"/>
        <v>246491047.58537355</v>
      </c>
      <c r="M29" s="2324"/>
    </row>
    <row r="30" spans="1:13">
      <c r="A30" s="2316"/>
      <c r="B30" s="2316">
        <v>8</v>
      </c>
      <c r="C30" s="2321">
        <v>392805.13</v>
      </c>
      <c r="D30" s="2321">
        <v>-38.079999999999927</v>
      </c>
      <c r="E30" s="2321">
        <v>32124.50999999998</v>
      </c>
      <c r="F30" s="2321"/>
      <c r="G30" s="2322">
        <v>424891.55999999994</v>
      </c>
      <c r="H30" s="2323"/>
      <c r="I30" s="2324">
        <f>SUM(C$11:C30)</f>
        <v>248677294.60999998</v>
      </c>
      <c r="J30" s="2326">
        <f t="shared" si="1"/>
        <v>357012.77592672413</v>
      </c>
      <c r="K30" s="2326">
        <f t="shared" si="2"/>
        <v>2150454.6705531613</v>
      </c>
      <c r="L30" s="2324">
        <f t="shared" si="0"/>
        <v>246526839.93944684</v>
      </c>
      <c r="M30" s="2324"/>
    </row>
    <row r="31" spans="1:13">
      <c r="A31" s="2316"/>
      <c r="B31" s="2316">
        <v>9</v>
      </c>
      <c r="C31" s="2321">
        <v>-81061.900000000038</v>
      </c>
      <c r="D31" s="2321">
        <v>-2506.2800000000002</v>
      </c>
      <c r="E31" s="2321">
        <v>-61825.96</v>
      </c>
      <c r="F31" s="2321"/>
      <c r="G31" s="2322">
        <v>-145394.14000000004</v>
      </c>
      <c r="H31" s="2323"/>
      <c r="I31" s="2324">
        <f>SUM(C$11:C31)</f>
        <v>248596232.70999998</v>
      </c>
      <c r="J31" s="2326">
        <f t="shared" si="1"/>
        <v>357236.72939655167</v>
      </c>
      <c r="K31" s="2326">
        <f t="shared" si="2"/>
        <v>2507691.3999497131</v>
      </c>
      <c r="L31" s="2324">
        <f t="shared" si="0"/>
        <v>246088541.31005028</v>
      </c>
      <c r="M31" s="2324"/>
    </row>
    <row r="32" spans="1:13">
      <c r="A32" s="2316"/>
      <c r="B32" s="2316">
        <v>10</v>
      </c>
      <c r="C32" s="2321">
        <v>87873223.509999976</v>
      </c>
      <c r="D32" s="2321">
        <v>36378.14</v>
      </c>
      <c r="E32" s="2321">
        <v>8623922.4899999984</v>
      </c>
      <c r="F32" s="2321">
        <v>364553.74</v>
      </c>
      <c r="G32" s="2322">
        <v>96898077.879999965</v>
      </c>
      <c r="H32" s="2323"/>
      <c r="I32" s="2324">
        <f>SUM(C$11:C32)</f>
        <v>336469456.21999997</v>
      </c>
      <c r="J32" s="2326">
        <f t="shared" si="1"/>
        <v>420305.81101293094</v>
      </c>
      <c r="K32" s="2326">
        <f t="shared" si="2"/>
        <v>2927997.2109626438</v>
      </c>
      <c r="L32" s="2324">
        <f t="shared" si="0"/>
        <v>333541459.00903732</v>
      </c>
      <c r="M32" s="2324"/>
    </row>
    <row r="33" spans="1:13">
      <c r="A33" s="2316"/>
      <c r="B33" s="2316">
        <v>11</v>
      </c>
      <c r="C33" s="2321">
        <v>434391075.3300001</v>
      </c>
      <c r="D33" s="2321">
        <v>-4161.4500000000007</v>
      </c>
      <c r="E33" s="2321">
        <v>-1457462.9400000004</v>
      </c>
      <c r="F33" s="2321">
        <v>2700529.23</v>
      </c>
      <c r="G33" s="2322">
        <v>435629980.17000014</v>
      </c>
      <c r="H33" s="2323"/>
      <c r="I33" s="2324">
        <f>SUM(C$11:C33)</f>
        <v>770860531.55000007</v>
      </c>
      <c r="J33" s="2326">
        <f t="shared" si="1"/>
        <v>795495.68086925289</v>
      </c>
      <c r="K33" s="2326">
        <f t="shared" si="2"/>
        <v>3723492.8918318967</v>
      </c>
      <c r="L33" s="2324">
        <f t="shared" si="0"/>
        <v>767137038.6581682</v>
      </c>
      <c r="M33" s="2324"/>
    </row>
    <row r="34" spans="1:13">
      <c r="A34" s="2316"/>
      <c r="B34" s="2316">
        <v>12</v>
      </c>
      <c r="C34" s="2321">
        <v>7978725.1199999703</v>
      </c>
      <c r="D34" s="2321">
        <v>4034.919999999991</v>
      </c>
      <c r="E34" s="2321">
        <v>943607.23</v>
      </c>
      <c r="F34" s="2321">
        <v>970519.44000000006</v>
      </c>
      <c r="G34" s="2322">
        <v>9896886.7099999748</v>
      </c>
      <c r="H34" s="2323"/>
      <c r="I34" s="2325">
        <f>SUM(C$11:C34)</f>
        <v>778839256.67000008</v>
      </c>
      <c r="J34" s="2326">
        <f t="shared" si="1"/>
        <v>1113290.077744253</v>
      </c>
      <c r="K34" s="2326">
        <f t="shared" si="2"/>
        <v>4836782.9695761502</v>
      </c>
      <c r="L34" s="2324">
        <f t="shared" si="0"/>
        <v>774002473.70042396</v>
      </c>
      <c r="M34" s="2326">
        <f>SUM(L22:L34)/13</f>
        <v>287225424.6045447</v>
      </c>
    </row>
    <row r="35" spans="1:13">
      <c r="A35" s="2315">
        <v>2011</v>
      </c>
      <c r="B35" s="2316">
        <v>1</v>
      </c>
      <c r="C35" s="2321">
        <v>1570431.4800000181</v>
      </c>
      <c r="D35" s="2321">
        <v>150</v>
      </c>
      <c r="E35" s="2321">
        <v>81574.509999999995</v>
      </c>
      <c r="F35" s="2321">
        <v>21651.35</v>
      </c>
      <c r="G35" s="2322">
        <v>1673807.3400000182</v>
      </c>
      <c r="H35" s="2323"/>
      <c r="I35" s="2324">
        <f>SUM(C$11:C35)</f>
        <v>780409688.1500001</v>
      </c>
      <c r="J35" s="2326">
        <f t="shared" si="1"/>
        <v>1120150.1040373563</v>
      </c>
      <c r="K35" s="2326">
        <f t="shared" si="2"/>
        <v>5956933.0736135067</v>
      </c>
      <c r="L35" s="2324">
        <f t="shared" si="0"/>
        <v>774452755.07638657</v>
      </c>
      <c r="M35" s="2324"/>
    </row>
    <row r="36" spans="1:13">
      <c r="A36" s="2316"/>
      <c r="B36" s="2316">
        <v>2</v>
      </c>
      <c r="C36" s="2321">
        <v>14494419.71000002</v>
      </c>
      <c r="D36" s="2321">
        <v>203.29000000000002</v>
      </c>
      <c r="E36" s="2321">
        <v>32193.41</v>
      </c>
      <c r="F36" s="2321">
        <v>1865956.72</v>
      </c>
      <c r="G36" s="2322">
        <v>16392773.130000019</v>
      </c>
      <c r="H36" s="2323"/>
      <c r="I36" s="2324">
        <f>SUM(C$11:C36)</f>
        <v>794904107.86000013</v>
      </c>
      <c r="J36" s="2326">
        <f t="shared" si="1"/>
        <v>1131690.945409483</v>
      </c>
      <c r="K36" s="2326">
        <f t="shared" si="2"/>
        <v>7088624.01902299</v>
      </c>
      <c r="L36" s="2324">
        <f t="shared" si="0"/>
        <v>787815483.84097719</v>
      </c>
      <c r="M36" s="2324"/>
    </row>
    <row r="37" spans="1:13">
      <c r="A37" s="2316"/>
      <c r="B37" s="2316">
        <v>3</v>
      </c>
      <c r="C37" s="2321">
        <v>-1319835.47</v>
      </c>
      <c r="D37" s="2321"/>
      <c r="E37" s="2321">
        <v>50543.16</v>
      </c>
      <c r="F37" s="2321">
        <v>62917.19999999999</v>
      </c>
      <c r="G37" s="2322">
        <v>-1206375.1100000001</v>
      </c>
      <c r="H37" s="2323"/>
      <c r="I37" s="2324">
        <f>SUM(C$11:C37)</f>
        <v>793584272.3900001</v>
      </c>
      <c r="J37" s="2326">
        <f t="shared" si="1"/>
        <v>1141155.4455818967</v>
      </c>
      <c r="K37" s="2326">
        <f t="shared" si="2"/>
        <v>8229779.4646048862</v>
      </c>
      <c r="L37" s="2324">
        <f t="shared" si="0"/>
        <v>785354492.92539525</v>
      </c>
      <c r="M37" s="2324"/>
    </row>
    <row r="38" spans="1:13">
      <c r="A38" s="2316"/>
      <c r="B38" s="2316">
        <v>4</v>
      </c>
      <c r="C38" s="2321">
        <v>818994.6799999997</v>
      </c>
      <c r="D38" s="2321">
        <v>-1945.55</v>
      </c>
      <c r="E38" s="2321">
        <v>7431.9300000000012</v>
      </c>
      <c r="F38" s="2321">
        <v>-16373.909999999994</v>
      </c>
      <c r="G38" s="2322">
        <v>808107.14999999967</v>
      </c>
      <c r="H38" s="2323"/>
      <c r="I38" s="2324">
        <f>SUM(C$11:C38)</f>
        <v>794403267.07000005</v>
      </c>
      <c r="J38" s="2326">
        <f t="shared" si="1"/>
        <v>1140795.6461637933</v>
      </c>
      <c r="K38" s="2326">
        <f t="shared" si="2"/>
        <v>9370575.1107686795</v>
      </c>
      <c r="L38" s="2324">
        <f t="shared" si="0"/>
        <v>785032691.95923138</v>
      </c>
      <c r="M38" s="2324"/>
    </row>
    <row r="39" spans="1:13">
      <c r="A39" s="2316"/>
      <c r="B39" s="2316">
        <v>5</v>
      </c>
      <c r="C39" s="2321">
        <v>-674048.58999999892</v>
      </c>
      <c r="D39" s="2321"/>
      <c r="E39" s="2321">
        <v>16323.12</v>
      </c>
      <c r="F39" s="2321">
        <v>62500.57</v>
      </c>
      <c r="G39" s="2322">
        <v>-595224.89999999898</v>
      </c>
      <c r="H39" s="2323"/>
      <c r="I39" s="2324">
        <f>SUM(C$11:C39)</f>
        <v>793729218.48000002</v>
      </c>
      <c r="J39" s="2326">
        <f t="shared" si="1"/>
        <v>1140899.7741020115</v>
      </c>
      <c r="K39" s="2326">
        <f t="shared" si="2"/>
        <v>10511474.884870691</v>
      </c>
      <c r="L39" s="2324">
        <f t="shared" si="0"/>
        <v>783217743.59512937</v>
      </c>
      <c r="M39" s="2324"/>
    </row>
    <row r="40" spans="1:13">
      <c r="A40" s="2316"/>
      <c r="B40" s="2316">
        <v>6</v>
      </c>
      <c r="C40" s="2321">
        <v>6013549.9000000004</v>
      </c>
      <c r="D40" s="2321"/>
      <c r="E40" s="2321">
        <v>27267.920000000002</v>
      </c>
      <c r="F40" s="2321">
        <v>4503.0700000000006</v>
      </c>
      <c r="G40" s="2322">
        <v>6045320.8900000006</v>
      </c>
      <c r="H40" s="2323"/>
      <c r="I40" s="2324">
        <f>SUM(C$11:C40)</f>
        <v>799742768.38</v>
      </c>
      <c r="J40" s="2326">
        <f t="shared" si="1"/>
        <v>1144735.6227442529</v>
      </c>
      <c r="K40" s="2326">
        <f t="shared" si="2"/>
        <v>11656210.507614944</v>
      </c>
      <c r="L40" s="2324">
        <f t="shared" si="0"/>
        <v>788086557.87238503</v>
      </c>
      <c r="M40" s="2324"/>
    </row>
    <row r="41" spans="1:13">
      <c r="A41" s="2316"/>
      <c r="B41" s="2316">
        <v>7</v>
      </c>
      <c r="C41" s="2321">
        <v>225620.78999999992</v>
      </c>
      <c r="D41" s="2321"/>
      <c r="E41" s="2321">
        <v>12962.32</v>
      </c>
      <c r="F41" s="2321">
        <v>-11911.15</v>
      </c>
      <c r="G41" s="2322">
        <v>226671.95999999993</v>
      </c>
      <c r="H41" s="2323"/>
      <c r="I41" s="2324">
        <f>SUM(C$11:C41)</f>
        <v>799968389.16999996</v>
      </c>
      <c r="J41" s="2326">
        <f t="shared" si="1"/>
        <v>1149217.7855962645</v>
      </c>
      <c r="K41" s="2326">
        <f t="shared" si="2"/>
        <v>12805428.293211209</v>
      </c>
      <c r="L41" s="2324">
        <f t="shared" si="0"/>
        <v>787162960.87678874</v>
      </c>
      <c r="M41" s="2324"/>
    </row>
    <row r="42" spans="1:13">
      <c r="A42" s="2316"/>
      <c r="B42" s="2316">
        <v>8</v>
      </c>
      <c r="C42" s="2321">
        <v>292520.68000000005</v>
      </c>
      <c r="D42" s="2321"/>
      <c r="E42" s="2321">
        <v>-146659.68</v>
      </c>
      <c r="F42" s="2321">
        <v>-419.81999999999982</v>
      </c>
      <c r="G42" s="2322">
        <v>145441.18000000005</v>
      </c>
      <c r="H42" s="2323"/>
      <c r="I42" s="2324">
        <f>SUM(C$11:C42)</f>
        <v>800260909.8499999</v>
      </c>
      <c r="J42" s="2326">
        <f t="shared" si="1"/>
        <v>1149590.0136637932</v>
      </c>
      <c r="K42" s="2326">
        <f t="shared" si="2"/>
        <v>13955018.306875002</v>
      </c>
      <c r="L42" s="2324">
        <f t="shared" si="0"/>
        <v>786305891.54312491</v>
      </c>
      <c r="M42" s="2324"/>
    </row>
    <row r="43" spans="1:13">
      <c r="A43" s="2316"/>
      <c r="B43" s="2316">
        <v>9</v>
      </c>
      <c r="C43" s="2321">
        <v>2253449.2999999998</v>
      </c>
      <c r="D43" s="2321"/>
      <c r="E43" s="2321">
        <v>1664.07</v>
      </c>
      <c r="F43" s="2321">
        <v>13507.07</v>
      </c>
      <c r="G43" s="2322">
        <v>2268620.4399999995</v>
      </c>
      <c r="H43" s="2323"/>
      <c r="I43" s="2324">
        <f>SUM(C$11:C43)</f>
        <v>802514359.14999986</v>
      </c>
      <c r="J43" s="2326">
        <f t="shared" si="1"/>
        <v>1151419.0150862066</v>
      </c>
      <c r="K43" s="2326">
        <f t="shared" si="2"/>
        <v>15106437.321961209</v>
      </c>
      <c r="L43" s="2324">
        <f t="shared" si="0"/>
        <v>787407921.82803869</v>
      </c>
      <c r="M43" s="2324"/>
    </row>
    <row r="44" spans="1:13">
      <c r="A44" s="2316"/>
      <c r="B44" s="2316">
        <v>10</v>
      </c>
      <c r="C44" s="2321">
        <v>-169597.82000000009</v>
      </c>
      <c r="D44" s="2321"/>
      <c r="E44" s="2321">
        <v>114065.09</v>
      </c>
      <c r="F44" s="2321">
        <v>90745.720000000088</v>
      </c>
      <c r="G44" s="2322">
        <v>35212.989999999991</v>
      </c>
      <c r="H44" s="2323"/>
      <c r="I44" s="2324">
        <f>SUM(C$11:C44)</f>
        <v>802344761.3299998</v>
      </c>
      <c r="J44" s="2326">
        <f t="shared" si="1"/>
        <v>1152916.034827586</v>
      </c>
      <c r="K44" s="2326">
        <f t="shared" si="2"/>
        <v>16259353.356788795</v>
      </c>
      <c r="L44" s="2324">
        <f t="shared" si="0"/>
        <v>786085407.97321105</v>
      </c>
      <c r="M44" s="2324"/>
    </row>
    <row r="45" spans="1:13">
      <c r="A45" s="2316"/>
      <c r="B45" s="2316">
        <v>11</v>
      </c>
      <c r="C45" s="2321">
        <v>-125784.32000000015</v>
      </c>
      <c r="D45" s="2321"/>
      <c r="E45" s="2321">
        <v>86833.01</v>
      </c>
      <c r="F45" s="2321">
        <v>-1201.9299999999989</v>
      </c>
      <c r="G45" s="2322">
        <v>-40153.240000000158</v>
      </c>
      <c r="H45" s="2323"/>
      <c r="I45" s="2324">
        <f>SUM(C$11:C45)</f>
        <v>802218977.00999975</v>
      </c>
      <c r="J45" s="2326">
        <f t="shared" si="1"/>
        <v>1152703.8350143675</v>
      </c>
      <c r="K45" s="2326">
        <f t="shared" si="2"/>
        <v>17412057.191803165</v>
      </c>
      <c r="L45" s="2324">
        <f t="shared" si="0"/>
        <v>784806919.81819654</v>
      </c>
      <c r="M45" s="2324"/>
    </row>
    <row r="46" spans="1:13">
      <c r="A46" s="2316"/>
      <c r="B46" s="2316">
        <v>12</v>
      </c>
      <c r="C46" s="2321">
        <v>91950.220000000016</v>
      </c>
      <c r="D46" s="2321">
        <v>87946.400000000009</v>
      </c>
      <c r="E46" s="2321">
        <v>-2114.7600000000002</v>
      </c>
      <c r="F46" s="2321">
        <v>-15583.36</v>
      </c>
      <c r="G46" s="2322">
        <v>162198.5</v>
      </c>
      <c r="H46" s="2323"/>
      <c r="I46" s="2325">
        <f>SUM(C$11:C46)</f>
        <v>802310927.22999978</v>
      </c>
      <c r="J46" s="2326">
        <f t="shared" si="1"/>
        <v>1152679.5289080455</v>
      </c>
      <c r="K46" s="2326">
        <f t="shared" si="2"/>
        <v>18564736.720711209</v>
      </c>
      <c r="L46" s="2324">
        <f t="shared" si="0"/>
        <v>783746190.50928855</v>
      </c>
      <c r="M46" s="2327">
        <f>SUM(L34:L46)/13</f>
        <v>784113653.19373691</v>
      </c>
    </row>
    <row r="47" spans="1:13">
      <c r="A47" s="2315">
        <v>2012</v>
      </c>
      <c r="B47" s="2316">
        <v>1</v>
      </c>
      <c r="C47" s="2322">
        <v>36175.22000000003</v>
      </c>
      <c r="D47" s="2322">
        <v>5450.7599999999948</v>
      </c>
      <c r="E47" s="2322">
        <v>18068</v>
      </c>
      <c r="F47" s="2322"/>
      <c r="G47" s="2322">
        <v>59693.980000000025</v>
      </c>
      <c r="H47" s="2323"/>
      <c r="I47" s="2324">
        <f>SUM(C$11:C47)</f>
        <v>802347102.44999981</v>
      </c>
      <c r="J47" s="2326">
        <f t="shared" si="1"/>
        <v>1152771.5730459767</v>
      </c>
      <c r="K47" s="2326">
        <f t="shared" si="2"/>
        <v>19717508.293757185</v>
      </c>
      <c r="L47" s="2324">
        <f t="shared" si="0"/>
        <v>782629594.15624261</v>
      </c>
      <c r="M47" s="2324"/>
    </row>
    <row r="48" spans="1:13">
      <c r="A48" s="2316"/>
      <c r="B48" s="2316">
        <v>2</v>
      </c>
      <c r="C48" s="2322">
        <v>72991.140000000101</v>
      </c>
      <c r="D48" s="2322">
        <v>-3198.7500000000005</v>
      </c>
      <c r="E48" s="2322">
        <v>9638.2299999999977</v>
      </c>
      <c r="F48" s="2322">
        <v>7334.5300000000007</v>
      </c>
      <c r="G48" s="2322">
        <v>86765.150000000096</v>
      </c>
      <c r="H48" s="2323"/>
      <c r="I48" s="2324">
        <f>SUM(C$11:C48)</f>
        <v>802420093.58999979</v>
      </c>
      <c r="J48" s="2326">
        <f t="shared" si="1"/>
        <v>1152849.9971551721</v>
      </c>
      <c r="K48" s="2326">
        <f t="shared" si="2"/>
        <v>20870358.290912356</v>
      </c>
      <c r="L48" s="2324">
        <f t="shared" si="0"/>
        <v>781549735.29908741</v>
      </c>
      <c r="M48" s="2324"/>
    </row>
    <row r="49" spans="1:13">
      <c r="A49" s="2316"/>
      <c r="B49" s="2316">
        <v>3</v>
      </c>
      <c r="C49" s="2322">
        <v>990797.12000000011</v>
      </c>
      <c r="D49" s="2322">
        <v>-3043.53</v>
      </c>
      <c r="E49" s="2322"/>
      <c r="F49" s="2322"/>
      <c r="G49" s="2322">
        <v>987753.59000000008</v>
      </c>
      <c r="H49" s="2323"/>
      <c r="I49" s="2324">
        <f>SUM(C$11:C49)</f>
        <v>803410890.7099998</v>
      </c>
      <c r="J49" s="2326">
        <f t="shared" si="1"/>
        <v>1153614.212859195</v>
      </c>
      <c r="K49" s="2326">
        <f t="shared" si="2"/>
        <v>22023972.503771551</v>
      </c>
      <c r="L49" s="2324">
        <f t="shared" si="0"/>
        <v>781386918.20622826</v>
      </c>
      <c r="M49" s="2324"/>
    </row>
    <row r="50" spans="1:13">
      <c r="A50" s="2316"/>
      <c r="B50" s="2316">
        <v>4</v>
      </c>
      <c r="C50" s="2322">
        <v>970877.82</v>
      </c>
      <c r="D50" s="2322"/>
      <c r="E50" s="2322"/>
      <c r="F50" s="2322"/>
      <c r="G50" s="2322">
        <v>970877.82</v>
      </c>
      <c r="H50" s="2323"/>
      <c r="I50" s="2324">
        <f>SUM(C$11:C50)</f>
        <v>804381768.52999985</v>
      </c>
      <c r="J50" s="2326">
        <f t="shared" si="1"/>
        <v>1155023.4620977009</v>
      </c>
      <c r="K50" s="2326">
        <f t="shared" si="2"/>
        <v>23178995.965869252</v>
      </c>
      <c r="L50" s="2324">
        <f t="shared" si="0"/>
        <v>781202772.56413054</v>
      </c>
      <c r="M50" s="2324"/>
    </row>
    <row r="51" spans="1:13">
      <c r="A51" s="2316"/>
      <c r="B51" s="2316">
        <v>5</v>
      </c>
      <c r="C51" s="2322">
        <v>-384812.7</v>
      </c>
      <c r="D51" s="2322">
        <v>-89.579999999999472</v>
      </c>
      <c r="E51" s="2322"/>
      <c r="F51" s="2322"/>
      <c r="G51" s="2322">
        <v>-384902.28</v>
      </c>
      <c r="H51" s="2323"/>
      <c r="I51" s="2324">
        <f>SUM(C$11:C51)</f>
        <v>803996955.8299998</v>
      </c>
      <c r="J51" s="2326">
        <f t="shared" si="1"/>
        <v>1155444.4858908043</v>
      </c>
      <c r="K51" s="2326">
        <f t="shared" si="2"/>
        <v>24334440.451760057</v>
      </c>
      <c r="L51" s="2324">
        <f t="shared" si="0"/>
        <v>779662515.37823975</v>
      </c>
      <c r="M51" s="2324"/>
    </row>
    <row r="52" spans="1:13">
      <c r="A52" s="2316"/>
      <c r="B52" s="2316">
        <v>6</v>
      </c>
      <c r="C52" s="2322">
        <v>3221591.9999999991</v>
      </c>
      <c r="D52" s="2322"/>
      <c r="E52" s="2322">
        <v>6011.32</v>
      </c>
      <c r="F52" s="2322"/>
      <c r="G52" s="2322">
        <v>3227603.3199999989</v>
      </c>
      <c r="H52" s="2323"/>
      <c r="I52" s="2324">
        <f>SUM(C$11:C52)</f>
        <v>807218547.8299998</v>
      </c>
      <c r="J52" s="2326">
        <f t="shared" si="1"/>
        <v>1157482.4020545974</v>
      </c>
      <c r="K52" s="2326">
        <f t="shared" si="2"/>
        <v>25491922.853814654</v>
      </c>
      <c r="L52" s="2324">
        <f t="shared" si="0"/>
        <v>781726624.9761852</v>
      </c>
      <c r="M52" s="2324"/>
    </row>
    <row r="53" spans="1:13">
      <c r="A53" s="2316"/>
      <c r="B53" s="2316">
        <v>7</v>
      </c>
      <c r="C53" s="2322">
        <v>35015.020000000004</v>
      </c>
      <c r="D53" s="2322">
        <v>69653.289999999994</v>
      </c>
      <c r="E53" s="2322"/>
      <c r="F53" s="2322"/>
      <c r="G53" s="2322">
        <v>104668.31</v>
      </c>
      <c r="H53" s="2323"/>
      <c r="I53" s="2324">
        <f>SUM(C$11:C53)</f>
        <v>807253562.84999979</v>
      </c>
      <c r="J53" s="2326">
        <f t="shared" si="1"/>
        <v>1159821.9185919538</v>
      </c>
      <c r="K53" s="2326">
        <f t="shared" si="2"/>
        <v>26651744.772406608</v>
      </c>
      <c r="L53" s="2324">
        <f t="shared" si="0"/>
        <v>780601818.07759321</v>
      </c>
      <c r="M53" s="2324"/>
    </row>
    <row r="54" spans="1:13">
      <c r="A54" s="2316"/>
      <c r="B54" s="2316">
        <v>8</v>
      </c>
      <c r="C54" s="2322">
        <v>267305.88</v>
      </c>
      <c r="D54" s="2322">
        <v>-1446.0600000000002</v>
      </c>
      <c r="E54" s="2322">
        <v>65066.259999999995</v>
      </c>
      <c r="F54" s="2322"/>
      <c r="G54" s="2322">
        <v>330926.08000000002</v>
      </c>
      <c r="H54" s="2323"/>
      <c r="I54" s="2324">
        <f>SUM(C$11:C54)</f>
        <v>807520868.72999978</v>
      </c>
      <c r="J54" s="2326">
        <f t="shared" si="1"/>
        <v>1160039.1031465514</v>
      </c>
      <c r="K54" s="2326">
        <f t="shared" si="2"/>
        <v>27811783.875553161</v>
      </c>
      <c r="L54" s="2324">
        <f t="shared" si="0"/>
        <v>779709084.85444665</v>
      </c>
      <c r="M54" s="2324"/>
    </row>
    <row r="55" spans="1:13">
      <c r="A55" s="2316"/>
      <c r="B55" s="2316">
        <v>9</v>
      </c>
      <c r="C55" s="2322">
        <v>126156.16000000002</v>
      </c>
      <c r="D55" s="2322"/>
      <c r="E55" s="2322"/>
      <c r="F55" s="2322"/>
      <c r="G55" s="2322">
        <v>126156.16000000002</v>
      </c>
      <c r="H55" s="2323"/>
      <c r="I55" s="2324">
        <f>SUM(C$11:C55)</f>
        <v>807647024.88999975</v>
      </c>
      <c r="J55" s="2326">
        <f t="shared" si="1"/>
        <v>1160321.7626580456</v>
      </c>
      <c r="K55" s="2326">
        <f t="shared" si="2"/>
        <v>28972105.638211206</v>
      </c>
      <c r="L55" s="2324">
        <f t="shared" si="0"/>
        <v>778674919.2517885</v>
      </c>
      <c r="M55" s="2324"/>
    </row>
    <row r="56" spans="1:13">
      <c r="A56" s="2316"/>
      <c r="B56" s="2316">
        <v>10</v>
      </c>
      <c r="C56" s="2322">
        <v>376118.1999999999</v>
      </c>
      <c r="D56" s="2322"/>
      <c r="E56" s="2322"/>
      <c r="F56" s="2322"/>
      <c r="G56" s="2322">
        <v>376118.1999999999</v>
      </c>
      <c r="H56" s="2323"/>
      <c r="I56" s="2324">
        <f>SUM(C$11:C56)</f>
        <v>808023143.08999979</v>
      </c>
      <c r="J56" s="2326">
        <f t="shared" si="1"/>
        <v>1160682.5919396547</v>
      </c>
      <c r="K56" s="2326">
        <f t="shared" si="2"/>
        <v>30132788.23015086</v>
      </c>
      <c r="L56" s="2324">
        <f t="shared" si="0"/>
        <v>777890354.85984898</v>
      </c>
      <c r="M56" s="2324"/>
    </row>
    <row r="57" spans="1:13">
      <c r="A57" s="2316"/>
      <c r="B57" s="2316">
        <v>11</v>
      </c>
      <c r="C57" s="2322">
        <v>23435318.120000001</v>
      </c>
      <c r="D57" s="2322"/>
      <c r="E57" s="2322">
        <v>13477.84</v>
      </c>
      <c r="F57" s="2322">
        <v>1393.22</v>
      </c>
      <c r="G57" s="2322">
        <v>23450189.18</v>
      </c>
      <c r="H57" s="2323"/>
      <c r="I57" s="2324">
        <f>SUM(C$11:C57)</f>
        <v>831458461.2099998</v>
      </c>
      <c r="J57" s="2326">
        <f t="shared" si="1"/>
        <v>1177788.5088362065</v>
      </c>
      <c r="K57" s="2326">
        <f t="shared" si="2"/>
        <v>31310576.738987066</v>
      </c>
      <c r="L57" s="2324">
        <f t="shared" si="0"/>
        <v>800147884.47101271</v>
      </c>
      <c r="M57" s="2324"/>
    </row>
    <row r="58" spans="1:13">
      <c r="A58" s="2316"/>
      <c r="B58" s="2316">
        <v>12</v>
      </c>
      <c r="C58" s="2322">
        <v>28383674.890000004</v>
      </c>
      <c r="D58" s="2322">
        <v>3196.4700000000003</v>
      </c>
      <c r="E58" s="2322">
        <v>18110.599999999999</v>
      </c>
      <c r="F58" s="2322"/>
      <c r="G58" s="2322">
        <v>28404981.960000005</v>
      </c>
      <c r="H58" s="2323"/>
      <c r="I58" s="2325">
        <f>SUM(C$11:C58)</f>
        <v>859842136.09999979</v>
      </c>
      <c r="J58" s="2326">
        <f t="shared" si="1"/>
        <v>1215014.7969181032</v>
      </c>
      <c r="K58" s="2326">
        <f t="shared" si="2"/>
        <v>32525591.535905167</v>
      </c>
      <c r="L58" s="2324">
        <f t="shared" si="0"/>
        <v>827316544.56409466</v>
      </c>
      <c r="M58" s="2327">
        <f>SUM(L46:L58)/13</f>
        <v>785864996.70524514</v>
      </c>
    </row>
    <row r="59" spans="1:13">
      <c r="A59" s="2316">
        <v>2013</v>
      </c>
      <c r="B59" s="2316">
        <v>1</v>
      </c>
      <c r="C59" s="2328">
        <v>-59287.020000000513</v>
      </c>
      <c r="D59" s="2328"/>
      <c r="E59" s="2328">
        <v>-66494.39</v>
      </c>
      <c r="F59" s="2328"/>
      <c r="G59" s="2328">
        <v>-125781.41000000051</v>
      </c>
      <c r="H59" s="2323"/>
      <c r="I59" s="2324">
        <f>SUM(C$11:C59)</f>
        <v>859782849.0799998</v>
      </c>
      <c r="J59" s="2326">
        <f t="shared" si="1"/>
        <v>1235362.7767097696</v>
      </c>
      <c r="K59" s="2326">
        <f t="shared" si="2"/>
        <v>33760954.31261494</v>
      </c>
      <c r="L59" s="2324">
        <f t="shared" si="0"/>
        <v>826021894.76738489</v>
      </c>
      <c r="M59" s="2326"/>
    </row>
    <row r="60" spans="1:13">
      <c r="A60" s="2316"/>
      <c r="B60" s="2316">
        <v>2</v>
      </c>
      <c r="C60" s="2328">
        <v>185502.72999999992</v>
      </c>
      <c r="D60" s="2328"/>
      <c r="E60" s="2328">
        <v>3043.3399999999983</v>
      </c>
      <c r="F60" s="2328"/>
      <c r="G60" s="2328">
        <v>188546.06999999992</v>
      </c>
      <c r="H60" s="2323"/>
      <c r="I60" s="2324">
        <f>SUM(C$11:C60)</f>
        <v>859968351.80999982</v>
      </c>
      <c r="J60" s="2326">
        <f t="shared" si="1"/>
        <v>1235453.4489152296</v>
      </c>
      <c r="K60" s="2326">
        <f t="shared" si="2"/>
        <v>34996407.761530168</v>
      </c>
      <c r="L60" s="2324">
        <f t="shared" si="0"/>
        <v>824971944.04846966</v>
      </c>
      <c r="M60" s="2326"/>
    </row>
    <row r="61" spans="1:13">
      <c r="A61" s="2316"/>
      <c r="B61" s="2316">
        <v>3</v>
      </c>
      <c r="C61" s="2328">
        <v>2339450.0599999996</v>
      </c>
      <c r="D61" s="2328"/>
      <c r="E61" s="2328">
        <v>94425.87</v>
      </c>
      <c r="F61" s="2328"/>
      <c r="G61" s="2328">
        <v>2433875.9299999997</v>
      </c>
      <c r="H61" s="2323"/>
      <c r="I61" s="2324">
        <f>SUM(C$11:C61)</f>
        <v>862307801.86999977</v>
      </c>
      <c r="J61" s="2326">
        <f t="shared" si="1"/>
        <v>1237267.351781609</v>
      </c>
      <c r="K61" s="2326">
        <f t="shared" si="2"/>
        <v>36233675.113311775</v>
      </c>
      <c r="L61" s="2324">
        <f t="shared" si="0"/>
        <v>826074126.756688</v>
      </c>
      <c r="M61" s="2326"/>
    </row>
    <row r="62" spans="1:13">
      <c r="A62" s="2316"/>
      <c r="B62" s="2316">
        <v>4</v>
      </c>
      <c r="C62" s="2328">
        <v>61120.800000000032</v>
      </c>
      <c r="D62" s="2328"/>
      <c r="E62" s="2328">
        <v>11340.34</v>
      </c>
      <c r="F62" s="2328"/>
      <c r="G62" s="2328">
        <v>72461.140000000029</v>
      </c>
      <c r="H62" s="2323"/>
      <c r="I62" s="2324">
        <f>SUM(C$11:C62)</f>
        <v>862368922.66999972</v>
      </c>
      <c r="J62" s="2326">
        <f t="shared" si="1"/>
        <v>1238991.899813218</v>
      </c>
      <c r="K62" s="2326">
        <f t="shared" si="2"/>
        <v>37472667.013124995</v>
      </c>
      <c r="L62" s="2324">
        <f t="shared" si="0"/>
        <v>824896255.65687478</v>
      </c>
      <c r="M62" s="2326"/>
    </row>
    <row r="63" spans="1:13">
      <c r="A63" s="2316"/>
      <c r="B63" s="2316">
        <v>5</v>
      </c>
      <c r="C63" s="2328">
        <v>347498048.94999999</v>
      </c>
      <c r="D63" s="2328"/>
      <c r="E63" s="2328">
        <v>43707.21</v>
      </c>
      <c r="F63" s="2328"/>
      <c r="G63" s="2328">
        <v>347541756.15999997</v>
      </c>
      <c r="H63" s="2323"/>
      <c r="I63" s="2324">
        <f>SUM(C$11:C63)</f>
        <v>1209866971.6199996</v>
      </c>
      <c r="J63" s="2326">
        <f t="shared" si="1"/>
        <v>1488675.2114152294</v>
      </c>
      <c r="K63" s="2326">
        <f t="shared" si="2"/>
        <v>38961342.224540226</v>
      </c>
      <c r="L63" s="2324">
        <f t="shared" si="0"/>
        <v>1170905629.3954594</v>
      </c>
      <c r="M63" s="2326"/>
    </row>
    <row r="64" spans="1:13">
      <c r="A64" s="2316"/>
      <c r="B64" s="2316">
        <v>6</v>
      </c>
      <c r="C64" s="2328">
        <v>6595151.2699999893</v>
      </c>
      <c r="D64" s="2328"/>
      <c r="E64" s="2328">
        <v>-21113.75</v>
      </c>
      <c r="F64" s="2328"/>
      <c r="G64" s="2328">
        <v>6574037.5199999893</v>
      </c>
      <c r="H64" s="2323"/>
      <c r="I64" s="2324">
        <f>SUM(C$11:C64)</f>
        <v>1216462122.8899996</v>
      </c>
      <c r="J64" s="2326">
        <f t="shared" si="1"/>
        <v>1743052.51042385</v>
      </c>
      <c r="K64" s="2326">
        <f t="shared" si="2"/>
        <v>40704394.734964073</v>
      </c>
      <c r="L64" s="2324">
        <f t="shared" si="0"/>
        <v>1175757728.1550355</v>
      </c>
      <c r="M64" s="2326"/>
    </row>
    <row r="65" spans="1:13">
      <c r="A65" s="2316"/>
      <c r="B65" s="2316">
        <v>7</v>
      </c>
      <c r="C65" s="2328">
        <v>786452.25999999652</v>
      </c>
      <c r="D65" s="2328"/>
      <c r="E65" s="2328">
        <v>41107.699999999997</v>
      </c>
      <c r="F65" s="2328"/>
      <c r="G65" s="2328">
        <v>827559.95999999647</v>
      </c>
      <c r="H65" s="2323"/>
      <c r="I65" s="2324">
        <f>SUM(C$11:C65)</f>
        <v>1217248575.1499996</v>
      </c>
      <c r="J65" s="2326">
        <f t="shared" si="1"/>
        <v>1748355.3865229881</v>
      </c>
      <c r="K65" s="2326">
        <f t="shared" si="2"/>
        <v>42452750.121487059</v>
      </c>
      <c r="L65" s="2324">
        <f t="shared" si="0"/>
        <v>1174795825.0285125</v>
      </c>
      <c r="M65" s="2326"/>
    </row>
    <row r="66" spans="1:13">
      <c r="A66" s="2316"/>
      <c r="B66" s="2316">
        <v>8</v>
      </c>
      <c r="C66" s="2328">
        <v>557256.60999999475</v>
      </c>
      <c r="D66" s="2328"/>
      <c r="E66" s="2328">
        <v>2423.2399999999998</v>
      </c>
      <c r="F66" s="2328"/>
      <c r="G66" s="2328">
        <v>559679.84999999474</v>
      </c>
      <c r="H66" s="2323"/>
      <c r="I66" s="2324">
        <f>SUM(C$11:C66)</f>
        <v>1217805831.7599995</v>
      </c>
      <c r="J66" s="2326">
        <f t="shared" si="1"/>
        <v>1749320.6946192523</v>
      </c>
      <c r="K66" s="2326">
        <f t="shared" si="2"/>
        <v>44202070.816106312</v>
      </c>
      <c r="L66" s="2324">
        <f t="shared" si="0"/>
        <v>1173603760.9438932</v>
      </c>
      <c r="M66" s="2326"/>
    </row>
    <row r="67" spans="1:13">
      <c r="A67" s="2316"/>
      <c r="B67" s="2316">
        <v>9</v>
      </c>
      <c r="C67" s="2328">
        <v>479725.25999998843</v>
      </c>
      <c r="D67" s="2328"/>
      <c r="E67" s="2328">
        <v>9768.93</v>
      </c>
      <c r="F67" s="2328"/>
      <c r="G67" s="2328">
        <v>489494.18999998842</v>
      </c>
      <c r="H67" s="2323"/>
      <c r="I67" s="2324">
        <f>SUM(C$11:C67)</f>
        <v>1218285557.0199995</v>
      </c>
      <c r="J67" s="2326">
        <f t="shared" si="1"/>
        <v>1750065.6528591947</v>
      </c>
      <c r="K67" s="2326">
        <f t="shared" si="2"/>
        <v>45952136.468965508</v>
      </c>
      <c r="L67" s="2324">
        <f t="shared" si="0"/>
        <v>1172333420.551034</v>
      </c>
      <c r="M67" s="2326"/>
    </row>
    <row r="68" spans="1:13">
      <c r="A68" s="2316"/>
      <c r="B68" s="2316">
        <v>10</v>
      </c>
      <c r="C68" s="2328">
        <v>338600.24999999983</v>
      </c>
      <c r="D68" s="2328"/>
      <c r="E68" s="2328">
        <v>102339.83</v>
      </c>
      <c r="F68" s="2328"/>
      <c r="G68" s="2328">
        <v>440940.07999999984</v>
      </c>
      <c r="H68" s="2323"/>
      <c r="I68" s="2324">
        <f>SUM(C$11:C68)</f>
        <v>1218624157.2699995</v>
      </c>
      <c r="J68" s="2326">
        <f t="shared" si="1"/>
        <v>1750653.5303807463</v>
      </c>
      <c r="K68" s="2326">
        <f t="shared" si="2"/>
        <v>47702789.999346256</v>
      </c>
      <c r="L68" s="2324">
        <f t="shared" si="0"/>
        <v>1170921367.2706532</v>
      </c>
      <c r="M68" s="2326"/>
    </row>
    <row r="69" spans="1:13">
      <c r="A69" s="2316"/>
      <c r="B69" s="2316">
        <v>11</v>
      </c>
      <c r="C69" s="2328">
        <v>754740.09999999974</v>
      </c>
      <c r="D69" s="2328"/>
      <c r="E69" s="2328">
        <v>88.22</v>
      </c>
      <c r="F69" s="2328"/>
      <c r="G69" s="2328">
        <v>754828.31999999972</v>
      </c>
      <c r="H69" s="2323"/>
      <c r="I69" s="2324">
        <f>SUM(C$11:C69)</f>
        <v>1219378897.3699994</v>
      </c>
      <c r="J69" s="2326">
        <f t="shared" si="1"/>
        <v>1751438.976034482</v>
      </c>
      <c r="K69" s="2326">
        <f t="shared" si="2"/>
        <v>49454228.975380741</v>
      </c>
      <c r="L69" s="2324">
        <f t="shared" si="0"/>
        <v>1169924668.3946187</v>
      </c>
      <c r="M69" s="2326"/>
    </row>
    <row r="70" spans="1:13">
      <c r="A70" s="2316"/>
      <c r="B70" s="2316">
        <v>12</v>
      </c>
      <c r="C70" s="2328">
        <v>3132231.4299999997</v>
      </c>
      <c r="D70" s="2328"/>
      <c r="E70" s="2328">
        <v>503.53000000000003</v>
      </c>
      <c r="F70" s="2328"/>
      <c r="G70" s="2328">
        <v>3132734.9599999995</v>
      </c>
      <c r="H70" s="2323"/>
      <c r="I70" s="2325">
        <f>SUM(C$11:C70)</f>
        <v>1222511128.7999995</v>
      </c>
      <c r="J70" s="2326">
        <f t="shared" si="1"/>
        <v>1754231.340639367</v>
      </c>
      <c r="K70" s="2326">
        <f t="shared" si="2"/>
        <v>51208460.316020109</v>
      </c>
      <c r="L70" s="2324">
        <f t="shared" si="0"/>
        <v>1171302668.4839795</v>
      </c>
      <c r="M70" s="2327">
        <f>SUM(L58:L70)/13</f>
        <v>1039140448.7705153</v>
      </c>
    </row>
    <row r="71" spans="1:13" s="2371" customFormat="1">
      <c r="A71" s="2366">
        <v>2014</v>
      </c>
      <c r="B71" s="2367">
        <v>1</v>
      </c>
      <c r="C71" s="2328">
        <v>639665.49999999965</v>
      </c>
      <c r="D71" s="2328">
        <v>182774.96000000002</v>
      </c>
      <c r="E71" s="2328">
        <v>767.07</v>
      </c>
      <c r="F71" s="2328"/>
      <c r="G71" s="2328">
        <v>823207.52999999968</v>
      </c>
      <c r="H71" s="2332"/>
      <c r="I71" s="2368">
        <f>SUM(C$11:C71)</f>
        <v>1223150794.2999995</v>
      </c>
      <c r="J71" s="2369">
        <f t="shared" si="1"/>
        <v>1756941.0367097694</v>
      </c>
      <c r="K71" s="2369">
        <f t="shared" si="2"/>
        <v>52965401.352729879</v>
      </c>
      <c r="L71" s="2370">
        <f t="shared" si="0"/>
        <v>1170185392.9472697</v>
      </c>
      <c r="M71" s="2369"/>
    </row>
    <row r="72" spans="1:13" s="2371" customFormat="1">
      <c r="A72" s="2366"/>
      <c r="B72" s="2367">
        <v>2</v>
      </c>
      <c r="C72" s="2328">
        <v>92456.37</v>
      </c>
      <c r="D72" s="2328"/>
      <c r="E72" s="2328">
        <v>40.46</v>
      </c>
      <c r="F72" s="2328"/>
      <c r="G72" s="2328">
        <v>92496.83</v>
      </c>
      <c r="H72" s="2332"/>
      <c r="I72" s="2368">
        <f>SUM(C$11:C72)</f>
        <v>1223243250.6699994</v>
      </c>
      <c r="J72" s="2369">
        <f t="shared" si="1"/>
        <v>1757466.9863290223</v>
      </c>
      <c r="K72" s="2369">
        <f t="shared" si="2"/>
        <v>54722868.339058898</v>
      </c>
      <c r="L72" s="2370">
        <f t="shared" si="0"/>
        <v>1168520382.3309405</v>
      </c>
      <c r="M72" s="2369"/>
    </row>
    <row r="73" spans="1:13" s="2371" customFormat="1">
      <c r="A73" s="2366"/>
      <c r="B73" s="2367">
        <v>3</v>
      </c>
      <c r="C73" s="2328">
        <v>257303.03000000009</v>
      </c>
      <c r="D73" s="2328"/>
      <c r="E73" s="2328">
        <v>128.33000000000001</v>
      </c>
      <c r="F73" s="2328"/>
      <c r="G73" s="2328">
        <v>257431.36000000007</v>
      </c>
      <c r="H73" s="2332"/>
      <c r="I73" s="2368">
        <f>SUM(C$11:C73)</f>
        <v>1223500553.6999993</v>
      </c>
      <c r="J73" s="2369">
        <f t="shared" si="1"/>
        <v>1757718.2502658037</v>
      </c>
      <c r="K73" s="2369">
        <f t="shared" si="2"/>
        <v>56480586.589324705</v>
      </c>
      <c r="L73" s="2370">
        <f t="shared" si="0"/>
        <v>1167019967.1106746</v>
      </c>
      <c r="M73" s="2369"/>
    </row>
    <row r="74" spans="1:13" s="2371" customFormat="1">
      <c r="A74" s="2366"/>
      <c r="B74" s="2367">
        <v>4</v>
      </c>
      <c r="C74" s="2328">
        <v>2947367.6799999992</v>
      </c>
      <c r="D74" s="2328"/>
      <c r="E74" s="2328">
        <v>440.53999999999996</v>
      </c>
      <c r="F74" s="2328"/>
      <c r="G74" s="2328">
        <v>2947808.2199999993</v>
      </c>
      <c r="H74" s="2332"/>
      <c r="I74" s="2368">
        <f>SUM(C$11:C74)</f>
        <v>1226447921.3799994</v>
      </c>
      <c r="J74" s="2369">
        <f t="shared" si="1"/>
        <v>1760020.4562356311</v>
      </c>
      <c r="K74" s="2369">
        <f t="shared" si="2"/>
        <v>58240607.045560338</v>
      </c>
      <c r="L74" s="2370">
        <f t="shared" si="0"/>
        <v>1168207314.334439</v>
      </c>
      <c r="M74" s="2369"/>
    </row>
    <row r="75" spans="1:13" s="2371" customFormat="1">
      <c r="A75" s="2366"/>
      <c r="B75" s="2367">
        <v>5</v>
      </c>
      <c r="C75" s="2328">
        <v>122035.54000000002</v>
      </c>
      <c r="D75" s="2328"/>
      <c r="E75" s="2328">
        <v>42.37</v>
      </c>
      <c r="F75" s="2328"/>
      <c r="G75" s="2328">
        <v>122077.91000000002</v>
      </c>
      <c r="H75" s="2332"/>
      <c r="I75" s="2368">
        <f>SUM(C$11:C75)</f>
        <v>1226569956.9199994</v>
      </c>
      <c r="J75" s="2369">
        <f t="shared" si="1"/>
        <v>1762225.487284482</v>
      </c>
      <c r="K75" s="2369">
        <f t="shared" si="2"/>
        <v>60002832.532844819</v>
      </c>
      <c r="L75" s="2370">
        <f t="shared" si="0"/>
        <v>1166567124.3871546</v>
      </c>
      <c r="M75" s="2369"/>
    </row>
    <row r="76" spans="1:13" s="2371" customFormat="1">
      <c r="A76" s="2366"/>
      <c r="B76" s="2367">
        <v>6</v>
      </c>
      <c r="C76" s="2328">
        <v>284853.58000000007</v>
      </c>
      <c r="D76" s="2328">
        <v>576.34</v>
      </c>
      <c r="E76" s="2328">
        <v>5.53</v>
      </c>
      <c r="F76" s="2328"/>
      <c r="G76" s="2328">
        <v>285435.45000000007</v>
      </c>
      <c r="H76" s="2332"/>
      <c r="I76" s="2368">
        <f>SUM(C$11:C76)</f>
        <v>1226854810.4999993</v>
      </c>
      <c r="J76" s="2369">
        <f t="shared" si="1"/>
        <v>1762517.7926867807</v>
      </c>
      <c r="K76" s="2369">
        <f t="shared" si="2"/>
        <v>61765350.325531602</v>
      </c>
      <c r="L76" s="2370">
        <f t="shared" si="0"/>
        <v>1165089460.1744676</v>
      </c>
      <c r="M76" s="2369"/>
    </row>
    <row r="77" spans="1:13" s="2371" customFormat="1">
      <c r="A77" s="2366"/>
      <c r="B77" s="2367">
        <v>7</v>
      </c>
      <c r="C77" s="2328">
        <v>92267.080000000016</v>
      </c>
      <c r="D77" s="2328"/>
      <c r="E77" s="2328">
        <v>147.02000000000001</v>
      </c>
      <c r="F77" s="2328"/>
      <c r="G77" s="2328">
        <v>92414.10000000002</v>
      </c>
      <c r="H77" s="2332"/>
      <c r="I77" s="2368">
        <f>SUM(C$11:C77)</f>
        <v>1226947077.5799992</v>
      </c>
      <c r="J77" s="2369">
        <f t="shared" si="1"/>
        <v>1762788.7127011484</v>
      </c>
      <c r="K77" s="2369">
        <f t="shared" si="2"/>
        <v>63528139.038232751</v>
      </c>
      <c r="L77" s="2370">
        <f t="shared" si="0"/>
        <v>1163418938.5417664</v>
      </c>
      <c r="M77" s="2369"/>
    </row>
    <row r="78" spans="1:13" s="2371" customFormat="1">
      <c r="A78" s="2366"/>
      <c r="B78" s="2367">
        <v>8</v>
      </c>
      <c r="C78" s="2328">
        <v>18638.840000000004</v>
      </c>
      <c r="D78" s="2328"/>
      <c r="E78" s="2328">
        <v>21.47</v>
      </c>
      <c r="F78" s="2328"/>
      <c r="G78" s="2328">
        <v>18660.310000000005</v>
      </c>
      <c r="H78" s="2332"/>
      <c r="I78" s="2368">
        <f>SUM(C$11:C78)</f>
        <v>1226965716.4199991</v>
      </c>
      <c r="J78" s="2369">
        <f t="shared" si="1"/>
        <v>1762868.3864942517</v>
      </c>
      <c r="K78" s="2369">
        <f t="shared" si="2"/>
        <v>65291007.424727</v>
      </c>
      <c r="L78" s="2370">
        <f t="shared" si="0"/>
        <v>1161674708.9952722</v>
      </c>
      <c r="M78" s="2369"/>
    </row>
    <row r="79" spans="1:13" s="2371" customFormat="1">
      <c r="A79" s="2366"/>
      <c r="B79" s="2367">
        <v>9</v>
      </c>
      <c r="C79" s="2328">
        <v>-115736.94000000003</v>
      </c>
      <c r="D79" s="2328"/>
      <c r="E79" s="2328">
        <v>553.99</v>
      </c>
      <c r="F79" s="2328"/>
      <c r="G79" s="2328">
        <v>-115182.95000000003</v>
      </c>
      <c r="H79" s="2332"/>
      <c r="I79" s="2368">
        <f>SUM(C$11:C79)</f>
        <v>1226849979.4799991</v>
      </c>
      <c r="J79" s="2369">
        <f t="shared" si="1"/>
        <v>1762798.6321120679</v>
      </c>
      <c r="K79" s="2369">
        <f t="shared" si="2"/>
        <v>67053806.056839071</v>
      </c>
      <c r="L79" s="2370">
        <f t="shared" si="0"/>
        <v>1159796173.4231601</v>
      </c>
      <c r="M79" s="2369"/>
    </row>
    <row r="80" spans="1:13" s="2371" customFormat="1">
      <c r="A80" s="2366"/>
      <c r="B80" s="2367">
        <v>10</v>
      </c>
      <c r="C80" s="2328">
        <v>423269.07999999996</v>
      </c>
      <c r="D80" s="2328"/>
      <c r="E80" s="2328">
        <v>6.15</v>
      </c>
      <c r="F80" s="2328"/>
      <c r="G80" s="2328">
        <v>423275.23</v>
      </c>
      <c r="H80" s="2332"/>
      <c r="I80" s="2368">
        <f>SUM(C$11:C80)</f>
        <v>1227273248.559999</v>
      </c>
      <c r="J80" s="2369">
        <f t="shared" si="1"/>
        <v>1763019.5603735617</v>
      </c>
      <c r="K80" s="2369">
        <f t="shared" si="2"/>
        <v>68816825.617212638</v>
      </c>
      <c r="L80" s="2370">
        <f t="shared" si="0"/>
        <v>1158456422.9427865</v>
      </c>
      <c r="M80" s="2369"/>
    </row>
    <row r="81" spans="1:13" s="2371" customFormat="1">
      <c r="A81" s="2366"/>
      <c r="B81" s="2367">
        <v>11</v>
      </c>
      <c r="C81" s="2328">
        <v>282683.90000000002</v>
      </c>
      <c r="D81" s="2328">
        <v>1813531.28</v>
      </c>
      <c r="E81" s="2328">
        <v>21.26</v>
      </c>
      <c r="F81" s="2328"/>
      <c r="G81" s="2328">
        <v>2096236.44</v>
      </c>
      <c r="H81" s="2332"/>
      <c r="I81" s="2368">
        <f>SUM(C$11:C81)</f>
        <v>1227555932.4599991</v>
      </c>
      <c r="J81" s="2369">
        <f t="shared" si="1"/>
        <v>1763526.7105028722</v>
      </c>
      <c r="K81" s="2369">
        <f t="shared" si="2"/>
        <v>70580352.327715516</v>
      </c>
      <c r="L81" s="2370">
        <f t="shared" si="0"/>
        <v>1156975580.1322837</v>
      </c>
      <c r="M81" s="2369"/>
    </row>
    <row r="82" spans="1:13" s="2371" customFormat="1">
      <c r="A82" s="2366"/>
      <c r="B82" s="2367">
        <v>12</v>
      </c>
      <c r="C82" s="2328">
        <v>288801.48</v>
      </c>
      <c r="D82" s="2328">
        <v>4331.97</v>
      </c>
      <c r="E82" s="2328">
        <v>76811.7</v>
      </c>
      <c r="F82" s="2328"/>
      <c r="G82" s="2328">
        <v>369945.14999999997</v>
      </c>
      <c r="H82" s="2332"/>
      <c r="I82" s="2372">
        <f>SUM(C$11:C82)</f>
        <v>1227844733.9399991</v>
      </c>
      <c r="J82" s="2369">
        <f t="shared" si="1"/>
        <v>1763937.2603448264</v>
      </c>
      <c r="K82" s="2369">
        <f t="shared" si="2"/>
        <v>72344289.588060349</v>
      </c>
      <c r="L82" s="2370">
        <f t="shared" si="0"/>
        <v>1155500444.3519387</v>
      </c>
      <c r="M82" s="2373">
        <f>SUM(L70:L82)/13</f>
        <v>1164054967.550472</v>
      </c>
    </row>
    <row r="83" spans="1:13">
      <c r="A83" s="2329">
        <v>2015</v>
      </c>
      <c r="B83" s="2316">
        <v>1</v>
      </c>
      <c r="C83" s="2330">
        <v>101592.22999999995</v>
      </c>
      <c r="D83" s="2330">
        <v>190842.5</v>
      </c>
      <c r="E83" s="2330">
        <v>2374.87</v>
      </c>
      <c r="F83" s="2330"/>
      <c r="G83" s="2330">
        <v>294809.59999999998</v>
      </c>
      <c r="H83" s="2331"/>
      <c r="I83" s="2368">
        <f>SUM(C$11:C83)</f>
        <v>1227946326.1699991</v>
      </c>
      <c r="J83" s="2369">
        <f t="shared" ref="J83:J94" si="3">+C83*J$8*0.5+J$8*I82</f>
        <v>1764217.7155962631</v>
      </c>
      <c r="K83" s="2369">
        <f t="shared" ref="K83:K94" si="4">J83+K82</f>
        <v>74108507.303656608</v>
      </c>
      <c r="L83" s="2370">
        <f t="shared" ref="L83:L94" si="5">+I83-K83</f>
        <v>1153837818.8663425</v>
      </c>
      <c r="M83" s="2327"/>
    </row>
    <row r="84" spans="1:13">
      <c r="A84" s="2329"/>
      <c r="B84" s="2316">
        <v>2</v>
      </c>
      <c r="C84" s="2330">
        <v>262042.13999999998</v>
      </c>
      <c r="D84" s="2330">
        <v>28559.41</v>
      </c>
      <c r="E84" s="2330">
        <v>29091.260000000002</v>
      </c>
      <c r="F84" s="2330">
        <v>8182.88</v>
      </c>
      <c r="G84" s="2330">
        <v>327875.69</v>
      </c>
      <c r="H84" s="2331"/>
      <c r="I84" s="2368">
        <f>SUM(C$11:C84)</f>
        <v>1228208368.3099992</v>
      </c>
      <c r="J84" s="2369">
        <f t="shared" si="3"/>
        <v>1764478.9471839068</v>
      </c>
      <c r="K84" s="2369">
        <f t="shared" si="4"/>
        <v>75872986.250840515</v>
      </c>
      <c r="L84" s="2370">
        <f t="shared" si="5"/>
        <v>1152335382.0591588</v>
      </c>
      <c r="M84" s="2327"/>
    </row>
    <row r="85" spans="1:13">
      <c r="A85" s="2329"/>
      <c r="B85" s="2316">
        <v>3</v>
      </c>
      <c r="C85" s="2330">
        <v>56095.71</v>
      </c>
      <c r="D85" s="2330">
        <v>31274.29</v>
      </c>
      <c r="E85" s="2330">
        <v>4.24</v>
      </c>
      <c r="F85" s="2330"/>
      <c r="G85" s="2330">
        <v>87374.24</v>
      </c>
      <c r="H85" s="2331"/>
      <c r="I85" s="2368">
        <f>SUM(C$11:C85)</f>
        <v>1228264464.0199993</v>
      </c>
      <c r="J85" s="2369">
        <f t="shared" si="3"/>
        <v>1764707.4944899415</v>
      </c>
      <c r="K85" s="2369">
        <f t="shared" si="4"/>
        <v>77637693.745330453</v>
      </c>
      <c r="L85" s="2370">
        <f t="shared" si="5"/>
        <v>1150626770.2746687</v>
      </c>
      <c r="M85" s="2327"/>
    </row>
    <row r="86" spans="1:13">
      <c r="A86" s="2329"/>
      <c r="B86" s="2316">
        <v>4</v>
      </c>
      <c r="C86" s="2330">
        <v>32366</v>
      </c>
      <c r="D86" s="2330">
        <v>5086.76</v>
      </c>
      <c r="E86" s="2330">
        <v>-3.28</v>
      </c>
      <c r="F86" s="2330"/>
      <c r="G86" s="2330">
        <v>37449.480000000003</v>
      </c>
      <c r="H86" s="2331"/>
      <c r="I86" s="2368">
        <f>SUM(C$11:C86)</f>
        <v>1228296830.0199993</v>
      </c>
      <c r="J86" s="2369">
        <f t="shared" si="3"/>
        <v>1764771.0445689645</v>
      </c>
      <c r="K86" s="2369">
        <f t="shared" si="4"/>
        <v>79402464.789899424</v>
      </c>
      <c r="L86" s="2370">
        <f t="shared" si="5"/>
        <v>1148894365.2300999</v>
      </c>
      <c r="M86" s="2327"/>
    </row>
    <row r="87" spans="1:13">
      <c r="A87" s="2329"/>
      <c r="B87" s="2316">
        <v>5</v>
      </c>
      <c r="C87" s="2330">
        <v>331467191.00999999</v>
      </c>
      <c r="D87" s="2330">
        <v>5086.18</v>
      </c>
      <c r="E87" s="2330">
        <v>2201719.71</v>
      </c>
      <c r="F87" s="2330"/>
      <c r="G87" s="2330">
        <v>333673996.89999998</v>
      </c>
      <c r="H87" s="2331"/>
      <c r="I87" s="2368">
        <f>SUM(C$11:C87)</f>
        <v>1559764021.0299993</v>
      </c>
      <c r="J87" s="2369">
        <f t="shared" si="3"/>
        <v>2002917.2780531598</v>
      </c>
      <c r="K87" s="2369">
        <f t="shared" si="4"/>
        <v>81405382.067952588</v>
      </c>
      <c r="L87" s="2370">
        <f t="shared" si="5"/>
        <v>1478358638.9620466</v>
      </c>
      <c r="M87" s="2327"/>
    </row>
    <row r="88" spans="1:13">
      <c r="A88" s="2329"/>
      <c r="B88" s="2316">
        <v>6</v>
      </c>
      <c r="C88" s="2330">
        <v>1376123.2599999998</v>
      </c>
      <c r="D88" s="2330">
        <v>-30044.81</v>
      </c>
      <c r="E88" s="2330">
        <v>52642.070000000007</v>
      </c>
      <c r="F88" s="2330"/>
      <c r="G88" s="2330">
        <v>1398720.5199999998</v>
      </c>
      <c r="H88" s="2331"/>
      <c r="I88" s="2368">
        <f>SUM(C$11:C88)</f>
        <v>1561140144.2899992</v>
      </c>
      <c r="J88" s="2369">
        <f t="shared" si="3"/>
        <v>2242028.8543965509</v>
      </c>
      <c r="K88" s="2369">
        <f t="shared" si="4"/>
        <v>83647410.92234914</v>
      </c>
      <c r="L88" s="2370">
        <f t="shared" si="5"/>
        <v>1477492733.36765</v>
      </c>
      <c r="M88" s="2327"/>
    </row>
    <row r="89" spans="1:13">
      <c r="A89" s="2329"/>
      <c r="B89" s="2316">
        <v>7</v>
      </c>
      <c r="C89" s="2330">
        <v>879772.95000000007</v>
      </c>
      <c r="D89" s="2330">
        <v>5086.76</v>
      </c>
      <c r="E89" s="2330">
        <v>11627.740000000002</v>
      </c>
      <c r="F89" s="2330"/>
      <c r="G89" s="2330">
        <v>896487.45000000007</v>
      </c>
      <c r="H89" s="2331"/>
      <c r="I89" s="2368">
        <f>SUM(C$11:C89)</f>
        <v>1562019917.2399993</v>
      </c>
      <c r="J89" s="2369">
        <f t="shared" si="3"/>
        <v>2243649.4694899414</v>
      </c>
      <c r="K89" s="2369">
        <f t="shared" si="4"/>
        <v>85891060.391839087</v>
      </c>
      <c r="L89" s="2370">
        <f t="shared" si="5"/>
        <v>1476128856.8481603</v>
      </c>
      <c r="M89" s="2327"/>
    </row>
    <row r="90" spans="1:13">
      <c r="A90" s="2329"/>
      <c r="B90" s="2316">
        <v>8</v>
      </c>
      <c r="C90" s="2330">
        <v>823008.70000000007</v>
      </c>
      <c r="D90" s="2330">
        <v>-1.33</v>
      </c>
      <c r="E90" s="2330">
        <v>10505.689999999999</v>
      </c>
      <c r="F90" s="2330"/>
      <c r="G90" s="2330">
        <v>833513.06</v>
      </c>
      <c r="H90" s="2331"/>
      <c r="I90" s="2368">
        <f>SUM(C$11:C90)</f>
        <v>1562842925.9399993</v>
      </c>
      <c r="J90" s="2369">
        <f t="shared" si="3"/>
        <v>2244872.7321695392</v>
      </c>
      <c r="K90" s="2369">
        <f t="shared" si="4"/>
        <v>88135933.124008626</v>
      </c>
      <c r="L90" s="2370">
        <f t="shared" si="5"/>
        <v>1474706992.8159907</v>
      </c>
      <c r="M90" s="2327"/>
    </row>
    <row r="91" spans="1:13">
      <c r="A91" s="2329"/>
      <c r="B91" s="2316">
        <v>9</v>
      </c>
      <c r="C91" s="2330">
        <v>789098.23999996425</v>
      </c>
      <c r="D91" s="2330"/>
      <c r="E91" s="2330">
        <v>61992.14</v>
      </c>
      <c r="F91" s="2330"/>
      <c r="G91" s="2330">
        <v>851090.37999996427</v>
      </c>
      <c r="H91" s="2331"/>
      <c r="I91" s="2368">
        <f>SUM(C$11:C91)</f>
        <v>1563632024.1799994</v>
      </c>
      <c r="J91" s="2369">
        <f>+C91*J$8*0.5+J$8*I90</f>
        <v>2246030.8549712636</v>
      </c>
      <c r="K91" s="2369">
        <f t="shared" si="4"/>
        <v>90381963.978979886</v>
      </c>
      <c r="L91" s="2370">
        <f t="shared" si="5"/>
        <v>1473250060.2010195</v>
      </c>
      <c r="M91" s="2327"/>
    </row>
    <row r="92" spans="1:13">
      <c r="A92" s="2329"/>
      <c r="B92" s="2316">
        <v>10</v>
      </c>
      <c r="C92" s="2330">
        <v>757496.57999999984</v>
      </c>
      <c r="D92" s="2330">
        <v>0.46</v>
      </c>
      <c r="E92" s="2330">
        <v>-855.06999999999994</v>
      </c>
      <c r="F92" s="2330"/>
      <c r="G92" s="2330">
        <v>756641.96999999986</v>
      </c>
      <c r="H92" s="2331"/>
      <c r="I92" s="2368">
        <f>SUM(C$11:C92)</f>
        <v>1564389520.7599993</v>
      </c>
      <c r="J92" s="2369">
        <f t="shared" si="3"/>
        <v>2247141.9144683899</v>
      </c>
      <c r="K92" s="2369">
        <f t="shared" si="4"/>
        <v>92629105.893448278</v>
      </c>
      <c r="L92" s="2370">
        <f t="shared" si="5"/>
        <v>1471760414.8665509</v>
      </c>
      <c r="M92" s="2327"/>
    </row>
    <row r="93" spans="1:13">
      <c r="A93" s="2329"/>
      <c r="B93" s="2316">
        <v>11</v>
      </c>
      <c r="C93" s="2330">
        <v>159196.459999999</v>
      </c>
      <c r="D93" s="2330"/>
      <c r="E93" s="2330">
        <v>33407.71</v>
      </c>
      <c r="F93" s="2330"/>
      <c r="G93" s="2330">
        <v>192604.16999999899</v>
      </c>
      <c r="H93" s="2331"/>
      <c r="I93" s="2368">
        <f>SUM(C$11:C93)</f>
        <v>1564548717.2199993</v>
      </c>
      <c r="J93" s="2369">
        <f t="shared" si="3"/>
        <v>2247800.4583189646</v>
      </c>
      <c r="K93" s="2369">
        <f t="shared" si="4"/>
        <v>94876906.351767242</v>
      </c>
      <c r="L93" s="2370">
        <f t="shared" si="5"/>
        <v>1469671810.868232</v>
      </c>
      <c r="M93" s="2327"/>
    </row>
    <row r="94" spans="1:13">
      <c r="A94" s="2329"/>
      <c r="B94" s="2316">
        <v>12</v>
      </c>
      <c r="C94" s="2330">
        <v>2183127.1100000003</v>
      </c>
      <c r="D94" s="2330"/>
      <c r="E94" s="2330">
        <v>522.9</v>
      </c>
      <c r="F94" s="2330"/>
      <c r="G94" s="2330">
        <v>2183650.0100000002</v>
      </c>
      <c r="H94" s="2331"/>
      <c r="I94" s="2372">
        <f>SUM(C$11:C94)</f>
        <v>1566731844.3299992</v>
      </c>
      <c r="J94" s="2369">
        <f t="shared" si="3"/>
        <v>2249483.1620330452</v>
      </c>
      <c r="K94" s="2369">
        <f t="shared" si="4"/>
        <v>97126389.513800293</v>
      </c>
      <c r="L94" s="2370">
        <f t="shared" si="5"/>
        <v>1469605454.8161988</v>
      </c>
      <c r="M94" s="2373">
        <f>SUM(L82:L94)/13</f>
        <v>1350166903.3483121</v>
      </c>
    </row>
    <row r="95" spans="1:13">
      <c r="A95" s="2329">
        <v>2016</v>
      </c>
      <c r="B95" s="2316">
        <v>1</v>
      </c>
      <c r="C95" s="2332"/>
      <c r="D95" s="2332"/>
      <c r="E95" s="2332"/>
      <c r="F95" s="2332"/>
      <c r="G95" s="2332"/>
      <c r="H95" s="2331"/>
      <c r="I95" s="2333">
        <f>I94</f>
        <v>1566731844.3299992</v>
      </c>
      <c r="J95" s="2326">
        <f>+C95*J$8*0.5+J$8*I94</f>
        <v>2251051.5004741368</v>
      </c>
      <c r="K95" s="2326">
        <f>J95+K94</f>
        <v>99377441.014274433</v>
      </c>
      <c r="L95" s="2324">
        <f>+I95-K95</f>
        <v>1467354403.3157248</v>
      </c>
      <c r="M95" s="2331"/>
    </row>
    <row r="96" spans="1:13">
      <c r="A96" s="2331"/>
      <c r="B96" s="2316">
        <v>2</v>
      </c>
      <c r="C96" s="2332"/>
      <c r="D96" s="2332"/>
      <c r="E96" s="2332"/>
      <c r="F96" s="2332"/>
      <c r="G96" s="2332"/>
      <c r="H96" s="2331"/>
      <c r="I96" s="2333">
        <f t="shared" ref="I96:I106" si="6">I95</f>
        <v>1566731844.3299992</v>
      </c>
      <c r="J96" s="2326">
        <f t="shared" ref="J96:J106" si="7">+C96*J$8*0.5+J$8*I95</f>
        <v>2251051.5004741368</v>
      </c>
      <c r="K96" s="2326">
        <f t="shared" ref="K96:K106" si="8">J96+K95</f>
        <v>101628492.51474857</v>
      </c>
      <c r="L96" s="2324">
        <f t="shared" ref="L96:L106" si="9">+I96-K96</f>
        <v>1465103351.8152506</v>
      </c>
      <c r="M96" s="2331"/>
    </row>
    <row r="97" spans="1:13">
      <c r="A97" s="2331"/>
      <c r="B97" s="2316">
        <v>3</v>
      </c>
      <c r="C97" s="2332"/>
      <c r="D97" s="2332"/>
      <c r="E97" s="2332"/>
      <c r="F97" s="2332"/>
      <c r="G97" s="2332"/>
      <c r="H97" s="2331"/>
      <c r="I97" s="2333">
        <f t="shared" si="6"/>
        <v>1566731844.3299992</v>
      </c>
      <c r="J97" s="2326">
        <f t="shared" si="7"/>
        <v>2251051.5004741368</v>
      </c>
      <c r="K97" s="2326">
        <f t="shared" si="8"/>
        <v>103879544.01522271</v>
      </c>
      <c r="L97" s="2324">
        <f t="shared" si="9"/>
        <v>1462852300.3147764</v>
      </c>
      <c r="M97" s="2331"/>
    </row>
    <row r="98" spans="1:13">
      <c r="A98" s="2331"/>
      <c r="B98" s="2316">
        <v>4</v>
      </c>
      <c r="C98" s="2332"/>
      <c r="D98" s="2332"/>
      <c r="E98" s="2332"/>
      <c r="F98" s="2332"/>
      <c r="G98" s="2332"/>
      <c r="H98" s="2331"/>
      <c r="I98" s="2333">
        <f t="shared" si="6"/>
        <v>1566731844.3299992</v>
      </c>
      <c r="J98" s="2326">
        <f t="shared" si="7"/>
        <v>2251051.5004741368</v>
      </c>
      <c r="K98" s="2326">
        <f t="shared" si="8"/>
        <v>106130595.51569685</v>
      </c>
      <c r="L98" s="2324">
        <f t="shared" si="9"/>
        <v>1460601248.8143024</v>
      </c>
      <c r="M98" s="2331"/>
    </row>
    <row r="99" spans="1:13">
      <c r="A99" s="2331"/>
      <c r="B99" s="2316">
        <v>5</v>
      </c>
      <c r="C99" s="2332"/>
      <c r="D99" s="2332"/>
      <c r="E99" s="2332"/>
      <c r="F99" s="2332"/>
      <c r="G99" s="2332"/>
      <c r="H99" s="2331"/>
      <c r="I99" s="2333">
        <f t="shared" si="6"/>
        <v>1566731844.3299992</v>
      </c>
      <c r="J99" s="2326">
        <f t="shared" si="7"/>
        <v>2251051.5004741368</v>
      </c>
      <c r="K99" s="2326">
        <f t="shared" si="8"/>
        <v>108381647.01617099</v>
      </c>
      <c r="L99" s="2324">
        <f t="shared" si="9"/>
        <v>1458350197.3138282</v>
      </c>
      <c r="M99" s="2331"/>
    </row>
    <row r="100" spans="1:13">
      <c r="A100" s="2331"/>
      <c r="B100" s="2316">
        <v>6</v>
      </c>
      <c r="C100" s="2332"/>
      <c r="D100" s="2332"/>
      <c r="E100" s="2332"/>
      <c r="F100" s="2332"/>
      <c r="G100" s="2332"/>
      <c r="H100" s="2331"/>
      <c r="I100" s="2333">
        <f t="shared" si="6"/>
        <v>1566731844.3299992</v>
      </c>
      <c r="J100" s="2326">
        <f t="shared" si="7"/>
        <v>2251051.5004741368</v>
      </c>
      <c r="K100" s="2326">
        <f t="shared" si="8"/>
        <v>110632698.51664513</v>
      </c>
      <c r="L100" s="2324">
        <f t="shared" si="9"/>
        <v>1456099145.813354</v>
      </c>
      <c r="M100" s="2331"/>
    </row>
    <row r="101" spans="1:13">
      <c r="A101" s="2331"/>
      <c r="B101" s="2316">
        <v>7</v>
      </c>
      <c r="C101" s="2332"/>
      <c r="D101" s="2332"/>
      <c r="E101" s="2332"/>
      <c r="F101" s="2332"/>
      <c r="G101" s="2332"/>
      <c r="H101" s="2331"/>
      <c r="I101" s="2333">
        <f t="shared" si="6"/>
        <v>1566731844.3299992</v>
      </c>
      <c r="J101" s="2326">
        <f t="shared" si="7"/>
        <v>2251051.5004741368</v>
      </c>
      <c r="K101" s="2326">
        <f t="shared" si="8"/>
        <v>112883750.01711927</v>
      </c>
      <c r="L101" s="2324">
        <f t="shared" si="9"/>
        <v>1453848094.31288</v>
      </c>
      <c r="M101" s="2331"/>
    </row>
    <row r="102" spans="1:13">
      <c r="A102" s="2331"/>
      <c r="B102" s="2316">
        <v>8</v>
      </c>
      <c r="C102" s="2332"/>
      <c r="D102" s="2332"/>
      <c r="E102" s="2332"/>
      <c r="F102" s="2332"/>
      <c r="G102" s="2332"/>
      <c r="H102" s="2331"/>
      <c r="I102" s="2333">
        <f t="shared" si="6"/>
        <v>1566731844.3299992</v>
      </c>
      <c r="J102" s="2326">
        <f t="shared" si="7"/>
        <v>2251051.5004741368</v>
      </c>
      <c r="K102" s="2326">
        <f t="shared" si="8"/>
        <v>115134801.51759341</v>
      </c>
      <c r="L102" s="2324">
        <f t="shared" si="9"/>
        <v>1451597042.8124058</v>
      </c>
      <c r="M102" s="2331"/>
    </row>
    <row r="103" spans="1:13">
      <c r="A103" s="2331"/>
      <c r="B103" s="2316">
        <v>9</v>
      </c>
      <c r="C103" s="2332"/>
      <c r="D103" s="2332"/>
      <c r="E103" s="2332"/>
      <c r="F103" s="2332"/>
      <c r="G103" s="2332"/>
      <c r="H103" s="2331"/>
      <c r="I103" s="2333">
        <f t="shared" si="6"/>
        <v>1566731844.3299992</v>
      </c>
      <c r="J103" s="2326">
        <f t="shared" si="7"/>
        <v>2251051.5004741368</v>
      </c>
      <c r="K103" s="2326">
        <f t="shared" si="8"/>
        <v>117385853.01806755</v>
      </c>
      <c r="L103" s="2324">
        <f t="shared" si="9"/>
        <v>1449345991.3119316</v>
      </c>
      <c r="M103" s="2331"/>
    </row>
    <row r="104" spans="1:13">
      <c r="A104" s="2331"/>
      <c r="B104" s="2316">
        <v>10</v>
      </c>
      <c r="C104" s="2332"/>
      <c r="D104" s="2332"/>
      <c r="E104" s="2332"/>
      <c r="F104" s="2332"/>
      <c r="G104" s="2332"/>
      <c r="H104" s="2331"/>
      <c r="I104" s="2333">
        <f t="shared" si="6"/>
        <v>1566731844.3299992</v>
      </c>
      <c r="J104" s="2326">
        <f t="shared" si="7"/>
        <v>2251051.5004741368</v>
      </c>
      <c r="K104" s="2326">
        <f t="shared" si="8"/>
        <v>119636904.51854169</v>
      </c>
      <c r="L104" s="2324">
        <f t="shared" si="9"/>
        <v>1447094939.8114576</v>
      </c>
      <c r="M104" s="2331"/>
    </row>
    <row r="105" spans="1:13">
      <c r="A105" s="2331"/>
      <c r="B105" s="2316">
        <v>11</v>
      </c>
      <c r="C105" s="2332"/>
      <c r="D105" s="2332"/>
      <c r="E105" s="2332"/>
      <c r="F105" s="2332"/>
      <c r="G105" s="2332"/>
      <c r="H105" s="2331"/>
      <c r="I105" s="2333">
        <f t="shared" si="6"/>
        <v>1566731844.3299992</v>
      </c>
      <c r="J105" s="2326">
        <f t="shared" si="7"/>
        <v>2251051.5004741368</v>
      </c>
      <c r="K105" s="2326">
        <f t="shared" si="8"/>
        <v>121887956.01901583</v>
      </c>
      <c r="L105" s="2324">
        <f t="shared" si="9"/>
        <v>1444843888.3109834</v>
      </c>
      <c r="M105" s="2331"/>
    </row>
    <row r="106" spans="1:13">
      <c r="A106" s="2331"/>
      <c r="B106" s="2316">
        <v>12</v>
      </c>
      <c r="C106" s="2332"/>
      <c r="D106" s="2332"/>
      <c r="E106" s="2332"/>
      <c r="F106" s="2332"/>
      <c r="G106" s="2332"/>
      <c r="H106" s="2331"/>
      <c r="I106" s="2333">
        <f t="shared" si="6"/>
        <v>1566731844.3299992</v>
      </c>
      <c r="J106" s="2326">
        <f t="shared" si="7"/>
        <v>2251051.5004741368</v>
      </c>
      <c r="K106" s="2326">
        <f t="shared" si="8"/>
        <v>124139007.51948997</v>
      </c>
      <c r="L106" s="2324">
        <f t="shared" si="9"/>
        <v>1442592836.8105092</v>
      </c>
      <c r="M106" s="2327">
        <f>SUM(L94:L106)/13</f>
        <v>1456099145.813354</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7"/>
  <sheetViews>
    <sheetView workbookViewId="0">
      <selection activeCell="G59" sqref="G59"/>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605" t="s">
        <v>1956</v>
      </c>
      <c r="B1" s="2606"/>
      <c r="C1" s="2606"/>
      <c r="D1" s="2606"/>
      <c r="E1" s="2606"/>
      <c r="F1" s="2606"/>
      <c r="G1" s="2606"/>
      <c r="H1" s="2606"/>
      <c r="I1" s="2606"/>
      <c r="J1" s="2607"/>
    </row>
    <row r="2" spans="1:10">
      <c r="C2"/>
      <c r="F2" s="462"/>
      <c r="I2" s="462"/>
    </row>
    <row r="3" spans="1:10">
      <c r="C3"/>
      <c r="F3" s="462"/>
      <c r="I3" s="462"/>
    </row>
    <row r="4" spans="1:10" ht="15.75" thickBot="1">
      <c r="A4" s="1090" t="s">
        <v>1146</v>
      </c>
      <c r="C4"/>
      <c r="F4" s="462"/>
      <c r="I4" s="462"/>
    </row>
    <row r="5" spans="1:10" s="462" customFormat="1" ht="26.25" thickBot="1">
      <c r="A5" s="1114" t="s">
        <v>30</v>
      </c>
      <c r="B5" s="1217" t="s">
        <v>1141</v>
      </c>
      <c r="C5" s="1217" t="s">
        <v>1144</v>
      </c>
      <c r="D5" s="1107"/>
      <c r="E5" s="1107" t="s">
        <v>1164</v>
      </c>
      <c r="F5" s="1107" t="s">
        <v>26</v>
      </c>
      <c r="G5" s="1114" t="s">
        <v>1142</v>
      </c>
      <c r="H5" s="1107" t="s">
        <v>1147</v>
      </c>
      <c r="I5" s="1114" t="s">
        <v>888</v>
      </c>
      <c r="J5" s="1107" t="s">
        <v>304</v>
      </c>
    </row>
    <row r="6" spans="1:10" s="462" customFormat="1">
      <c r="A6" s="967"/>
    </row>
    <row r="7" spans="1:10">
      <c r="A7" s="333">
        <v>1</v>
      </c>
      <c r="B7" s="276" t="s">
        <v>382</v>
      </c>
      <c r="C7" s="1089" t="str">
        <f ca="1">OFFSET(INDIRECT(G7),0,-5)</f>
        <v>Preferred Cost</v>
      </c>
      <c r="D7" s="1104"/>
      <c r="E7" s="1087">
        <v>9.8000000000000004E-2</v>
      </c>
      <c r="F7" s="1086" t="s">
        <v>1143</v>
      </c>
      <c r="G7" s="1093" t="s">
        <v>1197</v>
      </c>
      <c r="H7" s="1092" t="str">
        <f ca="1">"Line "&amp;OFFSET(INDIRECT(G7),0,-7)</f>
        <v>Line 121</v>
      </c>
      <c r="I7" s="1120" t="s">
        <v>335</v>
      </c>
      <c r="J7" s="1094" t="s">
        <v>1165</v>
      </c>
    </row>
    <row r="8" spans="1:10" s="462" customFormat="1">
      <c r="A8" s="333">
        <f>A7+1</f>
        <v>2</v>
      </c>
      <c r="B8" s="334" t="s">
        <v>1145</v>
      </c>
      <c r="C8" s="1089" t="str">
        <f>'Att 7 - Trans Enhance Charge'!$C$23</f>
        <v>Increased ROE (basis points)</v>
      </c>
      <c r="D8" s="1103"/>
      <c r="E8" s="1088">
        <v>50</v>
      </c>
      <c r="F8" s="1086" t="s">
        <v>1143</v>
      </c>
      <c r="G8" s="2226" t="s">
        <v>1793</v>
      </c>
      <c r="H8" s="1095" t="str">
        <f>"Row "&amp;ROW('Att 7 - Trans Enhance Charge'!C23)</f>
        <v>Row 23</v>
      </c>
      <c r="I8" s="1120" t="s">
        <v>1198</v>
      </c>
      <c r="J8" s="1094" t="s">
        <v>1821</v>
      </c>
    </row>
    <row r="9" spans="1:10" s="1697" customFormat="1" ht="38.25">
      <c r="A9" s="2287">
        <f>A8+1</f>
        <v>3</v>
      </c>
      <c r="B9" s="1828" t="s">
        <v>962</v>
      </c>
      <c r="C9" s="2288" t="str">
        <f>'Att 3 - Revenue Credits'!B41</f>
        <v>Common pole location fixed annual revenue credit</v>
      </c>
      <c r="D9" s="2289"/>
      <c r="E9" s="2290">
        <f>12*46314</f>
        <v>555768</v>
      </c>
      <c r="F9" s="2291" t="s">
        <v>1143</v>
      </c>
      <c r="G9" s="2292" t="s">
        <v>1792</v>
      </c>
      <c r="H9" s="2293" t="str">
        <f>"Row "&amp;ROW('Att 3 - Revenue Credits'!E41)</f>
        <v>Row 41</v>
      </c>
      <c r="I9" s="2294" t="s">
        <v>1180</v>
      </c>
      <c r="J9" s="2295" t="s">
        <v>1940</v>
      </c>
    </row>
    <row r="10" spans="1:10" s="462" customFormat="1">
      <c r="A10" s="2221">
        <v>4</v>
      </c>
      <c r="B10" s="2216" t="s">
        <v>1789</v>
      </c>
      <c r="C10" s="1089" t="str">
        <f ca="1">OFFSET(INDIRECT(G10),0,-5)</f>
        <v>1/8th Rule</v>
      </c>
      <c r="D10" s="2222"/>
      <c r="E10" s="2223">
        <v>0</v>
      </c>
      <c r="F10" s="2221" t="s">
        <v>1143</v>
      </c>
      <c r="G10" s="2218" t="s">
        <v>1790</v>
      </c>
      <c r="H10" s="2224" t="str">
        <f ca="1">"Line "&amp;OFFSET(INDIRECT(G10),0,-7)</f>
        <v>Line 48</v>
      </c>
      <c r="I10" s="2198" t="s">
        <v>335</v>
      </c>
      <c r="J10" s="2225" t="s">
        <v>1791</v>
      </c>
    </row>
    <row r="11" spans="1:10" s="462" customFormat="1"/>
    <row r="12" spans="1:10">
      <c r="C12"/>
      <c r="F12" s="462"/>
      <c r="I12" s="462"/>
    </row>
    <row r="13" spans="1:10" ht="15.75" thickBot="1">
      <c r="A13" s="1091" t="s">
        <v>688</v>
      </c>
      <c r="C13"/>
      <c r="F13" s="462"/>
      <c r="I13" s="462"/>
    </row>
    <row r="14" spans="1:10" ht="25.5" customHeight="1" thickBot="1">
      <c r="A14" s="1114" t="s">
        <v>30</v>
      </c>
      <c r="B14" s="1217" t="s">
        <v>1141</v>
      </c>
      <c r="C14" s="1217" t="s">
        <v>1144</v>
      </c>
      <c r="D14" s="1114" t="str">
        <f>data_year-1&amp;" year-end balance"</f>
        <v>2014 year-end balance</v>
      </c>
      <c r="E14" s="1114" t="str">
        <f>data_year&amp;" year-end balance"</f>
        <v>2015 year-end balance</v>
      </c>
      <c r="F14" s="1107" t="s">
        <v>1140</v>
      </c>
      <c r="G14" s="1114" t="s">
        <v>1142</v>
      </c>
      <c r="H14" s="1114" t="s">
        <v>1177</v>
      </c>
      <c r="I14" s="1114" t="s">
        <v>1178</v>
      </c>
      <c r="J14" s="1114" t="s">
        <v>304</v>
      </c>
    </row>
    <row r="15" spans="1:10" s="462" customFormat="1" ht="13.5" thickBot="1">
      <c r="A15" s="2188">
        <v>0</v>
      </c>
      <c r="B15" s="2187" t="s">
        <v>1786</v>
      </c>
      <c r="C15" s="2192" t="s">
        <v>1746</v>
      </c>
      <c r="D15" s="2189" t="s">
        <v>1149</v>
      </c>
      <c r="E15" s="2189" t="s">
        <v>1138</v>
      </c>
      <c r="F15" s="2189" t="s">
        <v>1137</v>
      </c>
      <c r="G15" s="2189" t="s">
        <v>1139</v>
      </c>
      <c r="H15" s="2301" t="s">
        <v>1148</v>
      </c>
      <c r="I15" s="251"/>
      <c r="J15" s="1085"/>
    </row>
    <row r="16" spans="1:10" s="462" customFormat="1">
      <c r="A16" s="274">
        <f>A15+1</f>
        <v>1</v>
      </c>
      <c r="B16" s="1693" t="str">
        <f>'Att 2 - Other Taxes'!$B$44</f>
        <v>Total Other Taxes</v>
      </c>
      <c r="C16" s="275" t="str">
        <f>INDEX(FF1_INPUT,MATCH($F16,INDEX(FF1_INPUT,,6),0),MATCH(C$15,FF1_INPUT_columns,0))</f>
        <v>FERC 408.1  - Taxes Other than Income</v>
      </c>
      <c r="D16" s="1228">
        <f>INDEX(FF1_INPUT,MATCH($F16,INDEX(FF1_INPUT,,6),0),MATCH(data_year-1,FF1_INPUT_columns,0))</f>
        <v>171415396</v>
      </c>
      <c r="E16" s="1228">
        <f>INDEX(FF1_INPUT,MATCH($F16,INDEX(FF1_INPUT,,6),0),MATCH(data_year,FF1_INPUT_columns,0))</f>
        <v>185302308</v>
      </c>
      <c r="F16" s="1229" t="s">
        <v>1199</v>
      </c>
      <c r="G16" s="1230" t="s">
        <v>1747</v>
      </c>
      <c r="H16" s="2302">
        <f ca="1">(INDIRECT(RIGHT(G16,LEN(G16)-1))-E16)</f>
        <v>0</v>
      </c>
      <c r="I16" s="1231" t="s">
        <v>1200</v>
      </c>
      <c r="J16" s="1232" t="s">
        <v>1201</v>
      </c>
    </row>
    <row r="17" spans="1:10" s="462" customFormat="1">
      <c r="A17" s="1220">
        <f>A16+1</f>
        <v>2</v>
      </c>
      <c r="B17" s="1233" t="str">
        <f>'Att 5 - Cost Support'!C159</f>
        <v>Utility Investment Tax Credit Adj. - Net (411.4)</v>
      </c>
      <c r="C17" s="275" t="str">
        <f>INDEX(FF1_INPUT,MATCH($F17,INDEX(FF1_INPUT,,6),0),MATCH(C$15,FF1_INPUT_columns,0))</f>
        <v>FERC 411.4 - Net ITC adjustment</v>
      </c>
      <c r="D17" s="1223">
        <f>INDEX(FF1_INPUT,MATCH($F17,INDEX(FF1_INPUT,,6),0),MATCH(data_year-1,FF1_INPUT_columns,0))</f>
        <v>-5019198</v>
      </c>
      <c r="E17" s="1223">
        <f>INDEX(FF1_INPUT,MATCH($F17,INDEX(FF1_INPUT,,6),0),MATCH(data_year,FF1_INPUT_columns,0))</f>
        <v>-4756408</v>
      </c>
      <c r="F17" s="1224" t="s">
        <v>409</v>
      </c>
      <c r="G17" s="1225" t="s">
        <v>1748</v>
      </c>
      <c r="H17" s="2303">
        <f ca="1">(INDIRECT(RIGHT(G17,LEN(G17)-1))-E17)</f>
        <v>0</v>
      </c>
      <c r="I17" s="1226" t="s">
        <v>1161</v>
      </c>
      <c r="J17" s="1227"/>
    </row>
    <row r="18" spans="1:10" s="462" customFormat="1">
      <c r="A18" s="2194">
        <f t="shared" ref="A18:A82" si="0">A17+1</f>
        <v>3</v>
      </c>
      <c r="B18" s="2195" t="str">
        <f>'Att 10 - Acc Amort of PIS'!D13</f>
        <v>Attachment 5 input: Total Accumulated Amortization</v>
      </c>
      <c r="C18" s="275" t="str">
        <f>INDEX(FF1_INPUT,MATCH($F18,INDEX(FF1_INPUT,,6),0),MATCH(C$15,FF1_INPUT_columns,0))</f>
        <v xml:space="preserve"> Amort of Other Utility Plant</v>
      </c>
      <c r="D18" s="1223">
        <f>INDEX(FF1_INPUT,MATCH($F18,INDEX(FF1_INPUT,,6),0),MATCH(data_year-1,FF1_INPUT_columns,0))</f>
        <v>555584757</v>
      </c>
      <c r="E18" s="1223">
        <f>INDEX(FF1_INPUT,MATCH($F18,INDEX(FF1_INPUT,,6),0),MATCH(data_year,FF1_INPUT_columns,0))</f>
        <v>559800280</v>
      </c>
      <c r="F18" s="2196" t="s">
        <v>1413</v>
      </c>
      <c r="G18" s="2197" t="s">
        <v>1937</v>
      </c>
      <c r="H18" s="2304">
        <f ca="1">(INDIRECT(RIGHT(G18,LEN(G18)-1))--E18)</f>
        <v>0.36000001430511475</v>
      </c>
      <c r="I18" s="2198" t="s">
        <v>1787</v>
      </c>
      <c r="J18" s="2199" t="s">
        <v>1788</v>
      </c>
    </row>
    <row r="19" spans="1:10" s="462" customFormat="1">
      <c r="A19" s="1220">
        <f t="shared" si="0"/>
        <v>4</v>
      </c>
      <c r="B19" s="1234" t="s">
        <v>9</v>
      </c>
      <c r="C19" s="275" t="str">
        <f>INDEX(FF1_INPUT,MATCH($F19,INDEX(FF1_INPUT,,6),0),MATCH(C$15,FF1_INPUT_columns,0))</f>
        <v>Electric plant held for future use</v>
      </c>
      <c r="D19" s="1105">
        <f>INDEX(FF1_INPUT,MATCH($F19,INDEX(FF1_INPUT,,6),0),MATCH(data_year-1,FF1_INPUT_columns,0))</f>
        <v>23319217</v>
      </c>
      <c r="E19" s="1223">
        <f>INDEX(FF1_INPUT,MATCH($F19,INDEX(FF1_INPUT,,6),0),MATCH(data_year,FF1_INPUT_columns,0))</f>
        <v>23319217</v>
      </c>
      <c r="F19" s="1224" t="s">
        <v>332</v>
      </c>
      <c r="G19" s="1225" t="s">
        <v>2134</v>
      </c>
      <c r="H19" s="2303">
        <f ca="1">(INDIRECT(RIGHT(G19,LEN(G19)-1))-E19)</f>
        <v>0</v>
      </c>
      <c r="I19" s="1226" t="s">
        <v>1172</v>
      </c>
      <c r="J19" s="1227" t="s">
        <v>1163</v>
      </c>
    </row>
    <row r="20" spans="1:10" s="462" customFormat="1">
      <c r="A20" s="1587">
        <f t="shared" si="0"/>
        <v>5</v>
      </c>
      <c r="B20" s="1588"/>
      <c r="C20" s="275"/>
      <c r="D20" s="2208"/>
      <c r="E20" s="2209"/>
      <c r="F20" s="2210"/>
      <c r="G20" s="2202"/>
      <c r="H20" s="2305"/>
      <c r="I20" s="2203"/>
      <c r="J20" s="2204"/>
    </row>
    <row r="21" spans="1:10" s="462" customFormat="1">
      <c r="A21" s="1587">
        <f t="shared" si="0"/>
        <v>6</v>
      </c>
      <c r="B21" s="275" t="str">
        <f>'Att 5 - Cost Support'!$C$41</f>
        <v>Intangible Plant In Service</v>
      </c>
      <c r="C21" s="275" t="str">
        <f t="shared" ref="C21:C31" si="1">INDEX(FF1_INPUT,MATCH($F21,INDEX(FF1_INPUT,,6),0),MATCH(C$15,FF1_INPUT_columns,0))</f>
        <v>FERC 303 - Misc intangible plant (BoY)</v>
      </c>
      <c r="D21" s="1105">
        <f t="shared" ref="D21:D31" si="2">INDEX(FF1_INPUT,MATCH($F21,INDEX(FF1_INPUT,,6),0),MATCH(data_year-1,FF1_INPUT_columns,0))</f>
        <v>857285828</v>
      </c>
      <c r="E21" s="1223">
        <f t="shared" ref="E21:E31" si="3">INDEX(FF1_INPUT,MATCH($F21,INDEX(FF1_INPUT,,6),0),MATCH(data_year,FF1_INPUT_columns,0))</f>
        <v>880195125</v>
      </c>
      <c r="F21" s="1589" t="s">
        <v>1404</v>
      </c>
      <c r="G21" s="1590" t="s">
        <v>1755</v>
      </c>
      <c r="H21" s="2306">
        <f ca="1">(INDIRECT(RIGHT(G21,LEN(G21)-1))-E21)</f>
        <v>-0.93000006675720215</v>
      </c>
      <c r="I21" s="1694" t="s">
        <v>1473</v>
      </c>
      <c r="J21" s="1592" t="s">
        <v>1798</v>
      </c>
    </row>
    <row r="22" spans="1:10" s="462" customFormat="1">
      <c r="A22" s="1587">
        <f t="shared" si="0"/>
        <v>7</v>
      </c>
      <c r="B22" s="275" t="str">
        <f>'Att 5 - Cost Support'!$C$41</f>
        <v>Intangible Plant In Service</v>
      </c>
      <c r="C22" s="275" t="str">
        <f t="shared" si="1"/>
        <v>FERC 303 - Misc intangible plant (EoY)</v>
      </c>
      <c r="D22" s="1105">
        <f t="shared" si="2"/>
        <v>880195125</v>
      </c>
      <c r="E22" s="1223">
        <f t="shared" si="3"/>
        <v>876732473</v>
      </c>
      <c r="F22" s="1589" t="s">
        <v>1405</v>
      </c>
      <c r="G22" s="1590" t="s">
        <v>1754</v>
      </c>
      <c r="H22" s="2306">
        <f t="shared" ref="H22:H30" ca="1" si="4">(INDIRECT(RIGHT(G22,LEN(G22)-1))-E22)</f>
        <v>1.4199999570846558</v>
      </c>
      <c r="I22" s="1694" t="s">
        <v>1473</v>
      </c>
      <c r="J22" s="1592" t="s">
        <v>1798</v>
      </c>
    </row>
    <row r="23" spans="1:10" s="462" customFormat="1">
      <c r="A23" s="1587">
        <f t="shared" si="0"/>
        <v>8</v>
      </c>
      <c r="B23" s="275" t="str">
        <f>'Att 5 - Cost Support'!$C$62</f>
        <v>Production Plant In Service</v>
      </c>
      <c r="C23" s="275" t="str">
        <f t="shared" si="1"/>
        <v>Total production plant (BoY)</v>
      </c>
      <c r="D23" s="1105">
        <f t="shared" si="2"/>
        <v>11049334932</v>
      </c>
      <c r="E23" s="1223">
        <f t="shared" si="3"/>
        <v>11922598581</v>
      </c>
      <c r="F23" s="1589" t="s">
        <v>1408</v>
      </c>
      <c r="G23" s="1590" t="s">
        <v>1753</v>
      </c>
      <c r="H23" s="2306">
        <f t="shared" ca="1" si="4"/>
        <v>0.35999870300292969</v>
      </c>
      <c r="I23" s="1694" t="s">
        <v>1473</v>
      </c>
      <c r="J23" s="1592" t="s">
        <v>1798</v>
      </c>
    </row>
    <row r="24" spans="1:10" s="462" customFormat="1">
      <c r="A24" s="1587">
        <f t="shared" si="0"/>
        <v>9</v>
      </c>
      <c r="B24" s="275" t="str">
        <f>'Att 5 - Cost Support'!$C$62</f>
        <v>Production Plant In Service</v>
      </c>
      <c r="C24" s="275" t="str">
        <f t="shared" si="1"/>
        <v>Total production plant (EoY)</v>
      </c>
      <c r="D24" s="1105">
        <f t="shared" si="2"/>
        <v>11922598581</v>
      </c>
      <c r="E24" s="1223">
        <f t="shared" si="3"/>
        <v>12154489265</v>
      </c>
      <c r="F24" s="1589" t="s">
        <v>1409</v>
      </c>
      <c r="G24" s="1590" t="s">
        <v>1752</v>
      </c>
      <c r="H24" s="2306">
        <f t="shared" ca="1" si="4"/>
        <v>-0.22999763488769531</v>
      </c>
      <c r="I24" s="1694" t="s">
        <v>1473</v>
      </c>
      <c r="J24" s="1592" t="s">
        <v>1798</v>
      </c>
    </row>
    <row r="25" spans="1:10" s="462" customFormat="1">
      <c r="A25" s="2194">
        <f t="shared" si="0"/>
        <v>10</v>
      </c>
      <c r="B25" s="275" t="str">
        <f>'Att 5 - Cost Support'!$C$20</f>
        <v>Transmission Plant In Service</v>
      </c>
      <c r="C25" s="275" t="str">
        <f t="shared" si="1"/>
        <v>Total transmission plant (BoY)</v>
      </c>
      <c r="D25" s="1105">
        <f t="shared" si="2"/>
        <v>5231106254</v>
      </c>
      <c r="E25" s="1223">
        <f t="shared" si="3"/>
        <v>5387870877</v>
      </c>
      <c r="F25" s="2196" t="s">
        <v>1402</v>
      </c>
      <c r="G25" s="1590" t="s">
        <v>1757</v>
      </c>
      <c r="H25" s="2306">
        <f t="shared" ca="1" si="4"/>
        <v>-0.35000038146972656</v>
      </c>
      <c r="I25" s="1694" t="s">
        <v>1473</v>
      </c>
      <c r="J25" s="1592" t="s">
        <v>1798</v>
      </c>
    </row>
    <row r="26" spans="1:10" s="462" customFormat="1">
      <c r="A26" s="1587">
        <f t="shared" si="0"/>
        <v>11</v>
      </c>
      <c r="B26" s="275" t="str">
        <f>'Att 5 - Cost Support'!$C$20</f>
        <v>Transmission Plant In Service</v>
      </c>
      <c r="C26" s="275" t="str">
        <f t="shared" si="1"/>
        <v>Total transmission plant (EoY)</v>
      </c>
      <c r="D26" s="1105">
        <f t="shared" si="2"/>
        <v>5387870877</v>
      </c>
      <c r="E26" s="1223">
        <f t="shared" si="3"/>
        <v>5910756444</v>
      </c>
      <c r="F26" s="1589" t="s">
        <v>1401</v>
      </c>
      <c r="G26" s="1590" t="s">
        <v>1758</v>
      </c>
      <c r="H26" s="2306">
        <f t="shared" ca="1" si="4"/>
        <v>0.36999988555908203</v>
      </c>
      <c r="I26" s="1694" t="s">
        <v>1473</v>
      </c>
      <c r="J26" s="1592" t="s">
        <v>1798</v>
      </c>
    </row>
    <row r="27" spans="1:10" s="462" customFormat="1">
      <c r="A27" s="1587">
        <f t="shared" si="0"/>
        <v>12</v>
      </c>
      <c r="B27" s="275" t="str">
        <f>'Att 5 - Cost Support'!$C$36</f>
        <v>Distribution Plant In Service</v>
      </c>
      <c r="C27" s="275" t="str">
        <f t="shared" si="1"/>
        <v>Total distribution plant (BoY)</v>
      </c>
      <c r="D27" s="1105">
        <f t="shared" si="2"/>
        <v>6023412371</v>
      </c>
      <c r="E27" s="1223">
        <f t="shared" si="3"/>
        <v>6190391726</v>
      </c>
      <c r="F27" s="1589" t="s">
        <v>1403</v>
      </c>
      <c r="G27" s="1590" t="s">
        <v>1759</v>
      </c>
      <c r="H27" s="2306">
        <f t="shared" ca="1" si="4"/>
        <v>0.55999946594238281</v>
      </c>
      <c r="I27" s="1694" t="s">
        <v>1473</v>
      </c>
      <c r="J27" s="1592" t="s">
        <v>1798</v>
      </c>
    </row>
    <row r="28" spans="1:10" s="462" customFormat="1">
      <c r="A28" s="1587">
        <f t="shared" si="0"/>
        <v>13</v>
      </c>
      <c r="B28" s="275" t="str">
        <f>'Att 5 - Cost Support'!$C$36</f>
        <v>Distribution Plant In Service</v>
      </c>
      <c r="C28" s="275" t="str">
        <f t="shared" si="1"/>
        <v>Total distribution plant (EoY)</v>
      </c>
      <c r="D28" s="1105">
        <f t="shared" si="2"/>
        <v>6190391726</v>
      </c>
      <c r="E28" s="1223">
        <f t="shared" si="3"/>
        <v>6401275118</v>
      </c>
      <c r="F28" s="1589" t="s">
        <v>1410</v>
      </c>
      <c r="G28" s="1590" t="s">
        <v>1760</v>
      </c>
      <c r="H28" s="2306">
        <f t="shared" ca="1" si="4"/>
        <v>0.11999893188476563</v>
      </c>
      <c r="I28" s="1694" t="s">
        <v>1473</v>
      </c>
      <c r="J28" s="1592" t="s">
        <v>1798</v>
      </c>
    </row>
    <row r="29" spans="1:10" s="462" customFormat="1">
      <c r="A29" s="1587">
        <f t="shared" si="0"/>
        <v>14</v>
      </c>
      <c r="B29" s="275" t="str">
        <f>'Att 5 - Cost Support'!$C$46</f>
        <v>General Plant In Service</v>
      </c>
      <c r="C29" s="275" t="str">
        <f t="shared" si="1"/>
        <v>Total general plant (BoY)</v>
      </c>
      <c r="D29" s="1105">
        <f t="shared" si="2"/>
        <v>1417753200</v>
      </c>
      <c r="E29" s="1223">
        <f t="shared" si="3"/>
        <v>1445031807</v>
      </c>
      <c r="F29" s="1589" t="s">
        <v>1406</v>
      </c>
      <c r="G29" s="1590" t="s">
        <v>1761</v>
      </c>
      <c r="H29" s="2306">
        <f t="shared" ca="1" si="4"/>
        <v>-7.9999923706054688E-2</v>
      </c>
      <c r="I29" s="1694" t="s">
        <v>1473</v>
      </c>
      <c r="J29" s="1592" t="s">
        <v>1798</v>
      </c>
    </row>
    <row r="30" spans="1:10" s="462" customFormat="1">
      <c r="A30" s="1587">
        <f t="shared" si="0"/>
        <v>15</v>
      </c>
      <c r="B30" s="275" t="str">
        <f>'Att 5 - Cost Support'!$C$46</f>
        <v>General Plant In Service</v>
      </c>
      <c r="C30" s="275" t="str">
        <f t="shared" si="1"/>
        <v>Total general plant (EoY)</v>
      </c>
      <c r="D30" s="1105">
        <f t="shared" si="2"/>
        <v>1445031807</v>
      </c>
      <c r="E30" s="1223">
        <f t="shared" si="3"/>
        <v>1173341618</v>
      </c>
      <c r="F30" s="1589" t="s">
        <v>1407</v>
      </c>
      <c r="G30" s="1590" t="s">
        <v>1762</v>
      </c>
      <c r="H30" s="2306">
        <f t="shared" ca="1" si="4"/>
        <v>-0.82000041007995605</v>
      </c>
      <c r="I30" s="1694" t="s">
        <v>1473</v>
      </c>
      <c r="J30" s="1592" t="s">
        <v>1798</v>
      </c>
    </row>
    <row r="31" spans="1:10" s="462" customFormat="1">
      <c r="A31" s="2194">
        <f t="shared" si="0"/>
        <v>16</v>
      </c>
      <c r="B31" s="275" t="str">
        <f>'Att 5 - Cost Support'!C68</f>
        <v>Total Plant In Service</v>
      </c>
      <c r="C31" s="275" t="str">
        <f t="shared" si="1"/>
        <v>Total electric plant in service (EoY)</v>
      </c>
      <c r="D31" s="1105">
        <f t="shared" si="2"/>
        <v>25826088116</v>
      </c>
      <c r="E31" s="1223">
        <f t="shared" si="3"/>
        <v>26518616700</v>
      </c>
      <c r="F31" s="2196" t="s">
        <v>1751</v>
      </c>
      <c r="G31" s="2197" t="s">
        <v>1756</v>
      </c>
      <c r="H31" s="2304">
        <f ca="1">IF(Toggle=Projection,(INDIRECT(RIGHT(G31,LEN(G31)-1))-E31),"n/m")</f>
        <v>0.56999969482421875</v>
      </c>
      <c r="I31" s="1694" t="s">
        <v>1473</v>
      </c>
      <c r="J31" s="1592" t="s">
        <v>1800</v>
      </c>
    </row>
    <row r="32" spans="1:10" s="462" customFormat="1">
      <c r="A32" s="2194">
        <f t="shared" si="0"/>
        <v>17</v>
      </c>
      <c r="B32" s="275"/>
      <c r="C32" s="2213"/>
      <c r="D32" s="2208"/>
      <c r="E32" s="2211"/>
      <c r="F32" s="2212"/>
      <c r="G32" s="2205"/>
      <c r="H32" s="2307"/>
      <c r="I32" s="2214"/>
      <c r="J32" s="2207"/>
    </row>
    <row r="33" spans="1:11" s="462" customFormat="1">
      <c r="A33" s="2194">
        <f t="shared" si="0"/>
        <v>18</v>
      </c>
      <c r="B33" s="275" t="s">
        <v>2131</v>
      </c>
      <c r="C33" s="275" t="str">
        <f>INDEX(FF1_INPUT,MATCH($F33,INDEX(FF1_INPUT,,6),0),MATCH(C$15,FF1_INPUT_columns,0))</f>
        <v>Electric Plant Purchased</v>
      </c>
      <c r="D33" s="1105">
        <f>INDEX(FF1_INPUT,MATCH($F33,INDEX(FF1_INPUT,,6),0),MATCH(data_year-1,FF1_INPUT_columns,0))</f>
        <v>0</v>
      </c>
      <c r="E33" s="1223">
        <f>INDEX(FF1_INPUT,MATCH($F33,INDEX(FF1_INPUT,,6),0),MATCH(data_year,FF1_INPUT_columns,0))</f>
        <v>1460458</v>
      </c>
      <c r="F33" s="1589" t="s">
        <v>2132</v>
      </c>
      <c r="G33" s="1590" t="s">
        <v>2133</v>
      </c>
      <c r="H33" s="2612">
        <f>E33-E34-'Att 5 - Cost Support'!G65</f>
        <v>0.2900000000372529</v>
      </c>
      <c r="I33" s="1694" t="s">
        <v>1473</v>
      </c>
      <c r="J33" s="1592" t="s">
        <v>1798</v>
      </c>
    </row>
    <row r="34" spans="1:11" s="462" customFormat="1">
      <c r="A34" s="2194">
        <f t="shared" si="0"/>
        <v>19</v>
      </c>
      <c r="B34" s="275" t="str">
        <f>'Att 5 - Cost Support'!$C$65</f>
        <v>Electric Plant Sold</v>
      </c>
      <c r="C34" s="275" t="str">
        <f>INDEX(FF1_INPUT,MATCH($F34,INDEX(FF1_INPUT,,6),0),MATCH(C$15,FF1_INPUT_columns,0))</f>
        <v>Electric plant sold</v>
      </c>
      <c r="D34" s="1105">
        <f>INDEX(FF1_INPUT,MATCH($F34,INDEX(FF1_INPUT,,6),0),MATCH(data_year-1,FF1_INPUT_columns,0))</f>
        <v>0</v>
      </c>
      <c r="E34" s="1223">
        <f>INDEX(FF1_INPUT,MATCH($F34,INDEX(FF1_INPUT,,6),0),MATCH(data_year,FF1_INPUT_columns,0))</f>
        <v>-561324</v>
      </c>
      <c r="F34" s="1589" t="s">
        <v>1445</v>
      </c>
      <c r="G34" s="1590" t="s">
        <v>1750</v>
      </c>
      <c r="H34" s="2613"/>
      <c r="I34" s="1694" t="s">
        <v>1473</v>
      </c>
      <c r="J34" s="1592" t="s">
        <v>1798</v>
      </c>
    </row>
    <row r="35" spans="1:11" s="462" customFormat="1">
      <c r="A35" s="2194">
        <f t="shared" si="0"/>
        <v>20</v>
      </c>
      <c r="B35" s="275"/>
      <c r="C35" s="2213"/>
      <c r="D35" s="2208"/>
      <c r="E35" s="2209"/>
      <c r="F35" s="2210"/>
      <c r="G35" s="2202"/>
      <c r="H35" s="2305"/>
      <c r="I35" s="2203"/>
      <c r="J35" s="2204"/>
    </row>
    <row r="36" spans="1:11" s="462" customFormat="1">
      <c r="A36" s="2194">
        <f t="shared" si="0"/>
        <v>21</v>
      </c>
      <c r="B36" s="275" t="str">
        <f>'Att 5 - Cost Support'!C88</f>
        <v>Transmission Accumulated Depreciation</v>
      </c>
      <c r="C36" s="275" t="str">
        <f>INDEX(FF1_INPUT,MATCH($F36,INDEX(FF1_INPUT,,6),0),MATCH(C$15,FF1_INPUT_columns,0))</f>
        <v>Accum Dep - Transmission</v>
      </c>
      <c r="D36" s="1105">
        <f>INDEX(FF1_INPUT,MATCH($F36,INDEX(FF1_INPUT,,6),0),MATCH(data_year-1,FF1_INPUT_columns,0))</f>
        <v>1432003537</v>
      </c>
      <c r="E36" s="1223">
        <f>INDEX(FF1_INPUT,MATCH($F36,INDEX(FF1_INPUT,,6),0),MATCH(data_year,FF1_INPUT_columns,0))</f>
        <v>1503737225</v>
      </c>
      <c r="F36" s="1589" t="s">
        <v>1411</v>
      </c>
      <c r="G36" s="1590" t="s">
        <v>1763</v>
      </c>
      <c r="H36" s="2306">
        <f ca="1">(INDIRECT(RIGHT(G36,LEN(G36)-1))-E36)</f>
        <v>-7.9999923706054688E-2</v>
      </c>
      <c r="I36" s="1694" t="s">
        <v>1473</v>
      </c>
      <c r="J36" s="1592" t="s">
        <v>1798</v>
      </c>
    </row>
    <row r="37" spans="1:11" s="462" customFormat="1" ht="15" customHeight="1">
      <c r="A37" s="2194">
        <f t="shared" si="0"/>
        <v>22</v>
      </c>
      <c r="B37" s="275" t="str">
        <f>'Att 5 - Cost Support'!C104</f>
        <v>Distribution Accumulated Depreciation</v>
      </c>
      <c r="C37" s="275" t="str">
        <f>INDEX(FF1_INPUT,MATCH($F37,INDEX(FF1_INPUT,,6),0),MATCH(C$15,FF1_INPUT_columns,0))</f>
        <v>Accum Dep - Distribution</v>
      </c>
      <c r="D37" s="1105">
        <f>INDEX(FF1_INPUT,MATCH($F37,INDEX(FF1_INPUT,,6),0),MATCH(data_year-1,FF1_INPUT_columns,0))</f>
        <v>2479873031</v>
      </c>
      <c r="E37" s="1223">
        <f>INDEX(FF1_INPUT,MATCH($F37,INDEX(FF1_INPUT,,6),0),MATCH(data_year,FF1_INPUT_columns,0))</f>
        <v>2581141819</v>
      </c>
      <c r="F37" s="1589" t="s">
        <v>1412</v>
      </c>
      <c r="G37" s="1590" t="s">
        <v>1764</v>
      </c>
      <c r="H37" s="2306">
        <f ca="1">(INDIRECT(RIGHT(G37,LEN(G37)-1))-E37)</f>
        <v>0.1100001335144043</v>
      </c>
      <c r="I37" s="1694" t="s">
        <v>1473</v>
      </c>
      <c r="J37" s="1592" t="s">
        <v>1798</v>
      </c>
    </row>
    <row r="38" spans="1:11" s="462" customFormat="1">
      <c r="A38" s="2194">
        <f t="shared" si="0"/>
        <v>23</v>
      </c>
      <c r="B38" s="275" t="str">
        <f>'Att 5 - Cost Support'!C109</f>
        <v>Accumulated Intangible Depreciation</v>
      </c>
      <c r="C38" s="275" t="str">
        <f>INDEX(FF1_INPUT,MATCH($F38,INDEX(FF1_INPUT,,6),0),MATCH(C$15,FF1_INPUT_columns,0))</f>
        <v xml:space="preserve"> Amort of Other Utility Plant</v>
      </c>
      <c r="D38" s="1105">
        <f>INDEX(FF1_INPUT,MATCH($F38,INDEX(FF1_INPUT,,6),0),MATCH(data_year-1,FF1_INPUT_columns,0))</f>
        <v>555584757</v>
      </c>
      <c r="E38" s="1223">
        <f>INDEX(FF1_INPUT,MATCH($F38,INDEX(FF1_INPUT,,6),0),MATCH(data_year,FF1_INPUT_columns,0))</f>
        <v>559800280</v>
      </c>
      <c r="F38" s="1589" t="s">
        <v>1413</v>
      </c>
      <c r="G38" s="1590" t="s">
        <v>1749</v>
      </c>
      <c r="H38" s="2306">
        <f ca="1">(INDIRECT(RIGHT(G38,LEN(G38)-1))-E38)</f>
        <v>-0.36000001430511475</v>
      </c>
      <c r="I38" s="1694" t="s">
        <v>1473</v>
      </c>
      <c r="J38" s="1592" t="s">
        <v>1798</v>
      </c>
    </row>
    <row r="39" spans="1:11" s="462" customFormat="1">
      <c r="A39" s="2194">
        <f t="shared" si="0"/>
        <v>24</v>
      </c>
      <c r="B39" s="275" t="str">
        <f>'Att 5 - Cost Support'!C114</f>
        <v>Accumulated General Depreciation</v>
      </c>
      <c r="C39" s="275" t="str">
        <f>INDEX(FF1_INPUT,MATCH($F39,INDEX(FF1_INPUT,,6),0),MATCH(C$15,FF1_INPUT_columns,0))</f>
        <v>Accum Dep - General</v>
      </c>
      <c r="D39" s="1105">
        <f>INDEX(FF1_INPUT,MATCH($F39,INDEX(FF1_INPUT,,6),0),MATCH(data_year-1,FF1_INPUT_columns,0))</f>
        <v>580388319</v>
      </c>
      <c r="E39" s="1223">
        <f>INDEX(FF1_INPUT,MATCH($F39,INDEX(FF1_INPUT,,6),0),MATCH(data_year,FF1_INPUT_columns,0))</f>
        <v>418947737</v>
      </c>
      <c r="F39" s="1589" t="s">
        <v>1414</v>
      </c>
      <c r="G39" s="1590" t="s">
        <v>1765</v>
      </c>
      <c r="H39" s="2306">
        <f ca="1">(INDIRECT(RIGHT(G39,LEN(G39)-1))-E39)</f>
        <v>-7.9999983310699463E-2</v>
      </c>
      <c r="I39" s="1694" t="s">
        <v>1473</v>
      </c>
      <c r="J39" s="1592" t="s">
        <v>1798</v>
      </c>
    </row>
    <row r="40" spans="1:11" s="462" customFormat="1">
      <c r="A40" s="2194">
        <f t="shared" si="0"/>
        <v>25</v>
      </c>
      <c r="B40" s="275"/>
      <c r="C40" s="2213"/>
      <c r="D40" s="2208"/>
      <c r="E40" s="2209"/>
      <c r="F40" s="2210"/>
      <c r="G40" s="2202"/>
      <c r="H40" s="1591"/>
      <c r="I40" s="2203"/>
      <c r="J40" s="2204"/>
      <c r="K40" s="2"/>
    </row>
    <row r="41" spans="1:11" s="462" customFormat="1">
      <c r="A41" s="1587">
        <f t="shared" si="0"/>
        <v>26</v>
      </c>
      <c r="B41" s="275"/>
      <c r="C41" s="275" t="str">
        <f>INDEX(FF1_INPUT,MATCH($F41,INDEX(FF1_INPUT,,6),0),MATCH(C$15,FF1_INPUT_columns,0))</f>
        <v>Accum Dep - Steam production</v>
      </c>
      <c r="D41" s="1105">
        <f>INDEX(FF1_INPUT,MATCH($F41,INDEX(FF1_INPUT,,6),0),MATCH(data_year-1,FF1_INPUT_columns,0))</f>
        <v>2822999224</v>
      </c>
      <c r="E41" s="1223">
        <f>INDEX(FF1_INPUT,MATCH($F41,INDEX(FF1_INPUT,,6),0),MATCH(data_year,FF1_INPUT_columns,0))</f>
        <v>2886821179</v>
      </c>
      <c r="F41" s="1589" t="s">
        <v>1415</v>
      </c>
      <c r="G41" s="2202"/>
      <c r="H41" s="1591"/>
      <c r="I41" s="2203"/>
      <c r="J41" s="1592" t="s">
        <v>1795</v>
      </c>
    </row>
    <row r="42" spans="1:11" s="462" customFormat="1">
      <c r="A42" s="1587">
        <f t="shared" si="0"/>
        <v>27</v>
      </c>
      <c r="B42" s="275"/>
      <c r="C42" s="275" t="str">
        <f>INDEX(FF1_INPUT,MATCH($F42,INDEX(FF1_INPUT,,6),0),MATCH(C$15,FF1_INPUT_columns,0))</f>
        <v>Accum Dep - Nuclear production</v>
      </c>
      <c r="D42" s="1105">
        <f>INDEX(FF1_INPUT,MATCH($F42,INDEX(FF1_INPUT,,6),0),MATCH(data_year-1,FF1_INPUT_columns,0))</f>
        <v>0</v>
      </c>
      <c r="E42" s="1223">
        <f>INDEX(FF1_INPUT,MATCH($F42,INDEX(FF1_INPUT,,6),0),MATCH(data_year,FF1_INPUT_columns,0))</f>
        <v>0</v>
      </c>
      <c r="F42" s="1589" t="s">
        <v>1416</v>
      </c>
      <c r="G42" s="2202"/>
      <c r="H42" s="1591"/>
      <c r="I42" s="2203"/>
      <c r="J42" s="1592" t="s">
        <v>1795</v>
      </c>
    </row>
    <row r="43" spans="1:11" s="462" customFormat="1">
      <c r="A43" s="1587">
        <f t="shared" si="0"/>
        <v>28</v>
      </c>
      <c r="B43" s="275"/>
      <c r="C43" s="275" t="str">
        <f>INDEX(FF1_INPUT,MATCH($F43,INDEX(FF1_INPUT,,6),0),MATCH(C$15,FF1_INPUT_columns,0))</f>
        <v>Accum Dep - Hydro (conventional) production</v>
      </c>
      <c r="D43" s="1105">
        <f>INDEX(FF1_INPUT,MATCH($F43,INDEX(FF1_INPUT,,6),0),MATCH(data_year-1,FF1_INPUT_columns,0))</f>
        <v>302834825</v>
      </c>
      <c r="E43" s="1223">
        <f>INDEX(FF1_INPUT,MATCH($F43,INDEX(FF1_INPUT,,6),0),MATCH(data_year,FF1_INPUT_columns,0))</f>
        <v>327988750</v>
      </c>
      <c r="F43" s="1589" t="s">
        <v>1417</v>
      </c>
      <c r="G43" s="2202"/>
      <c r="H43" s="1591"/>
      <c r="I43" s="2203"/>
      <c r="J43" s="1592" t="s">
        <v>1795</v>
      </c>
    </row>
    <row r="44" spans="1:11" s="462" customFormat="1">
      <c r="A44" s="1587">
        <f t="shared" si="0"/>
        <v>29</v>
      </c>
      <c r="B44" s="275"/>
      <c r="C44" s="275" t="str">
        <f>INDEX(FF1_INPUT,MATCH($F44,INDEX(FF1_INPUT,,6),0),MATCH(C$15,FF1_INPUT_columns,0))</f>
        <v>Accum Dep - Hydro (pumped storage) production</v>
      </c>
      <c r="D44" s="1105">
        <f>INDEX(FF1_INPUT,MATCH($F44,INDEX(FF1_INPUT,,6),0),MATCH(data_year-1,FF1_INPUT_columns,0))</f>
        <v>0</v>
      </c>
      <c r="E44" s="1223">
        <f>INDEX(FF1_INPUT,MATCH($F44,INDEX(FF1_INPUT,,6),0),MATCH(data_year,FF1_INPUT_columns,0))</f>
        <v>0</v>
      </c>
      <c r="F44" s="1589" t="s">
        <v>1418</v>
      </c>
      <c r="G44" s="2202"/>
      <c r="H44" s="1591"/>
      <c r="I44" s="2203"/>
      <c r="J44" s="1592" t="s">
        <v>1795</v>
      </c>
    </row>
    <row r="45" spans="1:11" s="462" customFormat="1">
      <c r="A45" s="1587">
        <f t="shared" si="0"/>
        <v>30</v>
      </c>
      <c r="B45" s="275"/>
      <c r="C45" s="275" t="str">
        <f>INDEX(FF1_INPUT,MATCH($F45,INDEX(FF1_INPUT,,6),0),MATCH(C$15,FF1_INPUT_columns,0))</f>
        <v>Accum Dep - Other production</v>
      </c>
      <c r="D45" s="1105">
        <f>INDEX(FF1_INPUT,MATCH($F45,INDEX(FF1_INPUT,,6),0),MATCH(data_year-1,FF1_INPUT_columns,0))</f>
        <v>777090296</v>
      </c>
      <c r="E45" s="1223">
        <f>INDEX(FF1_INPUT,MATCH($F45,INDEX(FF1_INPUT,,6),0),MATCH(data_year,FF1_INPUT_columns,0))</f>
        <v>847165096</v>
      </c>
      <c r="F45" s="1589" t="s">
        <v>1419</v>
      </c>
      <c r="G45" s="2202"/>
      <c r="H45" s="1591"/>
      <c r="I45" s="2203"/>
      <c r="J45" s="1592" t="s">
        <v>1795</v>
      </c>
    </row>
    <row r="46" spans="1:11" s="462" customFormat="1">
      <c r="A46" s="1587">
        <f t="shared" si="0"/>
        <v>31</v>
      </c>
      <c r="B46" s="275" t="str">
        <f>'Att 5 - Cost Support'!$C$130</f>
        <v>Production Accumulated Depreciation</v>
      </c>
      <c r="C46" s="275"/>
      <c r="D46" s="1595">
        <f>SUM(D41:D45)</f>
        <v>3902924345</v>
      </c>
      <c r="E46" s="1595">
        <f>SUM(E41:E45)</f>
        <v>4061975025</v>
      </c>
      <c r="F46" s="1589" t="s">
        <v>1420</v>
      </c>
      <c r="G46" s="1590" t="s">
        <v>1794</v>
      </c>
      <c r="H46" s="2193">
        <f ca="1">(INDIRECT(RIGHT(G46,LEN(G46)-1))-E46)</f>
        <v>5.0000190734863281E-2</v>
      </c>
      <c r="I46" s="1694" t="s">
        <v>1473</v>
      </c>
      <c r="J46" s="1592" t="s">
        <v>1799</v>
      </c>
    </row>
    <row r="47" spans="1:11" s="462" customFormat="1">
      <c r="A47" s="1587">
        <f t="shared" si="0"/>
        <v>32</v>
      </c>
      <c r="B47" s="275"/>
      <c r="C47" s="2213"/>
      <c r="D47" s="2208"/>
      <c r="E47" s="2209"/>
      <c r="F47" s="2210"/>
      <c r="G47" s="2202"/>
      <c r="H47" s="1591"/>
      <c r="I47" s="2203"/>
      <c r="J47" s="2204"/>
    </row>
    <row r="48" spans="1:11">
      <c r="A48" s="1587">
        <f t="shared" si="0"/>
        <v>33</v>
      </c>
      <c r="B48" s="1233" t="str">
        <f>'Att 5 - Cost Support'!C145</f>
        <v>Construction Materials &amp; Supplies</v>
      </c>
      <c r="C48" s="275" t="str">
        <f>INDEX(FF1_INPUT,MATCH($F48,INDEX(FF1_INPUT,,6),0),MATCH(C$15,FF1_INPUT_columns,0))</f>
        <v>Materials and supplies - est construction (EoY)</v>
      </c>
      <c r="D48" s="1105">
        <f>INDEX(FF1_INPUT,MATCH($F48,INDEX(FF1_INPUT,,6),0),MATCH(data_year-1,FF1_INPUT_columns,0))</f>
        <v>111221100</v>
      </c>
      <c r="E48" s="1223">
        <f>INDEX(FF1_INPUT,MATCH($F48,INDEX(FF1_INPUT,,6),0),MATCH(data_year,FF1_INPUT_columns,0))</f>
        <v>134703542</v>
      </c>
      <c r="F48" s="1235" t="s">
        <v>408</v>
      </c>
      <c r="G48" s="1225" t="s">
        <v>1766</v>
      </c>
      <c r="H48" s="2193">
        <f t="shared" ref="H48:H53" ca="1" si="5">(INDIRECT(RIGHT(G48,LEN(G48)-1))-E48)</f>
        <v>0</v>
      </c>
      <c r="I48" s="1226" t="s">
        <v>1161</v>
      </c>
      <c r="J48" s="1227" t="s">
        <v>1162</v>
      </c>
    </row>
    <row r="49" spans="1:10">
      <c r="A49" s="1587">
        <f t="shared" si="0"/>
        <v>34</v>
      </c>
      <c r="B49" s="1233" t="str">
        <f>'Att 5 - Cost Support'!C149</f>
        <v>Transmission Materials &amp; Supplies</v>
      </c>
      <c r="C49" s="275" t="str">
        <f>INDEX(FF1_INPUT,MATCH($F49,INDEX(FF1_INPUT,,6),0),MATCH(C$15,FF1_INPUT_columns,0))</f>
        <v>Materials and supplies - transmission (EoY)</v>
      </c>
      <c r="D49" s="1105">
        <f>INDEX(FF1_INPUT,MATCH($F49,INDEX(FF1_INPUT,,6),0),MATCH(data_year-1,FF1_INPUT_columns,0))</f>
        <v>490752</v>
      </c>
      <c r="E49" s="1223">
        <f>INDEX(FF1_INPUT,MATCH($F49,INDEX(FF1_INPUT,,6),0),MATCH(data_year,FF1_INPUT_columns,0))</f>
        <v>653625</v>
      </c>
      <c r="F49" s="1235" t="s">
        <v>330</v>
      </c>
      <c r="G49" s="1225" t="s">
        <v>1767</v>
      </c>
      <c r="H49" s="2193">
        <f t="shared" ca="1" si="5"/>
        <v>0</v>
      </c>
      <c r="I49" s="1226" t="s">
        <v>1161</v>
      </c>
      <c r="J49" s="1227" t="s">
        <v>1162</v>
      </c>
    </row>
    <row r="50" spans="1:10">
      <c r="A50" s="1587">
        <f t="shared" si="0"/>
        <v>35</v>
      </c>
      <c r="B50" s="1233" t="str">
        <f>'Att 5 - Cost Support'!C141</f>
        <v>Undistributed Stores Expense</v>
      </c>
      <c r="C50" s="275" t="str">
        <f>INDEX(FF1_INPUT,MATCH($F50,INDEX(FF1_INPUT,,6),0),MATCH(C$15,FF1_INPUT_columns,0))</f>
        <v>FERC 163 - Undistributed stores expense</v>
      </c>
      <c r="D50" s="1105">
        <f>INDEX(FF1_INPUT,MATCH($F50,INDEX(FF1_INPUT,,6),0),MATCH(data_year-1,FF1_INPUT_columns,0))</f>
        <v>0</v>
      </c>
      <c r="E50" s="1223">
        <f>INDEX(FF1_INPUT,MATCH($F50,INDEX(FF1_INPUT,,6),0),MATCH(data_year,FF1_INPUT_columns,0))</f>
        <v>0</v>
      </c>
      <c r="F50" s="1235" t="s">
        <v>329</v>
      </c>
      <c r="G50" s="1225" t="s">
        <v>1768</v>
      </c>
      <c r="H50" s="2193">
        <f t="shared" ca="1" si="5"/>
        <v>0</v>
      </c>
      <c r="I50" s="1226" t="s">
        <v>1161</v>
      </c>
      <c r="J50" s="1227" t="s">
        <v>1162</v>
      </c>
    </row>
    <row r="51" spans="1:10" s="462" customFormat="1">
      <c r="A51" s="1587">
        <f t="shared" si="0"/>
        <v>36</v>
      </c>
      <c r="B51" s="2195"/>
      <c r="C51" s="275"/>
      <c r="D51" s="2208"/>
      <c r="E51" s="2211"/>
      <c r="F51" s="2206"/>
      <c r="G51" s="2205"/>
      <c r="H51" s="2217"/>
      <c r="I51" s="2206"/>
      <c r="J51" s="2207"/>
    </row>
    <row r="52" spans="1:10">
      <c r="A52" s="1587">
        <f t="shared" si="0"/>
        <v>37</v>
      </c>
      <c r="B52" s="1236" t="str">
        <f>'Att 1 - ADIT'!A31&amp;" "&amp;'Att 1 - ADIT'!A160</f>
        <v>Account 190 Subtotal - p234</v>
      </c>
      <c r="C52" s="275" t="str">
        <f t="shared" ref="C52:C59" si="6">INDEX(FF1_INPUT,MATCH($F52,INDEX(FF1_INPUT,,6),0),MATCH(C$15,FF1_INPUT_columns,0))</f>
        <v>FERC 190 - ADIT (BoY)</v>
      </c>
      <c r="D52" s="1105">
        <f t="shared" ref="D52:D59" si="7">INDEX(FF1_INPUT,MATCH($F52,INDEX(FF1_INPUT,,6),0),MATCH(data_year-1,FF1_INPUT_columns,0))</f>
        <v>482567288</v>
      </c>
      <c r="E52" s="1695">
        <f t="shared" ref="E52:E59" si="8">INDEX(FF1_INPUT,MATCH($F52,INDEX(FF1_INPUT,,6),0),MATCH(data_year,FF1_INPUT_columns,0))</f>
        <v>544969532</v>
      </c>
      <c r="F52" s="1235" t="s">
        <v>1769</v>
      </c>
      <c r="G52" s="1225" t="s">
        <v>2135</v>
      </c>
      <c r="H52" s="2193">
        <f t="shared" ca="1" si="5"/>
        <v>0</v>
      </c>
      <c r="I52" s="1226" t="s">
        <v>1059</v>
      </c>
      <c r="J52" s="1592" t="s">
        <v>1796</v>
      </c>
    </row>
    <row r="53" spans="1:10" s="462" customFormat="1">
      <c r="A53" s="1587">
        <f t="shared" si="0"/>
        <v>38</v>
      </c>
      <c r="B53" s="2216" t="str">
        <f>'Att 1a - ADIT'!A31&amp;" "&amp;'Att 1a - ADIT'!A196</f>
        <v>Account 190 Subtotal - p234</v>
      </c>
      <c r="C53" s="275" t="str">
        <f t="shared" si="6"/>
        <v>FERC 190 - ADIT (EoY)</v>
      </c>
      <c r="D53" s="1105">
        <f t="shared" si="7"/>
        <v>544969532</v>
      </c>
      <c r="E53" s="1695">
        <f t="shared" si="8"/>
        <v>606211204</v>
      </c>
      <c r="F53" s="2215" t="s">
        <v>333</v>
      </c>
      <c r="G53" s="2197" t="s">
        <v>2136</v>
      </c>
      <c r="H53" s="2193">
        <f t="shared" ca="1" si="5"/>
        <v>0</v>
      </c>
      <c r="I53" s="2198" t="s">
        <v>1018</v>
      </c>
      <c r="J53" s="1592" t="s">
        <v>1796</v>
      </c>
    </row>
    <row r="54" spans="1:10" s="462" customFormat="1">
      <c r="A54" s="1587">
        <f t="shared" si="0"/>
        <v>39</v>
      </c>
      <c r="B54" s="2216" t="str">
        <f>'Att 1 - ADIT'!A181&amp;" "&amp;'Att 1 - ADIT'!A186</f>
        <v xml:space="preserve">Account 281 Subtotal - p275  </v>
      </c>
      <c r="C54" s="275" t="str">
        <f t="shared" si="6"/>
        <v>FERC 281 - ADIT (BoY)</v>
      </c>
      <c r="D54" s="1105">
        <f t="shared" si="7"/>
        <v>226880978</v>
      </c>
      <c r="E54" s="1695">
        <f t="shared" si="8"/>
        <v>252151842</v>
      </c>
      <c r="F54" s="2215" t="s">
        <v>1770</v>
      </c>
      <c r="G54" s="2197" t="s">
        <v>2137</v>
      </c>
      <c r="H54" s="2193">
        <f t="shared" ref="H54:H59" ca="1" si="9">(INDIRECT(RIGHT(G54,LEN(G54)-1))--E54)</f>
        <v>0</v>
      </c>
      <c r="I54" s="1226" t="s">
        <v>1059</v>
      </c>
      <c r="J54" s="1592" t="s">
        <v>1797</v>
      </c>
    </row>
    <row r="55" spans="1:10" s="462" customFormat="1">
      <c r="A55" s="1587">
        <f t="shared" si="0"/>
        <v>40</v>
      </c>
      <c r="B55" s="2216" t="str">
        <f>'Att 1a - ADIT'!A216&amp;" "&amp;'Att 1a - ADIT'!A221</f>
        <v>Account 281 Subtotal - p273</v>
      </c>
      <c r="C55" s="275" t="str">
        <f t="shared" si="6"/>
        <v>FERC 281 - ADIT (EoY)</v>
      </c>
      <c r="D55" s="1105">
        <f t="shared" si="7"/>
        <v>252151842</v>
      </c>
      <c r="E55" s="1695">
        <f t="shared" si="8"/>
        <v>285986998</v>
      </c>
      <c r="F55" s="2215" t="s">
        <v>1771</v>
      </c>
      <c r="G55" s="2197" t="s">
        <v>2372</v>
      </c>
      <c r="H55" s="2193">
        <f t="shared" ca="1" si="9"/>
        <v>0</v>
      </c>
      <c r="I55" s="2198" t="s">
        <v>1018</v>
      </c>
      <c r="J55" s="1592" t="s">
        <v>1797</v>
      </c>
    </row>
    <row r="56" spans="1:10" s="462" customFormat="1">
      <c r="A56" s="1587">
        <f t="shared" si="0"/>
        <v>41</v>
      </c>
      <c r="B56" s="2216" t="str">
        <f>'Att 1 - ADIT'!A207&amp;" "&amp;'Att 1 - ADIT'!A257</f>
        <v xml:space="preserve">Account 282 Subtotal - p275  </v>
      </c>
      <c r="C56" s="275" t="str">
        <f t="shared" si="6"/>
        <v>FERC 282 - ADIT (BoY)</v>
      </c>
      <c r="D56" s="1105">
        <f t="shared" si="7"/>
        <v>3991613412</v>
      </c>
      <c r="E56" s="1695">
        <f t="shared" si="8"/>
        <v>4244780923</v>
      </c>
      <c r="F56" s="2215" t="s">
        <v>1772</v>
      </c>
      <c r="G56" s="2197" t="s">
        <v>2138</v>
      </c>
      <c r="H56" s="2193">
        <f t="shared" ca="1" si="9"/>
        <v>0</v>
      </c>
      <c r="I56" s="1226" t="s">
        <v>1059</v>
      </c>
      <c r="J56" s="1592" t="s">
        <v>1797</v>
      </c>
    </row>
    <row r="57" spans="1:10" s="462" customFormat="1">
      <c r="A57" s="1587">
        <f t="shared" si="0"/>
        <v>42</v>
      </c>
      <c r="B57" s="2216" t="str">
        <f>'Att 1a - ADIT'!A242&amp;" "&amp;'Att 1a - ADIT'!A296</f>
        <v xml:space="preserve">Account 282 Subtotal - p275  </v>
      </c>
      <c r="C57" s="275" t="str">
        <f t="shared" si="6"/>
        <v>FERC 282 - ADIT (EoY)</v>
      </c>
      <c r="D57" s="1105">
        <f t="shared" si="7"/>
        <v>4244780923</v>
      </c>
      <c r="E57" s="1695">
        <f t="shared" si="8"/>
        <v>4414667387</v>
      </c>
      <c r="F57" s="2215" t="s">
        <v>1773</v>
      </c>
      <c r="G57" s="2197" t="s">
        <v>2373</v>
      </c>
      <c r="H57" s="2193">
        <f t="shared" ca="1" si="9"/>
        <v>0</v>
      </c>
      <c r="I57" s="2198" t="s">
        <v>1018</v>
      </c>
      <c r="J57" s="1592" t="s">
        <v>1797</v>
      </c>
    </row>
    <row r="58" spans="1:10" s="462" customFormat="1">
      <c r="A58" s="1587">
        <f t="shared" si="0"/>
        <v>43</v>
      </c>
      <c r="B58" s="2216" t="str">
        <f>'Att 1 - ADIT'!A278&amp;" "&amp;'Att 1 - ADIT'!A400</f>
        <v xml:space="preserve">Account 283 Subtotal - p277  </v>
      </c>
      <c r="C58" s="275" t="str">
        <f t="shared" si="6"/>
        <v>FERC 283 - ADIT (BoY)</v>
      </c>
      <c r="D58" s="1105">
        <f t="shared" si="7"/>
        <v>556381073</v>
      </c>
      <c r="E58" s="1695">
        <f t="shared" si="8"/>
        <v>633311644</v>
      </c>
      <c r="F58" s="2215" t="s">
        <v>1774</v>
      </c>
      <c r="G58" s="2197" t="s">
        <v>2139</v>
      </c>
      <c r="H58" s="2193">
        <f t="shared" ca="1" si="9"/>
        <v>0</v>
      </c>
      <c r="I58" s="1226" t="s">
        <v>1059</v>
      </c>
      <c r="J58" s="1592" t="s">
        <v>1797</v>
      </c>
    </row>
    <row r="59" spans="1:10" s="462" customFormat="1">
      <c r="A59" s="1587">
        <f t="shared" si="0"/>
        <v>44</v>
      </c>
      <c r="B59" s="2216" t="str">
        <f>'Att 1a - ADIT'!A317&amp;" "&amp;'Att 1a - ADIT'!A461</f>
        <v xml:space="preserve">Account 283 Subtotal - p277  </v>
      </c>
      <c r="C59" s="275" t="str">
        <f t="shared" si="6"/>
        <v>FERC 283 - ADIT (EoY)</v>
      </c>
      <c r="D59" s="1105">
        <f t="shared" si="7"/>
        <v>633311644</v>
      </c>
      <c r="E59" s="1695">
        <f t="shared" si="8"/>
        <v>657526736</v>
      </c>
      <c r="F59" s="2215" t="s">
        <v>1775</v>
      </c>
      <c r="G59" s="2197" t="s">
        <v>2374</v>
      </c>
      <c r="H59" s="2193">
        <f t="shared" ca="1" si="9"/>
        <v>0</v>
      </c>
      <c r="I59" s="2198" t="s">
        <v>1018</v>
      </c>
      <c r="J59" s="1592" t="s">
        <v>1797</v>
      </c>
    </row>
    <row r="60" spans="1:10" s="462" customFormat="1">
      <c r="A60" s="1587">
        <f t="shared" si="0"/>
        <v>45</v>
      </c>
      <c r="B60" s="2216"/>
      <c r="C60" s="275"/>
      <c r="D60" s="2208"/>
      <c r="E60" s="2220"/>
      <c r="F60" s="2206"/>
      <c r="G60" s="2205"/>
      <c r="H60" s="2200"/>
      <c r="I60" s="2206"/>
      <c r="J60" s="2207"/>
    </row>
    <row r="61" spans="1:10">
      <c r="A61" s="1587">
        <f t="shared" si="0"/>
        <v>46</v>
      </c>
      <c r="B61" s="1233" t="str">
        <f>'Att 5 - Cost Support'!C245</f>
        <v>(561) Load Dispatching</v>
      </c>
      <c r="C61" s="275" t="str">
        <f t="shared" ref="C61:C67" si="10">INDEX(FF1_INPUT,MATCH($F61,INDEX(FF1_INPUT,,6),0),MATCH(C$15,FF1_INPUT_columns,0))</f>
        <v>FERC 561 - Load Dispatch (LD)</v>
      </c>
      <c r="D61" s="1105">
        <f t="shared" ref="D61:D67" si="11">INDEX(FF1_INPUT,MATCH($F61,INDEX(FF1_INPUT,,6),0),MATCH(data_year-1,FF1_INPUT_columns,0))</f>
        <v>0</v>
      </c>
      <c r="E61" s="1223">
        <f t="shared" ref="E61:E67" si="12">INDEX(FF1_INPUT,MATCH($F61,INDEX(FF1_INPUT,,6),0),MATCH(data_year,FF1_INPUT_columns,0))</f>
        <v>0</v>
      </c>
      <c r="F61" s="1235" t="s">
        <v>641</v>
      </c>
      <c r="G61" s="1237" t="s">
        <v>2140</v>
      </c>
      <c r="H61" s="2193">
        <f t="shared" ref="H61:H80" ca="1" si="13">(INDIRECT(RIGHT(G61,LEN(G61)-1))-E61)</f>
        <v>0</v>
      </c>
      <c r="I61" s="1226" t="s">
        <v>1161</v>
      </c>
      <c r="J61" s="1227" t="s">
        <v>1171</v>
      </c>
    </row>
    <row r="62" spans="1:10" s="462" customFormat="1">
      <c r="A62" s="1587">
        <f t="shared" si="0"/>
        <v>47</v>
      </c>
      <c r="B62" s="1233" t="str">
        <f>'Att 5 - Cost Support'!C246</f>
        <v>(561.1) Load Dispatch-Reliability</v>
      </c>
      <c r="C62" s="275" t="str">
        <f t="shared" si="10"/>
        <v>FERC 561.1 - LD reliability</v>
      </c>
      <c r="D62" s="1105">
        <f t="shared" si="11"/>
        <v>0</v>
      </c>
      <c r="E62" s="1223">
        <f t="shared" si="12"/>
        <v>0</v>
      </c>
      <c r="F62" s="1235" t="s">
        <v>1167</v>
      </c>
      <c r="G62" s="1237" t="s">
        <v>1776</v>
      </c>
      <c r="H62" s="2193">
        <f t="shared" ca="1" si="13"/>
        <v>0</v>
      </c>
      <c r="I62" s="1226" t="s">
        <v>1161</v>
      </c>
      <c r="J62" s="1227" t="s">
        <v>1171</v>
      </c>
    </row>
    <row r="63" spans="1:10">
      <c r="A63" s="1587">
        <f t="shared" si="0"/>
        <v>48</v>
      </c>
      <c r="B63" s="1233" t="str">
        <f>'Att 5 - Cost Support'!C247</f>
        <v>(561.2) Load Dispatch-Monitor and Operate Transmission System</v>
      </c>
      <c r="C63" s="275" t="str">
        <f t="shared" si="10"/>
        <v>FERC 561.2 - LD monitor operate</v>
      </c>
      <c r="D63" s="1105">
        <f t="shared" si="11"/>
        <v>7564076</v>
      </c>
      <c r="E63" s="1223">
        <f t="shared" si="12"/>
        <v>6818716</v>
      </c>
      <c r="F63" s="1235" t="s">
        <v>204</v>
      </c>
      <c r="G63" s="1237" t="s">
        <v>1777</v>
      </c>
      <c r="H63" s="2193">
        <f ca="1">(INDIRECT(RIGHT(G63,LEN(G63)-1))-E63)</f>
        <v>0</v>
      </c>
      <c r="I63" s="1226" t="s">
        <v>1161</v>
      </c>
      <c r="J63" s="1227" t="s">
        <v>1171</v>
      </c>
    </row>
    <row r="64" spans="1:10">
      <c r="A64" s="1587">
        <f t="shared" si="0"/>
        <v>49</v>
      </c>
      <c r="B64" s="1233" t="str">
        <f>'Att 5 - Cost Support'!C248</f>
        <v>(561.3) Load Dispatch-Transmission Service and Scheduling</v>
      </c>
      <c r="C64" s="275" t="str">
        <f t="shared" si="10"/>
        <v>FERC 561.3 - LD service scheduling</v>
      </c>
      <c r="D64" s="1105">
        <f t="shared" si="11"/>
        <v>0</v>
      </c>
      <c r="E64" s="1223">
        <f t="shared" si="12"/>
        <v>0</v>
      </c>
      <c r="F64" s="1235" t="s">
        <v>423</v>
      </c>
      <c r="G64" s="1237" t="s">
        <v>2141</v>
      </c>
      <c r="H64" s="2193">
        <f t="shared" ca="1" si="13"/>
        <v>0</v>
      </c>
      <c r="I64" s="1226" t="s">
        <v>1161</v>
      </c>
      <c r="J64" s="1227" t="s">
        <v>1171</v>
      </c>
    </row>
    <row r="65" spans="1:10">
      <c r="A65" s="1587">
        <f t="shared" si="0"/>
        <v>50</v>
      </c>
      <c r="B65" s="1233" t="str">
        <f>'Att 5 - Cost Support'!C249</f>
        <v>(561.4) Scheduling, System Control and Dispatch Services</v>
      </c>
      <c r="C65" s="275" t="str">
        <f t="shared" si="10"/>
        <v>FERC 561.4 - Sched, sys control, dispatch</v>
      </c>
      <c r="D65" s="1105">
        <f t="shared" si="11"/>
        <v>824276</v>
      </c>
      <c r="E65" s="1223">
        <f t="shared" si="12"/>
        <v>2106756</v>
      </c>
      <c r="F65" s="1235" t="s">
        <v>205</v>
      </c>
      <c r="G65" s="1237" t="s">
        <v>1778</v>
      </c>
      <c r="H65" s="2193">
        <f t="shared" ca="1" si="13"/>
        <v>0</v>
      </c>
      <c r="I65" s="1226" t="s">
        <v>1161</v>
      </c>
      <c r="J65" s="1227" t="s">
        <v>1171</v>
      </c>
    </row>
    <row r="66" spans="1:10">
      <c r="A66" s="1587">
        <f t="shared" si="0"/>
        <v>51</v>
      </c>
      <c r="B66" s="1233" t="str">
        <f>'Att 5 - Cost Support'!C250</f>
        <v>(561.5) Reliability, Planning and Standards Development</v>
      </c>
      <c r="C66" s="275" t="str">
        <f t="shared" si="10"/>
        <v>FERC 561.5 - Reliability, plan, standards</v>
      </c>
      <c r="D66" s="1105">
        <f t="shared" si="11"/>
        <v>1111085</v>
      </c>
      <c r="E66" s="1223">
        <f t="shared" si="12"/>
        <v>1326587</v>
      </c>
      <c r="F66" s="1235" t="s">
        <v>424</v>
      </c>
      <c r="G66" s="1237" t="s">
        <v>1779</v>
      </c>
      <c r="H66" s="2193">
        <f t="shared" ca="1" si="13"/>
        <v>0</v>
      </c>
      <c r="I66" s="1226" t="s">
        <v>1161</v>
      </c>
      <c r="J66" s="1227" t="s">
        <v>1171</v>
      </c>
    </row>
    <row r="67" spans="1:10">
      <c r="A67" s="1587">
        <f t="shared" si="0"/>
        <v>52</v>
      </c>
      <c r="B67" s="1233" t="str">
        <f>'Att 5 - Cost Support'!C253</f>
        <v xml:space="preserve">     Less: Account 565</v>
      </c>
      <c r="C67" s="275" t="str">
        <f t="shared" si="10"/>
        <v>FERC 565  - Transmission by others</v>
      </c>
      <c r="D67" s="1105">
        <f t="shared" si="11"/>
        <v>151335724</v>
      </c>
      <c r="E67" s="1223">
        <f t="shared" si="12"/>
        <v>148425345</v>
      </c>
      <c r="F67" s="1235" t="s">
        <v>32</v>
      </c>
      <c r="G67" s="1237" t="s">
        <v>2142</v>
      </c>
      <c r="H67" s="2193">
        <f t="shared" ca="1" si="13"/>
        <v>0</v>
      </c>
      <c r="I67" s="1226" t="s">
        <v>1161</v>
      </c>
      <c r="J67" s="1227" t="s">
        <v>1171</v>
      </c>
    </row>
    <row r="68" spans="1:10" s="462" customFormat="1">
      <c r="A68" s="1587">
        <f t="shared" si="0"/>
        <v>53</v>
      </c>
      <c r="B68" s="2195"/>
      <c r="C68" s="275"/>
      <c r="D68" s="2208"/>
      <c r="E68" s="2211"/>
      <c r="F68" s="2206"/>
      <c r="G68" s="2219"/>
      <c r="H68" s="2217"/>
      <c r="I68" s="2206"/>
      <c r="J68" s="2207"/>
    </row>
    <row r="69" spans="1:10">
      <c r="A69" s="1587">
        <f t="shared" si="0"/>
        <v>54</v>
      </c>
      <c r="B69" s="1233" t="str">
        <f>'Att 5 - Cost Support'!C242</f>
        <v>Transmission O&amp;M</v>
      </c>
      <c r="C69" s="275" t="str">
        <f t="shared" ref="C69:C82" si="14">INDEX(FF1_INPUT,MATCH($F69,INDEX(FF1_INPUT,,6),0),MATCH(C$15,FF1_INPUT_columns,0))</f>
        <v>Total Transmission Expenses</v>
      </c>
      <c r="D69" s="1105">
        <f t="shared" ref="D69:D82" si="15">INDEX(FF1_INPUT,MATCH($F69,INDEX(FF1_INPUT,,6),0),MATCH(data_year-1,FF1_INPUT_columns,0))</f>
        <v>211057529</v>
      </c>
      <c r="E69" s="1223">
        <f t="shared" ref="E69:E82" si="16">INDEX(FF1_INPUT,MATCH($F69,INDEX(FF1_INPUT,,6),0),MATCH(data_year,FF1_INPUT_columns,0))</f>
        <v>215664453</v>
      </c>
      <c r="F69" s="1235" t="s">
        <v>33</v>
      </c>
      <c r="G69" s="1237" t="s">
        <v>2143</v>
      </c>
      <c r="H69" s="2193">
        <f t="shared" ca="1" si="13"/>
        <v>0</v>
      </c>
      <c r="I69" s="1226" t="s">
        <v>1161</v>
      </c>
      <c r="J69" s="1227" t="s">
        <v>1171</v>
      </c>
    </row>
    <row r="70" spans="1:10">
      <c r="A70" s="1587">
        <f t="shared" si="0"/>
        <v>55</v>
      </c>
      <c r="B70" s="1233" t="str">
        <f>'Att 5 - Cost Support'!$C$198</f>
        <v>Property Insurance Account 924</v>
      </c>
      <c r="C70" s="275" t="str">
        <f t="shared" si="14"/>
        <v>FERC 924 - Property Insurance</v>
      </c>
      <c r="D70" s="1105">
        <f t="shared" si="15"/>
        <v>15633179</v>
      </c>
      <c r="E70" s="1223">
        <f t="shared" si="16"/>
        <v>15938310</v>
      </c>
      <c r="F70" s="1235" t="s">
        <v>34</v>
      </c>
      <c r="G70" s="1237" t="s">
        <v>1939</v>
      </c>
      <c r="H70" s="2193">
        <f t="shared" ca="1" si="13"/>
        <v>0</v>
      </c>
      <c r="I70" s="1226" t="s">
        <v>1161</v>
      </c>
      <c r="J70" s="1227" t="s">
        <v>1175</v>
      </c>
    </row>
    <row r="71" spans="1:10">
      <c r="A71" s="1587">
        <f t="shared" si="0"/>
        <v>56</v>
      </c>
      <c r="B71" s="1233" t="str">
        <f>'Appendix A'!$C$121</f>
        <v xml:space="preserve">    Less Regulatory Commission Exp Account 928</v>
      </c>
      <c r="C71" s="275" t="str">
        <f t="shared" si="14"/>
        <v>FERC 928 - Regulatory Commission Expenses</v>
      </c>
      <c r="D71" s="1105">
        <f t="shared" si="15"/>
        <v>24280590</v>
      </c>
      <c r="E71" s="1223">
        <f t="shared" si="16"/>
        <v>22275686</v>
      </c>
      <c r="F71" s="1235" t="s">
        <v>35</v>
      </c>
      <c r="G71" s="1237" t="s">
        <v>1780</v>
      </c>
      <c r="H71" s="2193">
        <f t="shared" ca="1" si="13"/>
        <v>0</v>
      </c>
      <c r="I71" s="1226" t="s">
        <v>335</v>
      </c>
      <c r="J71" s="1227" t="str">
        <f ca="1">"Line "&amp;OFFSET(INDIRECT(RIGHT(G71,LEN(G71)-1)),0,-7)</f>
        <v>Line 61</v>
      </c>
    </row>
    <row r="72" spans="1:10">
      <c r="A72" s="1587">
        <f t="shared" si="0"/>
        <v>57</v>
      </c>
      <c r="B72" s="1233" t="str">
        <f>'Appendix A'!$C$122</f>
        <v xml:space="preserve">    Less General Advertising Exp Account 930.1</v>
      </c>
      <c r="C72" s="275" t="str">
        <f t="shared" si="14"/>
        <v>FERC 930.1 - General Advertising Expenses</v>
      </c>
      <c r="D72" s="1105">
        <f t="shared" si="15"/>
        <v>6832</v>
      </c>
      <c r="E72" s="1223">
        <f t="shared" si="16"/>
        <v>319</v>
      </c>
      <c r="F72" s="1235" t="s">
        <v>38</v>
      </c>
      <c r="G72" s="1237" t="s">
        <v>1781</v>
      </c>
      <c r="H72" s="2193">
        <f t="shared" ca="1" si="13"/>
        <v>0</v>
      </c>
      <c r="I72" s="1226" t="s">
        <v>335</v>
      </c>
      <c r="J72" s="1227" t="str">
        <f ca="1">"Line "&amp;OFFSET(INDIRECT(RIGHT(G72,LEN(G72)-1)),0,-7)</f>
        <v>Line 62</v>
      </c>
    </row>
    <row r="73" spans="1:10">
      <c r="A73" s="1587">
        <f t="shared" si="0"/>
        <v>58</v>
      </c>
      <c r="B73" s="1233" t="str">
        <f>'Appendix A'!C117</f>
        <v>Total A&amp;G</v>
      </c>
      <c r="C73" s="275" t="str">
        <f t="shared" si="14"/>
        <v>Total A&amp;G Expenses</v>
      </c>
      <c r="D73" s="1105">
        <f t="shared" si="15"/>
        <v>103886947</v>
      </c>
      <c r="E73" s="1223">
        <f t="shared" si="16"/>
        <v>134217341</v>
      </c>
      <c r="F73" s="1235" t="s">
        <v>111</v>
      </c>
      <c r="G73" s="1237" t="s">
        <v>1782</v>
      </c>
      <c r="H73" s="2193">
        <f t="shared" ca="1" si="13"/>
        <v>0</v>
      </c>
      <c r="I73" s="1226" t="s">
        <v>335</v>
      </c>
      <c r="J73" s="1227" t="str">
        <f ca="1">"Line "&amp;OFFSET(INDIRECT(RIGHT(G73,LEN(G73)-1)),0,-7)</f>
        <v>Line 57</v>
      </c>
    </row>
    <row r="74" spans="1:10">
      <c r="A74" s="1587">
        <f t="shared" si="0"/>
        <v>59</v>
      </c>
      <c r="B74" s="1233" t="str">
        <f>'Att 5 - Cost Support'!C288</f>
        <v>Amortization of limited term electric plant (404)</v>
      </c>
      <c r="C74" s="275" t="str">
        <f t="shared" si="14"/>
        <v>Amort - Intangible, ltd term (FERC 404)</v>
      </c>
      <c r="D74" s="1105">
        <f t="shared" si="15"/>
        <v>39290397</v>
      </c>
      <c r="E74" s="1223">
        <f t="shared" si="16"/>
        <v>36050777</v>
      </c>
      <c r="F74" s="1235" t="s">
        <v>293</v>
      </c>
      <c r="G74" s="1237" t="s">
        <v>2144</v>
      </c>
      <c r="H74" s="2193">
        <f t="shared" ca="1" si="13"/>
        <v>0</v>
      </c>
      <c r="I74" s="1226" t="s">
        <v>1161</v>
      </c>
      <c r="J74" s="1227" t="s">
        <v>1176</v>
      </c>
    </row>
    <row r="75" spans="1:10">
      <c r="A75" s="1587">
        <f t="shared" si="0"/>
        <v>60</v>
      </c>
      <c r="B75" s="1233" t="str">
        <f>'Att 5 - Cost Support'!C289</f>
        <v>Amortization of other electric plant (405)</v>
      </c>
      <c r="C75" s="275" t="str">
        <f t="shared" si="14"/>
        <v>Amort exp - Intangible (FERC 405)</v>
      </c>
      <c r="D75" s="1105">
        <f t="shared" si="15"/>
        <v>0</v>
      </c>
      <c r="E75" s="1223">
        <f t="shared" si="16"/>
        <v>0</v>
      </c>
      <c r="F75" s="1235" t="s">
        <v>331</v>
      </c>
      <c r="G75" s="1237" t="s">
        <v>2145</v>
      </c>
      <c r="H75" s="2193">
        <f t="shared" ca="1" si="13"/>
        <v>0</v>
      </c>
      <c r="I75" s="1226" t="s">
        <v>1161</v>
      </c>
      <c r="J75" s="1227" t="s">
        <v>1176</v>
      </c>
    </row>
    <row r="76" spans="1:10">
      <c r="A76" s="1587">
        <f t="shared" si="0"/>
        <v>61</v>
      </c>
      <c r="B76" s="1233" t="str">
        <f>'Att 5 - Cost Support'!C278</f>
        <v>Depreciation expense (403)</v>
      </c>
      <c r="C76" s="275" t="str">
        <f t="shared" si="14"/>
        <v>Dep exp - Transmission (FERC 403)</v>
      </c>
      <c r="D76" s="1105">
        <f t="shared" si="15"/>
        <v>92085625</v>
      </c>
      <c r="E76" s="1223">
        <f t="shared" si="16"/>
        <v>99238672</v>
      </c>
      <c r="F76" s="1235" t="s">
        <v>295</v>
      </c>
      <c r="G76" s="1237" t="s">
        <v>2147</v>
      </c>
      <c r="H76" s="2193">
        <f t="shared" ca="1" si="13"/>
        <v>0</v>
      </c>
      <c r="I76" s="1226" t="s">
        <v>1161</v>
      </c>
      <c r="J76" s="1227" t="s">
        <v>1176</v>
      </c>
    </row>
    <row r="77" spans="1:10">
      <c r="A77" s="1587">
        <f t="shared" si="0"/>
        <v>62</v>
      </c>
      <c r="B77" s="1233" t="str">
        <f>'Att 5 - Cost Support'!C279</f>
        <v>Amortization of limited term electric plant (404)</v>
      </c>
      <c r="C77" s="275" t="str">
        <f t="shared" si="14"/>
        <v>Dep exp - Transmission, ltd term (FERC 404)</v>
      </c>
      <c r="D77" s="1105">
        <f t="shared" si="15"/>
        <v>0</v>
      </c>
      <c r="E77" s="1223">
        <f t="shared" si="16"/>
        <v>0</v>
      </c>
      <c r="F77" s="1235" t="s">
        <v>294</v>
      </c>
      <c r="G77" s="1237" t="s">
        <v>2146</v>
      </c>
      <c r="H77" s="2193">
        <f t="shared" ca="1" si="13"/>
        <v>0</v>
      </c>
      <c r="I77" s="1226" t="s">
        <v>1161</v>
      </c>
      <c r="J77" s="1227" t="s">
        <v>1176</v>
      </c>
    </row>
    <row r="78" spans="1:10">
      <c r="A78" s="1587">
        <f t="shared" si="0"/>
        <v>63</v>
      </c>
      <c r="B78" s="1233" t="str">
        <f>'Att 5 - Cost Support'!C283</f>
        <v>Depreciation expense (403)</v>
      </c>
      <c r="C78" s="275" t="str">
        <f t="shared" si="14"/>
        <v>Dep exp - General (FERC 403)</v>
      </c>
      <c r="D78" s="1105">
        <f t="shared" si="15"/>
        <v>39508869</v>
      </c>
      <c r="E78" s="1223">
        <f t="shared" si="16"/>
        <v>39308259</v>
      </c>
      <c r="F78" s="1235" t="s">
        <v>297</v>
      </c>
      <c r="G78" s="1237" t="s">
        <v>2148</v>
      </c>
      <c r="H78" s="2193">
        <f t="shared" ca="1" si="13"/>
        <v>0</v>
      </c>
      <c r="I78" s="1226" t="s">
        <v>1161</v>
      </c>
      <c r="J78" s="1227" t="s">
        <v>1176</v>
      </c>
    </row>
    <row r="79" spans="1:10">
      <c r="A79" s="1587">
        <f t="shared" si="0"/>
        <v>64</v>
      </c>
      <c r="B79" s="1233" t="str">
        <f>'Att 5 - Cost Support'!C284</f>
        <v>Amortization of limited term electric plant (404)</v>
      </c>
      <c r="C79" s="275" t="str">
        <f t="shared" si="14"/>
        <v>Dep exp - General, ltd term (FERC 404)</v>
      </c>
      <c r="D79" s="1105">
        <f t="shared" si="15"/>
        <v>1144615</v>
      </c>
      <c r="E79" s="1223">
        <f t="shared" si="16"/>
        <v>1358159</v>
      </c>
      <c r="F79" s="1235" t="s">
        <v>296</v>
      </c>
      <c r="G79" s="1237" t="s">
        <v>2149</v>
      </c>
      <c r="H79" s="2193">
        <f t="shared" ca="1" si="13"/>
        <v>0</v>
      </c>
      <c r="I79" s="1226" t="s">
        <v>1161</v>
      </c>
      <c r="J79" s="1227" t="s">
        <v>1176</v>
      </c>
    </row>
    <row r="80" spans="1:10">
      <c r="A80" s="1587">
        <f t="shared" si="0"/>
        <v>65</v>
      </c>
      <c r="B80" s="1233" t="str">
        <f>'Appendix A'!$C$12</f>
        <v>Transmission Wages Expense</v>
      </c>
      <c r="C80" s="275" t="str">
        <f t="shared" si="14"/>
        <v>Transmisison wages and salaries</v>
      </c>
      <c r="D80" s="1223">
        <f t="shared" si="15"/>
        <v>24934991</v>
      </c>
      <c r="E80" s="1223">
        <f t="shared" si="16"/>
        <v>25137301</v>
      </c>
      <c r="F80" s="1235" t="s">
        <v>44</v>
      </c>
      <c r="G80" s="1237" t="s">
        <v>1783</v>
      </c>
      <c r="H80" s="2193">
        <f t="shared" ca="1" si="13"/>
        <v>0</v>
      </c>
      <c r="I80" s="1226" t="s">
        <v>335</v>
      </c>
      <c r="J80" s="1227" t="str">
        <f ca="1">"Line "&amp;OFFSET(INDIRECT(RIGHT(G80,LEN(G80)-1)),0,-7)</f>
        <v>Line 1</v>
      </c>
    </row>
    <row r="81" spans="1:10">
      <c r="A81" s="1587">
        <f t="shared" si="0"/>
        <v>66</v>
      </c>
      <c r="B81" s="1233" t="str">
        <f>'Appendix A'!$C$14</f>
        <v>Total Wages Expense</v>
      </c>
      <c r="C81" s="275" t="str">
        <f t="shared" si="14"/>
        <v>Total O&amp;M salaries</v>
      </c>
      <c r="D81" s="1223">
        <f t="shared" si="15"/>
        <v>362793740</v>
      </c>
      <c r="E81" s="1223">
        <f t="shared" si="16"/>
        <v>356682932</v>
      </c>
      <c r="F81" s="1235" t="s">
        <v>46</v>
      </c>
      <c r="G81" s="1237" t="s">
        <v>1785</v>
      </c>
      <c r="H81" s="2193">
        <f ca="1">(INDIRECT(RIGHT(G81,LEN(G81)-1))-E81)</f>
        <v>0</v>
      </c>
      <c r="I81" s="1226" t="s">
        <v>335</v>
      </c>
      <c r="J81" s="1227" t="str">
        <f ca="1">"Line "&amp;OFFSET(INDIRECT(RIGHT(G81,LEN(G81)-1)),0,-7)</f>
        <v>Line 2</v>
      </c>
    </row>
    <row r="82" spans="1:10" s="462" customFormat="1">
      <c r="A82" s="1587">
        <f t="shared" si="0"/>
        <v>67</v>
      </c>
      <c r="B82" s="1233" t="str">
        <f>'Appendix A'!$C$15</f>
        <v>Less A&amp;G Wages Expense</v>
      </c>
      <c r="C82" s="275" t="str">
        <f t="shared" si="14"/>
        <v>A&amp;G wages and salaries</v>
      </c>
      <c r="D82" s="1223">
        <f t="shared" si="15"/>
        <v>41620401</v>
      </c>
      <c r="E82" s="1223">
        <f t="shared" si="16"/>
        <v>37744556</v>
      </c>
      <c r="F82" s="1235" t="s">
        <v>45</v>
      </c>
      <c r="G82" s="1237" t="s">
        <v>1784</v>
      </c>
      <c r="H82" s="2193">
        <f ca="1">(INDIRECT(RIGHT(G82,LEN(G82)-1))-E82)</f>
        <v>0</v>
      </c>
      <c r="I82" s="1226" t="s">
        <v>335</v>
      </c>
      <c r="J82" s="1227" t="str">
        <f ca="1">"Line "&amp;OFFSET(INDIRECT(RIGHT(G82,LEN(G82)-1)),0,-7)</f>
        <v>Line 3</v>
      </c>
    </row>
    <row r="83" spans="1:10">
      <c r="A83" s="112"/>
      <c r="D83" s="273"/>
      <c r="E83" s="273"/>
      <c r="G83" s="273"/>
      <c r="H83" s="273"/>
    </row>
    <row r="84" spans="1:10">
      <c r="C84" s="322"/>
      <c r="D84" s="650"/>
    </row>
    <row r="85" spans="1:10" ht="15.75" thickBot="1">
      <c r="A85" s="1091" t="s">
        <v>1179</v>
      </c>
      <c r="D85" s="273"/>
      <c r="E85" s="273"/>
      <c r="G85" s="273"/>
      <c r="H85" s="273"/>
    </row>
    <row r="86" spans="1:10" ht="13.5" thickBot="1">
      <c r="A86" s="1114" t="s">
        <v>30</v>
      </c>
      <c r="B86" s="1217" t="s">
        <v>1141</v>
      </c>
      <c r="C86" s="1218" t="s">
        <v>1955</v>
      </c>
      <c r="D86" s="1107" t="s">
        <v>1464</v>
      </c>
      <c r="E86" s="1107" t="s">
        <v>1463</v>
      </c>
      <c r="F86" s="1219" t="s">
        <v>26</v>
      </c>
      <c r="G86" s="2300"/>
      <c r="H86" s="2614" t="s">
        <v>304</v>
      </c>
      <c r="I86" s="2615"/>
      <c r="J86" s="322"/>
    </row>
    <row r="87" spans="1:10" s="462" customFormat="1">
      <c r="A87" s="251">
        <v>0</v>
      </c>
      <c r="B87" s="1162"/>
      <c r="C87" s="1084"/>
      <c r="D87" s="1814">
        <v>2014</v>
      </c>
      <c r="E87" s="1814">
        <v>2015</v>
      </c>
      <c r="F87" s="251"/>
      <c r="G87" s="251"/>
      <c r="H87" s="251"/>
      <c r="I87" s="251"/>
      <c r="J87" s="322"/>
    </row>
    <row r="88" spans="1:10" ht="25.5">
      <c r="A88" s="1826">
        <f>A87+1</f>
        <v>1</v>
      </c>
      <c r="B88" s="1827" t="s">
        <v>10</v>
      </c>
      <c r="C88" s="2299" t="s">
        <v>1946</v>
      </c>
      <c r="D88" s="1829">
        <v>0</v>
      </c>
      <c r="E88" s="1829">
        <v>0</v>
      </c>
      <c r="F88" s="2609" t="s">
        <v>1020</v>
      </c>
      <c r="G88" s="2610"/>
      <c r="H88" s="2608"/>
      <c r="I88" s="2608"/>
      <c r="J88" s="322"/>
    </row>
    <row r="89" spans="1:10" s="462" customFormat="1" ht="25.5">
      <c r="A89" s="1826">
        <f t="shared" ref="A89:A101" si="17">A88+1</f>
        <v>2</v>
      </c>
      <c r="B89" s="1828" t="s">
        <v>1730</v>
      </c>
      <c r="C89" s="2299" t="s">
        <v>1947</v>
      </c>
      <c r="D89" s="1829">
        <v>1751603.6500000001</v>
      </c>
      <c r="E89" s="1829">
        <v>1520802.88</v>
      </c>
      <c r="F89" s="2609" t="s">
        <v>2156</v>
      </c>
      <c r="G89" s="2610"/>
      <c r="H89" s="2608"/>
      <c r="I89" s="2608"/>
      <c r="J89" s="322"/>
    </row>
    <row r="90" spans="1:10" ht="25.5">
      <c r="A90" s="1826">
        <f t="shared" si="17"/>
        <v>3</v>
      </c>
      <c r="B90" s="1828" t="s">
        <v>426</v>
      </c>
      <c r="C90" s="2299" t="s">
        <v>1948</v>
      </c>
      <c r="D90" s="1829">
        <v>52282847.609999999</v>
      </c>
      <c r="E90" s="1829">
        <v>35613529.590000004</v>
      </c>
      <c r="F90" s="2609" t="s">
        <v>2157</v>
      </c>
      <c r="G90" s="2610"/>
      <c r="H90" s="2608"/>
      <c r="I90" s="2608"/>
      <c r="J90" s="322"/>
    </row>
    <row r="91" spans="1:10" ht="25.5">
      <c r="A91" s="1826">
        <f t="shared" si="17"/>
        <v>4</v>
      </c>
      <c r="B91" s="1827" t="s">
        <v>380</v>
      </c>
      <c r="C91" s="2299" t="s">
        <v>1949</v>
      </c>
      <c r="D91" s="1830">
        <v>0.35</v>
      </c>
      <c r="E91" s="1830">
        <v>0.35</v>
      </c>
      <c r="F91" s="2609" t="s">
        <v>2155</v>
      </c>
      <c r="G91" s="2610"/>
      <c r="H91" s="2608"/>
      <c r="I91" s="2608"/>
      <c r="J91" s="322"/>
    </row>
    <row r="92" spans="1:10" ht="25.5">
      <c r="A92" s="1826">
        <f t="shared" si="17"/>
        <v>5</v>
      </c>
      <c r="B92" s="1827" t="s">
        <v>379</v>
      </c>
      <c r="C92" s="2299" t="s">
        <v>1950</v>
      </c>
      <c r="D92" s="1830">
        <v>4.5400000000000003E-2</v>
      </c>
      <c r="E92" s="1830">
        <v>4.5400000000000003E-2</v>
      </c>
      <c r="F92" s="2609" t="s">
        <v>2155</v>
      </c>
      <c r="G92" s="2610"/>
      <c r="H92" s="2608"/>
      <c r="I92" s="2608"/>
      <c r="J92" s="322"/>
    </row>
    <row r="93" spans="1:10" ht="12.75" customHeight="1">
      <c r="A93" s="1826">
        <f t="shared" si="17"/>
        <v>6</v>
      </c>
      <c r="B93" s="1827" t="s">
        <v>381</v>
      </c>
      <c r="C93" s="2299" t="s">
        <v>1951</v>
      </c>
      <c r="D93" s="1830">
        <v>0</v>
      </c>
      <c r="E93" s="1830">
        <v>0</v>
      </c>
      <c r="F93" s="2609" t="s">
        <v>2155</v>
      </c>
      <c r="G93" s="2610"/>
      <c r="H93" s="2608"/>
      <c r="I93" s="2608"/>
      <c r="J93" s="322"/>
    </row>
    <row r="94" spans="1:10" s="331" customFormat="1" ht="25.5" customHeight="1">
      <c r="A94" s="1826">
        <f t="shared" si="17"/>
        <v>7</v>
      </c>
      <c r="B94" s="1831" t="s">
        <v>3</v>
      </c>
      <c r="C94" s="2299" t="s">
        <v>1952</v>
      </c>
      <c r="D94" s="1829">
        <v>3573673.69</v>
      </c>
      <c r="E94" s="1829">
        <v>3579420.42</v>
      </c>
      <c r="F94" s="2609" t="s">
        <v>2158</v>
      </c>
      <c r="G94" s="2610"/>
      <c r="H94" s="2608" t="s">
        <v>2150</v>
      </c>
      <c r="I94" s="2608"/>
      <c r="J94" s="322"/>
    </row>
    <row r="95" spans="1:10" s="331" customFormat="1" ht="39.75" customHeight="1">
      <c r="A95" s="2479">
        <f t="shared" si="17"/>
        <v>8</v>
      </c>
      <c r="B95" s="1831" t="s">
        <v>1492</v>
      </c>
      <c r="C95" s="2299" t="s">
        <v>1954</v>
      </c>
      <c r="D95" s="1829">
        <v>656040</v>
      </c>
      <c r="E95" s="1829">
        <v>1130302</v>
      </c>
      <c r="F95" s="2609" t="s">
        <v>2154</v>
      </c>
      <c r="G95" s="2611"/>
      <c r="H95" s="2608" t="s">
        <v>2152</v>
      </c>
      <c r="I95" s="2608"/>
      <c r="J95" s="322"/>
    </row>
    <row r="96" spans="1:10" s="331" customFormat="1" ht="53.25" customHeight="1">
      <c r="A96" s="2479">
        <f t="shared" si="17"/>
        <v>9</v>
      </c>
      <c r="B96" s="1831" t="s">
        <v>1493</v>
      </c>
      <c r="C96" s="2299" t="s">
        <v>1954</v>
      </c>
      <c r="D96" s="1829">
        <v>1162487</v>
      </c>
      <c r="E96" s="1829">
        <v>1077939</v>
      </c>
      <c r="F96" s="2609" t="s">
        <v>2154</v>
      </c>
      <c r="G96" s="2611"/>
      <c r="H96" s="2608" t="s">
        <v>2153</v>
      </c>
      <c r="I96" s="2608"/>
      <c r="J96" s="322"/>
    </row>
    <row r="97" spans="1:11" s="331" customFormat="1" ht="78" customHeight="1">
      <c r="A97" s="2479">
        <f t="shared" si="17"/>
        <v>10</v>
      </c>
      <c r="B97" s="1831" t="s">
        <v>1494</v>
      </c>
      <c r="C97" s="2299" t="s">
        <v>1954</v>
      </c>
      <c r="D97" s="1829">
        <v>46848.447490670515</v>
      </c>
      <c r="E97" s="1829">
        <v>47378.031998335275</v>
      </c>
      <c r="F97" s="2609" t="s">
        <v>2154</v>
      </c>
      <c r="G97" s="2611"/>
      <c r="H97" s="2608" t="s">
        <v>2163</v>
      </c>
      <c r="I97" s="2608"/>
      <c r="J97" s="322"/>
    </row>
    <row r="98" spans="1:11" s="331" customFormat="1" ht="39.75" customHeight="1">
      <c r="A98" s="1826">
        <f t="shared" si="17"/>
        <v>11</v>
      </c>
      <c r="B98" s="1832" t="s">
        <v>1815</v>
      </c>
      <c r="C98" s="2299" t="s">
        <v>1953</v>
      </c>
      <c r="D98" s="1829">
        <v>1498756.48</v>
      </c>
      <c r="E98" s="1829">
        <v>-500299.12999999989</v>
      </c>
      <c r="F98" s="2609" t="s">
        <v>2159</v>
      </c>
      <c r="G98" s="2610"/>
      <c r="H98" s="2608" t="s">
        <v>1971</v>
      </c>
      <c r="I98" s="2608"/>
      <c r="J98" s="322"/>
      <c r="K98" s="2487"/>
    </row>
    <row r="99" spans="1:11" s="331" customFormat="1" ht="42" customHeight="1">
      <c r="A99" s="1826">
        <f t="shared" si="17"/>
        <v>12</v>
      </c>
      <c r="B99" s="1831" t="s">
        <v>1495</v>
      </c>
      <c r="C99" s="2299" t="s">
        <v>1953</v>
      </c>
      <c r="D99" s="1829">
        <v>-1830050.1199999999</v>
      </c>
      <c r="E99" s="1829">
        <v>-68676.410000000018</v>
      </c>
      <c r="F99" s="2609" t="s">
        <v>2161</v>
      </c>
      <c r="G99" s="2610"/>
      <c r="H99" s="2608" t="s">
        <v>2165</v>
      </c>
      <c r="I99" s="2608"/>
      <c r="J99" s="322"/>
      <c r="K99" s="2487"/>
    </row>
    <row r="100" spans="1:11" s="331" customFormat="1" ht="69.75" customHeight="1">
      <c r="A100" s="1826">
        <f t="shared" si="17"/>
        <v>13</v>
      </c>
      <c r="B100" s="2298" t="s">
        <v>1942</v>
      </c>
      <c r="C100" s="2299" t="s">
        <v>1957</v>
      </c>
      <c r="D100" s="2201">
        <v>722565.54</v>
      </c>
      <c r="E100" s="2201">
        <v>738458.11</v>
      </c>
      <c r="F100" s="2609" t="s">
        <v>2160</v>
      </c>
      <c r="G100" s="2610"/>
      <c r="H100" s="2608" t="s">
        <v>2164</v>
      </c>
      <c r="I100" s="2608"/>
      <c r="J100" s="322"/>
    </row>
    <row r="101" spans="1:11" s="331" customFormat="1" ht="38.25">
      <c r="A101" s="1826">
        <f t="shared" si="17"/>
        <v>14</v>
      </c>
      <c r="B101" s="1832" t="s">
        <v>1943</v>
      </c>
      <c r="C101" s="2299" t="s">
        <v>1957</v>
      </c>
      <c r="D101" s="2201">
        <v>77473412.959999993</v>
      </c>
      <c r="E101" s="2201">
        <v>77496564.129999995</v>
      </c>
      <c r="F101" s="2609" t="s">
        <v>2162</v>
      </c>
      <c r="G101" s="2610"/>
      <c r="H101" s="2608" t="s">
        <v>1970</v>
      </c>
      <c r="I101" s="2608"/>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s>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election activeCell="H40" sqref="H40"/>
    </sheetView>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5" t="s">
        <v>1159</v>
      </c>
      <c r="C3" s="815"/>
      <c r="D3" s="815"/>
      <c r="E3" s="815"/>
      <c r="F3" s="815"/>
      <c r="G3" s="815"/>
      <c r="H3" s="815"/>
      <c r="I3" s="815"/>
      <c r="J3" s="815"/>
      <c r="K3" s="815"/>
      <c r="L3" s="160"/>
      <c r="M3" s="160"/>
      <c r="N3" s="160"/>
      <c r="O3" s="160"/>
      <c r="P3" s="160"/>
      <c r="Q3" s="160"/>
      <c r="R3" s="160"/>
    </row>
    <row r="4" spans="1:18">
      <c r="K4" s="2400"/>
    </row>
    <row r="5" spans="1:18" ht="15">
      <c r="B5" s="342" t="s">
        <v>385</v>
      </c>
      <c r="C5" s="2191" t="s">
        <v>1746</v>
      </c>
      <c r="D5" s="342" t="s">
        <v>386</v>
      </c>
      <c r="E5" s="342" t="s">
        <v>387</v>
      </c>
      <c r="F5" s="342" t="s">
        <v>388</v>
      </c>
      <c r="G5" s="342" t="s">
        <v>407</v>
      </c>
      <c r="H5" s="342" t="s">
        <v>389</v>
      </c>
      <c r="I5" s="2228">
        <v>2013</v>
      </c>
      <c r="J5" s="2228">
        <v>2014</v>
      </c>
      <c r="K5" s="2228">
        <v>2015</v>
      </c>
    </row>
    <row r="6" spans="1:18" ht="15" customHeight="1">
      <c r="B6" s="1163">
        <v>1</v>
      </c>
      <c r="C6" s="2190" t="s">
        <v>2199</v>
      </c>
      <c r="D6" s="1163">
        <v>114</v>
      </c>
      <c r="E6" s="1163">
        <v>14</v>
      </c>
      <c r="F6" s="1164" t="s">
        <v>390</v>
      </c>
      <c r="G6" s="1164" t="str">
        <f t="shared" ref="G6:G41" si="0">D6&amp;"."&amp;E6&amp;F6</f>
        <v>114.14c</v>
      </c>
      <c r="H6" s="1164" t="s">
        <v>391</v>
      </c>
      <c r="I6" s="2186">
        <v>169647183</v>
      </c>
      <c r="J6" s="2186">
        <v>171415396</v>
      </c>
      <c r="K6" s="2186">
        <v>185302308</v>
      </c>
    </row>
    <row r="7" spans="1:18" ht="15" customHeight="1">
      <c r="B7" s="1163">
        <f>B6+1</f>
        <v>2</v>
      </c>
      <c r="C7" s="2190" t="s">
        <v>2200</v>
      </c>
      <c r="D7" s="1163">
        <v>114</v>
      </c>
      <c r="E7" s="1163">
        <v>19</v>
      </c>
      <c r="F7" s="1164" t="s">
        <v>390</v>
      </c>
      <c r="G7" s="1164" t="str">
        <f t="shared" si="0"/>
        <v>114.19c</v>
      </c>
      <c r="H7" s="1164" t="s">
        <v>391</v>
      </c>
      <c r="I7" s="2186">
        <v>-1812064</v>
      </c>
      <c r="J7" s="2186">
        <v>-5019198</v>
      </c>
      <c r="K7" s="2186">
        <v>-4756408</v>
      </c>
    </row>
    <row r="8" spans="1:18" ht="15" customHeight="1">
      <c r="B8" s="1163">
        <f t="shared" ref="B8:B66" si="1">B7+1</f>
        <v>3</v>
      </c>
      <c r="C8" s="2190" t="s">
        <v>2201</v>
      </c>
      <c r="D8" s="1163">
        <v>200</v>
      </c>
      <c r="E8" s="1163">
        <v>21</v>
      </c>
      <c r="F8" s="1164" t="s">
        <v>390</v>
      </c>
      <c r="G8" s="1164" t="str">
        <f t="shared" si="0"/>
        <v>200.21c</v>
      </c>
      <c r="H8" s="1164" t="s">
        <v>392</v>
      </c>
      <c r="I8" s="2186">
        <v>529162303</v>
      </c>
      <c r="J8" s="2186">
        <v>555584757</v>
      </c>
      <c r="K8" s="2186">
        <v>559800280</v>
      </c>
    </row>
    <row r="9" spans="1:18" ht="15" customHeight="1">
      <c r="B9" s="1163">
        <f t="shared" si="1"/>
        <v>4</v>
      </c>
      <c r="C9" s="2190" t="s">
        <v>2202</v>
      </c>
      <c r="D9" s="1163">
        <v>204</v>
      </c>
      <c r="E9" s="1163">
        <v>5</v>
      </c>
      <c r="F9" s="1164" t="s">
        <v>400</v>
      </c>
      <c r="G9" s="1164" t="str">
        <f t="shared" si="0"/>
        <v>204.5b</v>
      </c>
      <c r="H9" s="1164" t="s">
        <v>639</v>
      </c>
      <c r="I9" s="2186">
        <v>854419426</v>
      </c>
      <c r="J9" s="2186">
        <v>857285828</v>
      </c>
      <c r="K9" s="2186">
        <v>880195125</v>
      </c>
    </row>
    <row r="10" spans="1:18" ht="15" customHeight="1">
      <c r="B10" s="1163">
        <f t="shared" si="1"/>
        <v>5</v>
      </c>
      <c r="C10" s="2190" t="s">
        <v>2203</v>
      </c>
      <c r="D10" s="1163">
        <v>204</v>
      </c>
      <c r="E10" s="1163">
        <v>5</v>
      </c>
      <c r="F10" s="1164" t="s">
        <v>360</v>
      </c>
      <c r="G10" s="1164" t="str">
        <f t="shared" si="0"/>
        <v>204.5g</v>
      </c>
      <c r="H10" s="1164" t="s">
        <v>393</v>
      </c>
      <c r="I10" s="2186">
        <v>857285828</v>
      </c>
      <c r="J10" s="2186">
        <v>880195125</v>
      </c>
      <c r="K10" s="2186">
        <v>876732473</v>
      </c>
    </row>
    <row r="11" spans="1:18" ht="15" customHeight="1">
      <c r="B11" s="1163">
        <f t="shared" si="1"/>
        <v>6</v>
      </c>
      <c r="C11" s="2190" t="s">
        <v>2204</v>
      </c>
      <c r="D11" s="1163">
        <v>204</v>
      </c>
      <c r="E11" s="1163">
        <v>46</v>
      </c>
      <c r="F11" s="1164" t="s">
        <v>400</v>
      </c>
      <c r="G11" s="1164" t="str">
        <f t="shared" si="0"/>
        <v>204.46b</v>
      </c>
      <c r="H11" s="1164" t="s">
        <v>639</v>
      </c>
      <c r="I11" s="2186">
        <v>10942646469</v>
      </c>
      <c r="J11" s="2186">
        <v>11049334932</v>
      </c>
      <c r="K11" s="2186">
        <v>11922598581</v>
      </c>
    </row>
    <row r="12" spans="1:18" ht="15" customHeight="1">
      <c r="B12" s="1163">
        <f t="shared" si="1"/>
        <v>7</v>
      </c>
      <c r="C12" s="2190" t="s">
        <v>2205</v>
      </c>
      <c r="D12" s="1163">
        <v>204</v>
      </c>
      <c r="E12" s="1163">
        <v>46</v>
      </c>
      <c r="F12" s="1164" t="s">
        <v>360</v>
      </c>
      <c r="G12" s="1164" t="str">
        <f t="shared" si="0"/>
        <v>204.46g</v>
      </c>
      <c r="H12" s="1164" t="s">
        <v>393</v>
      </c>
      <c r="I12" s="2186">
        <v>11049334932</v>
      </c>
      <c r="J12" s="2186">
        <v>11922598581</v>
      </c>
      <c r="K12" s="2186">
        <v>12154489265</v>
      </c>
    </row>
    <row r="13" spans="1:18" ht="15" customHeight="1">
      <c r="B13" s="1163">
        <f t="shared" si="1"/>
        <v>8</v>
      </c>
      <c r="C13" s="2190" t="s">
        <v>2206</v>
      </c>
      <c r="D13" s="2184">
        <v>206</v>
      </c>
      <c r="E13" s="2184">
        <v>58</v>
      </c>
      <c r="F13" s="2185" t="s">
        <v>400</v>
      </c>
      <c r="G13" s="2185" t="str">
        <f>D13&amp;"."&amp;E13&amp;F13</f>
        <v>206.58b</v>
      </c>
      <c r="H13" s="1164" t="s">
        <v>639</v>
      </c>
      <c r="I13" s="2186">
        <v>4724913520</v>
      </c>
      <c r="J13" s="2186">
        <v>5231106254</v>
      </c>
      <c r="K13" s="2186">
        <v>5387870877</v>
      </c>
    </row>
    <row r="14" spans="1:18" ht="15" customHeight="1">
      <c r="B14" s="1163">
        <f t="shared" si="1"/>
        <v>9</v>
      </c>
      <c r="C14" s="2190" t="s">
        <v>2207</v>
      </c>
      <c r="D14" s="1163">
        <v>207</v>
      </c>
      <c r="E14" s="1163">
        <v>58</v>
      </c>
      <c r="F14" s="1164" t="s">
        <v>360</v>
      </c>
      <c r="G14" s="1164" t="str">
        <f>D14&amp;"."&amp;E14&amp;F14</f>
        <v>207.58g</v>
      </c>
      <c r="H14" s="1164" t="s">
        <v>393</v>
      </c>
      <c r="I14" s="2186">
        <v>5231106254</v>
      </c>
      <c r="J14" s="2186">
        <v>5387870877</v>
      </c>
      <c r="K14" s="2186">
        <v>5910756444</v>
      </c>
    </row>
    <row r="15" spans="1:18" ht="15" customHeight="1">
      <c r="B15" s="1163">
        <f t="shared" si="1"/>
        <v>10</v>
      </c>
      <c r="C15" s="2190" t="s">
        <v>2208</v>
      </c>
      <c r="D15" s="1163">
        <v>206</v>
      </c>
      <c r="E15" s="1163">
        <v>75</v>
      </c>
      <c r="F15" s="1164" t="s">
        <v>400</v>
      </c>
      <c r="G15" s="1164" t="str">
        <f t="shared" si="0"/>
        <v>206.75b</v>
      </c>
      <c r="H15" s="1164" t="s">
        <v>639</v>
      </c>
      <c r="I15" s="2186">
        <v>5852985088</v>
      </c>
      <c r="J15" s="2186">
        <v>6023412371</v>
      </c>
      <c r="K15" s="2186">
        <v>6190391726</v>
      </c>
    </row>
    <row r="16" spans="1:18" ht="15" customHeight="1">
      <c r="B16" s="1163">
        <f t="shared" si="1"/>
        <v>11</v>
      </c>
      <c r="C16" s="2190" t="s">
        <v>2209</v>
      </c>
      <c r="D16" s="1163">
        <v>206</v>
      </c>
      <c r="E16" s="1163">
        <v>75</v>
      </c>
      <c r="F16" s="1164" t="s">
        <v>360</v>
      </c>
      <c r="G16" s="1164" t="str">
        <f t="shared" si="0"/>
        <v>206.75g</v>
      </c>
      <c r="H16" s="1164" t="s">
        <v>393</v>
      </c>
      <c r="I16" s="2186">
        <v>6023412371</v>
      </c>
      <c r="J16" s="2186">
        <v>6190391726</v>
      </c>
      <c r="K16" s="2186">
        <v>6401275118</v>
      </c>
    </row>
    <row r="17" spans="2:11" ht="15" customHeight="1">
      <c r="B17" s="1163">
        <f t="shared" si="1"/>
        <v>12</v>
      </c>
      <c r="C17" s="2190" t="s">
        <v>2210</v>
      </c>
      <c r="D17" s="1163">
        <v>206</v>
      </c>
      <c r="E17" s="1163">
        <v>99</v>
      </c>
      <c r="F17" s="1164" t="s">
        <v>400</v>
      </c>
      <c r="G17" s="1164" t="str">
        <f t="shared" si="0"/>
        <v>206.99b</v>
      </c>
      <c r="H17" s="1164" t="s">
        <v>639</v>
      </c>
      <c r="I17" s="2186">
        <v>1359148793</v>
      </c>
      <c r="J17" s="2186">
        <v>1417753200</v>
      </c>
      <c r="K17" s="2186">
        <v>1445031807</v>
      </c>
    </row>
    <row r="18" spans="2:11" ht="15" customHeight="1">
      <c r="B18" s="1163">
        <f t="shared" si="1"/>
        <v>13</v>
      </c>
      <c r="C18" s="2190" t="s">
        <v>2211</v>
      </c>
      <c r="D18" s="1163">
        <v>207</v>
      </c>
      <c r="E18" s="1163">
        <v>99</v>
      </c>
      <c r="F18" s="1164" t="s">
        <v>360</v>
      </c>
      <c r="G18" s="1164" t="str">
        <f t="shared" si="0"/>
        <v>207.99g</v>
      </c>
      <c r="H18" s="1164" t="s">
        <v>393</v>
      </c>
      <c r="I18" s="2186">
        <v>1417753200</v>
      </c>
      <c r="J18" s="2186">
        <v>1445031807</v>
      </c>
      <c r="K18" s="2186">
        <v>1173341618</v>
      </c>
    </row>
    <row r="19" spans="2:11" ht="15" customHeight="1">
      <c r="B19" s="1163">
        <f t="shared" si="1"/>
        <v>14</v>
      </c>
      <c r="C19" s="2475" t="s">
        <v>2131</v>
      </c>
      <c r="D19" s="2474">
        <v>206</v>
      </c>
      <c r="E19" s="2474">
        <v>101</v>
      </c>
      <c r="F19" s="2476" t="s">
        <v>360</v>
      </c>
      <c r="G19" s="2476" t="str">
        <f t="shared" si="0"/>
        <v>206.101g</v>
      </c>
      <c r="H19" s="1164" t="s">
        <v>393</v>
      </c>
      <c r="I19" s="2477"/>
      <c r="J19" s="2477">
        <v>0</v>
      </c>
      <c r="K19" s="2186">
        <v>1460458</v>
      </c>
    </row>
    <row r="20" spans="2:11" ht="15" customHeight="1">
      <c r="B20" s="1163">
        <f t="shared" si="1"/>
        <v>15</v>
      </c>
      <c r="C20" s="2190" t="s">
        <v>2212</v>
      </c>
      <c r="D20" s="1667">
        <v>206</v>
      </c>
      <c r="E20" s="1667">
        <v>102</v>
      </c>
      <c r="F20" s="1668" t="s">
        <v>360</v>
      </c>
      <c r="G20" s="1668" t="str">
        <f t="shared" si="0"/>
        <v>206.102g</v>
      </c>
      <c r="H20" s="1164" t="s">
        <v>393</v>
      </c>
      <c r="I20" s="2186">
        <v>0</v>
      </c>
      <c r="J20" s="2186">
        <v>0</v>
      </c>
      <c r="K20" s="2186">
        <v>-561324</v>
      </c>
    </row>
    <row r="21" spans="2:11" ht="15" customHeight="1">
      <c r="B21" s="1163">
        <f t="shared" si="1"/>
        <v>16</v>
      </c>
      <c r="C21" s="2190" t="s">
        <v>2213</v>
      </c>
      <c r="D21" s="2184">
        <v>206</v>
      </c>
      <c r="E21" s="2184">
        <v>104</v>
      </c>
      <c r="F21" s="2185" t="s">
        <v>400</v>
      </c>
      <c r="G21" s="2185" t="str">
        <f t="shared" si="0"/>
        <v>206.104b</v>
      </c>
      <c r="H21" s="1164" t="s">
        <v>639</v>
      </c>
      <c r="I21" s="2186">
        <v>23734237296</v>
      </c>
      <c r="J21" s="2186">
        <v>24578892585</v>
      </c>
      <c r="K21" s="2186">
        <v>25826088116</v>
      </c>
    </row>
    <row r="22" spans="2:11" ht="15" customHeight="1">
      <c r="B22" s="1163">
        <f t="shared" si="1"/>
        <v>17</v>
      </c>
      <c r="C22" s="2190" t="s">
        <v>2214</v>
      </c>
      <c r="D22" s="2184">
        <v>206</v>
      </c>
      <c r="E22" s="2184">
        <v>104</v>
      </c>
      <c r="F22" s="2185" t="s">
        <v>360</v>
      </c>
      <c r="G22" s="2185" t="str">
        <f t="shared" si="0"/>
        <v>206.104g</v>
      </c>
      <c r="H22" s="1164" t="s">
        <v>393</v>
      </c>
      <c r="I22" s="2186">
        <v>24578892585</v>
      </c>
      <c r="J22" s="2186">
        <v>25826088116</v>
      </c>
      <c r="K22" s="2186">
        <v>26518616700</v>
      </c>
    </row>
    <row r="23" spans="2:11" ht="15" customHeight="1">
      <c r="B23" s="1163">
        <f t="shared" si="1"/>
        <v>18</v>
      </c>
      <c r="C23" s="2190" t="s">
        <v>2215</v>
      </c>
      <c r="D23" s="1163">
        <v>214</v>
      </c>
      <c r="E23" s="1163">
        <v>47</v>
      </c>
      <c r="F23" s="1164" t="s">
        <v>394</v>
      </c>
      <c r="G23" s="1164" t="str">
        <f t="shared" si="0"/>
        <v>214.47d</v>
      </c>
      <c r="H23" s="1164" t="s">
        <v>395</v>
      </c>
      <c r="I23" s="2186">
        <v>23368811</v>
      </c>
      <c r="J23" s="2186">
        <v>23319217</v>
      </c>
      <c r="K23" s="2186">
        <v>23319217</v>
      </c>
    </row>
    <row r="24" spans="2:11" ht="15" customHeight="1">
      <c r="B24" s="1163">
        <f t="shared" si="1"/>
        <v>19</v>
      </c>
      <c r="C24" s="2190" t="s">
        <v>2216</v>
      </c>
      <c r="D24" s="1593">
        <v>219</v>
      </c>
      <c r="E24" s="1593">
        <v>20</v>
      </c>
      <c r="F24" s="1594" t="s">
        <v>390</v>
      </c>
      <c r="G24" s="1164" t="str">
        <f t="shared" si="0"/>
        <v>219.20c</v>
      </c>
      <c r="H24" s="1164" t="s">
        <v>396</v>
      </c>
      <c r="I24" s="2186">
        <v>2621710730</v>
      </c>
      <c r="J24" s="2186">
        <v>2822999224</v>
      </c>
      <c r="K24" s="2186">
        <v>2886821179</v>
      </c>
    </row>
    <row r="25" spans="2:11" ht="15" customHeight="1">
      <c r="B25" s="1163">
        <f t="shared" si="1"/>
        <v>20</v>
      </c>
      <c r="C25" s="2190" t="s">
        <v>2217</v>
      </c>
      <c r="D25" s="1593">
        <v>219</v>
      </c>
      <c r="E25" s="1593">
        <v>21</v>
      </c>
      <c r="F25" s="1594" t="s">
        <v>390</v>
      </c>
      <c r="G25" s="1164" t="str">
        <f t="shared" si="0"/>
        <v>219.21c</v>
      </c>
      <c r="H25" s="1164" t="s">
        <v>396</v>
      </c>
      <c r="I25" s="2186">
        <v>0</v>
      </c>
      <c r="J25" s="2186">
        <v>0</v>
      </c>
      <c r="K25" s="2186">
        <v>0</v>
      </c>
    </row>
    <row r="26" spans="2:11" ht="15" customHeight="1">
      <c r="B26" s="1163">
        <f t="shared" si="1"/>
        <v>21</v>
      </c>
      <c r="C26" s="2190" t="s">
        <v>2218</v>
      </c>
      <c r="D26" s="1593">
        <v>219</v>
      </c>
      <c r="E26" s="1593">
        <v>22</v>
      </c>
      <c r="F26" s="1594" t="s">
        <v>390</v>
      </c>
      <c r="G26" s="1164" t="str">
        <f t="shared" si="0"/>
        <v>219.22c</v>
      </c>
      <c r="H26" s="1164" t="s">
        <v>396</v>
      </c>
      <c r="I26" s="2186">
        <v>281113356</v>
      </c>
      <c r="J26" s="2186">
        <v>302834825</v>
      </c>
      <c r="K26" s="2186">
        <v>327988750</v>
      </c>
    </row>
    <row r="27" spans="2:11" ht="15" customHeight="1">
      <c r="B27" s="1163">
        <f t="shared" si="1"/>
        <v>22</v>
      </c>
      <c r="C27" s="2190" t="s">
        <v>2219</v>
      </c>
      <c r="D27" s="1593">
        <v>219</v>
      </c>
      <c r="E27" s="1593">
        <v>23</v>
      </c>
      <c r="F27" s="1594" t="s">
        <v>390</v>
      </c>
      <c r="G27" s="1164" t="str">
        <f t="shared" si="0"/>
        <v>219.23c</v>
      </c>
      <c r="H27" s="1164" t="s">
        <v>396</v>
      </c>
      <c r="I27" s="2186">
        <v>0</v>
      </c>
      <c r="J27" s="2186">
        <v>0</v>
      </c>
      <c r="K27" s="2186">
        <v>0</v>
      </c>
    </row>
    <row r="28" spans="2:11" ht="15" customHeight="1">
      <c r="B28" s="1163">
        <f t="shared" si="1"/>
        <v>23</v>
      </c>
      <c r="C28" s="2190" t="s">
        <v>2220</v>
      </c>
      <c r="D28" s="1593">
        <v>219</v>
      </c>
      <c r="E28" s="1593">
        <v>24</v>
      </c>
      <c r="F28" s="1594" t="s">
        <v>390</v>
      </c>
      <c r="G28" s="1164" t="str">
        <f t="shared" si="0"/>
        <v>219.24c</v>
      </c>
      <c r="H28" s="1164" t="s">
        <v>396</v>
      </c>
      <c r="I28" s="2186">
        <v>672417401</v>
      </c>
      <c r="J28" s="2186">
        <v>777090296</v>
      </c>
      <c r="K28" s="2186">
        <v>847165096</v>
      </c>
    </row>
    <row r="29" spans="2:11" ht="15" customHeight="1">
      <c r="B29" s="1163">
        <f t="shared" si="1"/>
        <v>24</v>
      </c>
      <c r="C29" s="2190" t="s">
        <v>2221</v>
      </c>
      <c r="D29" s="1163">
        <v>219</v>
      </c>
      <c r="E29" s="1163">
        <v>25</v>
      </c>
      <c r="F29" s="1164" t="s">
        <v>390</v>
      </c>
      <c r="G29" s="1164" t="str">
        <f t="shared" si="0"/>
        <v>219.25c</v>
      </c>
      <c r="H29" s="1164" t="s">
        <v>396</v>
      </c>
      <c r="I29" s="2186">
        <v>1361684760</v>
      </c>
      <c r="J29" s="2186">
        <v>1432003537</v>
      </c>
      <c r="K29" s="2186">
        <v>1503737225</v>
      </c>
    </row>
    <row r="30" spans="2:11" ht="15" customHeight="1">
      <c r="B30" s="1163">
        <f t="shared" si="1"/>
        <v>25</v>
      </c>
      <c r="C30" s="2190" t="s">
        <v>2222</v>
      </c>
      <c r="D30" s="1163">
        <v>219</v>
      </c>
      <c r="E30" s="1163">
        <v>26</v>
      </c>
      <c r="F30" s="1164" t="s">
        <v>390</v>
      </c>
      <c r="G30" s="1164" t="str">
        <f t="shared" si="0"/>
        <v>219.26c</v>
      </c>
      <c r="H30" s="1164" t="s">
        <v>396</v>
      </c>
      <c r="I30" s="2186">
        <v>2387803953</v>
      </c>
      <c r="J30" s="2186">
        <v>2479873031</v>
      </c>
      <c r="K30" s="2186">
        <v>2581141819</v>
      </c>
    </row>
    <row r="31" spans="2:11" ht="15" customHeight="1">
      <c r="B31" s="1163">
        <f t="shared" si="1"/>
        <v>26</v>
      </c>
      <c r="C31" s="2190" t="s">
        <v>2223</v>
      </c>
      <c r="D31" s="1163">
        <v>219</v>
      </c>
      <c r="E31" s="1163">
        <v>28</v>
      </c>
      <c r="F31" s="1164" t="s">
        <v>390</v>
      </c>
      <c r="G31" s="1164" t="str">
        <f t="shared" si="0"/>
        <v>219.28c</v>
      </c>
      <c r="H31" s="1164" t="s">
        <v>396</v>
      </c>
      <c r="I31" s="2186">
        <v>539021263</v>
      </c>
      <c r="J31" s="2186">
        <v>580388319</v>
      </c>
      <c r="K31" s="2186">
        <v>418947737</v>
      </c>
    </row>
    <row r="32" spans="2:11" ht="15" customHeight="1">
      <c r="B32" s="1163">
        <f t="shared" si="1"/>
        <v>27</v>
      </c>
      <c r="C32" s="2190" t="s">
        <v>2224</v>
      </c>
      <c r="D32" s="1163">
        <v>219</v>
      </c>
      <c r="E32" s="1163">
        <v>29</v>
      </c>
      <c r="F32" s="1164" t="s">
        <v>390</v>
      </c>
      <c r="G32" s="1164" t="str">
        <f t="shared" si="0"/>
        <v>219.29c</v>
      </c>
      <c r="H32" s="1164" t="s">
        <v>396</v>
      </c>
      <c r="I32" s="2186">
        <v>7863751463</v>
      </c>
      <c r="J32" s="2186">
        <v>8395189232</v>
      </c>
      <c r="K32" s="2186">
        <v>8565801806</v>
      </c>
    </row>
    <row r="33" spans="2:11" ht="15" customHeight="1">
      <c r="B33" s="1163">
        <f t="shared" si="1"/>
        <v>28</v>
      </c>
      <c r="C33" s="2190" t="s">
        <v>2225</v>
      </c>
      <c r="D33" s="1163">
        <v>227</v>
      </c>
      <c r="E33" s="1163">
        <v>5</v>
      </c>
      <c r="F33" s="1164" t="s">
        <v>390</v>
      </c>
      <c r="G33" s="1164" t="str">
        <f t="shared" si="0"/>
        <v>227.5c</v>
      </c>
      <c r="H33" s="1164" t="s">
        <v>393</v>
      </c>
      <c r="I33" s="2186">
        <v>91333148</v>
      </c>
      <c r="J33" s="2186">
        <v>111221100</v>
      </c>
      <c r="K33" s="2186">
        <v>134703542</v>
      </c>
    </row>
    <row r="34" spans="2:11" ht="15" customHeight="1">
      <c r="B34" s="1163">
        <f t="shared" si="1"/>
        <v>29</v>
      </c>
      <c r="C34" s="2190" t="s">
        <v>2226</v>
      </c>
      <c r="D34" s="1163">
        <v>227</v>
      </c>
      <c r="E34" s="1163">
        <v>8</v>
      </c>
      <c r="F34" s="1164" t="s">
        <v>390</v>
      </c>
      <c r="G34" s="1164" t="str">
        <f t="shared" si="0"/>
        <v>227.8c</v>
      </c>
      <c r="H34" s="1164" t="s">
        <v>393</v>
      </c>
      <c r="I34" s="2186">
        <v>678432</v>
      </c>
      <c r="J34" s="2186">
        <v>490752</v>
      </c>
      <c r="K34" s="2186">
        <v>653625</v>
      </c>
    </row>
    <row r="35" spans="2:11" ht="15" customHeight="1">
      <c r="B35" s="1163">
        <f t="shared" si="1"/>
        <v>30</v>
      </c>
      <c r="C35" s="2190" t="s">
        <v>2227</v>
      </c>
      <c r="D35" s="1163">
        <v>227</v>
      </c>
      <c r="E35" s="1163">
        <v>16</v>
      </c>
      <c r="F35" s="1164" t="s">
        <v>390</v>
      </c>
      <c r="G35" s="1164" t="str">
        <f t="shared" si="0"/>
        <v>227.16c</v>
      </c>
      <c r="H35" s="1164" t="s">
        <v>393</v>
      </c>
      <c r="I35" s="2186">
        <v>0</v>
      </c>
      <c r="J35" s="2186">
        <v>0</v>
      </c>
      <c r="K35" s="2186">
        <v>0</v>
      </c>
    </row>
    <row r="36" spans="2:11" ht="15" customHeight="1">
      <c r="B36" s="1163">
        <f t="shared" si="1"/>
        <v>31</v>
      </c>
      <c r="C36" s="2190" t="s">
        <v>2228</v>
      </c>
      <c r="D36" s="1667">
        <v>234</v>
      </c>
      <c r="E36" s="1667">
        <v>18</v>
      </c>
      <c r="F36" s="1668" t="s">
        <v>400</v>
      </c>
      <c r="G36" s="1668" t="str">
        <f t="shared" si="0"/>
        <v>234.18b</v>
      </c>
      <c r="H36" s="1668" t="s">
        <v>639</v>
      </c>
      <c r="I36" s="2186">
        <v>648219005</v>
      </c>
      <c r="J36" s="2186">
        <v>482567288</v>
      </c>
      <c r="K36" s="2186">
        <v>544969532</v>
      </c>
    </row>
    <row r="37" spans="2:11" ht="15" customHeight="1">
      <c r="B37" s="1163">
        <f t="shared" si="1"/>
        <v>32</v>
      </c>
      <c r="C37" s="2190" t="s">
        <v>2229</v>
      </c>
      <c r="D37" s="1667">
        <v>234</v>
      </c>
      <c r="E37" s="1667">
        <v>18</v>
      </c>
      <c r="F37" s="1668" t="s">
        <v>390</v>
      </c>
      <c r="G37" s="1668" t="str">
        <f t="shared" si="0"/>
        <v>234.18c</v>
      </c>
      <c r="H37" s="1668" t="s">
        <v>393</v>
      </c>
      <c r="I37" s="2186">
        <v>482567288</v>
      </c>
      <c r="J37" s="2186">
        <v>544969532</v>
      </c>
      <c r="K37" s="2186">
        <v>606211204</v>
      </c>
    </row>
    <row r="38" spans="2:11" ht="15" customHeight="1">
      <c r="B38" s="1163">
        <f t="shared" si="1"/>
        <v>33</v>
      </c>
      <c r="C38" s="2190" t="s">
        <v>2230</v>
      </c>
      <c r="D38" s="1667">
        <v>272</v>
      </c>
      <c r="E38" s="1667">
        <v>17</v>
      </c>
      <c r="F38" s="1668" t="s">
        <v>400</v>
      </c>
      <c r="G38" s="1668" t="str">
        <f t="shared" si="0"/>
        <v>272.17b</v>
      </c>
      <c r="H38" s="1701" t="s">
        <v>1476</v>
      </c>
      <c r="I38" s="2186">
        <v>208722047</v>
      </c>
      <c r="J38" s="2186">
        <v>226880978</v>
      </c>
      <c r="K38" s="2186">
        <v>252151842</v>
      </c>
    </row>
    <row r="39" spans="2:11" ht="15" customHeight="1">
      <c r="B39" s="1163">
        <f t="shared" si="1"/>
        <v>34</v>
      </c>
      <c r="C39" s="2190" t="s">
        <v>2231</v>
      </c>
      <c r="D39" s="1667">
        <v>272</v>
      </c>
      <c r="E39" s="1667">
        <v>17</v>
      </c>
      <c r="F39" s="1668" t="s">
        <v>398</v>
      </c>
      <c r="G39" s="1668" t="str">
        <f t="shared" si="0"/>
        <v>272.17k</v>
      </c>
      <c r="H39" s="1164" t="s">
        <v>399</v>
      </c>
      <c r="I39" s="2186">
        <v>226880978</v>
      </c>
      <c r="J39" s="2186">
        <v>252151842</v>
      </c>
      <c r="K39" s="2186">
        <v>285986998</v>
      </c>
    </row>
    <row r="40" spans="2:11" ht="15" customHeight="1">
      <c r="B40" s="1163">
        <f t="shared" si="1"/>
        <v>35</v>
      </c>
      <c r="C40" s="2190" t="s">
        <v>2232</v>
      </c>
      <c r="D40" s="1163">
        <v>274</v>
      </c>
      <c r="E40" s="1163">
        <v>9</v>
      </c>
      <c r="F40" s="1164" t="s">
        <v>400</v>
      </c>
      <c r="G40" s="1164" t="str">
        <f t="shared" si="0"/>
        <v>274.9b</v>
      </c>
      <c r="H40" s="1701" t="s">
        <v>1476</v>
      </c>
      <c r="I40" s="2186">
        <v>3796825280</v>
      </c>
      <c r="J40" s="2186">
        <v>3991613412</v>
      </c>
      <c r="K40" s="2186">
        <v>4244780923</v>
      </c>
    </row>
    <row r="41" spans="2:11" ht="15" customHeight="1">
      <c r="B41" s="1163">
        <f t="shared" si="1"/>
        <v>36</v>
      </c>
      <c r="C41" s="2190" t="s">
        <v>2233</v>
      </c>
      <c r="D41" s="1163">
        <v>274</v>
      </c>
      <c r="E41" s="1163">
        <v>9</v>
      </c>
      <c r="F41" s="1164" t="s">
        <v>398</v>
      </c>
      <c r="G41" s="1164" t="str">
        <f t="shared" si="0"/>
        <v>274.9k</v>
      </c>
      <c r="H41" s="1164" t="s">
        <v>399</v>
      </c>
      <c r="I41" s="2186">
        <v>3991613412</v>
      </c>
      <c r="J41" s="2186">
        <v>4244780923</v>
      </c>
      <c r="K41" s="2186">
        <v>4414667387</v>
      </c>
    </row>
    <row r="42" spans="2:11" ht="15" customHeight="1">
      <c r="B42" s="1163">
        <f t="shared" si="1"/>
        <v>37</v>
      </c>
      <c r="C42" s="2190" t="s">
        <v>2234</v>
      </c>
      <c r="D42" s="1163">
        <v>276</v>
      </c>
      <c r="E42" s="1163">
        <v>19</v>
      </c>
      <c r="F42" s="1164" t="s">
        <v>400</v>
      </c>
      <c r="G42" s="1164" t="str">
        <f t="shared" ref="G42:G65" si="2">D42&amp;"."&amp;E42&amp;F42</f>
        <v>276.19b</v>
      </c>
      <c r="H42" s="1164" t="s">
        <v>1476</v>
      </c>
      <c r="I42" s="2186">
        <v>728061162</v>
      </c>
      <c r="J42" s="2186">
        <v>556381073</v>
      </c>
      <c r="K42" s="2186">
        <v>633311644</v>
      </c>
    </row>
    <row r="43" spans="2:11" ht="15" customHeight="1">
      <c r="B43" s="1163">
        <f t="shared" si="1"/>
        <v>38</v>
      </c>
      <c r="C43" s="2190" t="s">
        <v>2235</v>
      </c>
      <c r="D43" s="1163">
        <v>276</v>
      </c>
      <c r="E43" s="1163">
        <v>19</v>
      </c>
      <c r="F43" s="1164" t="s">
        <v>398</v>
      </c>
      <c r="G43" s="1164" t="str">
        <f t="shared" si="2"/>
        <v>276.19k</v>
      </c>
      <c r="H43" s="1164" t="s">
        <v>399</v>
      </c>
      <c r="I43" s="2186">
        <v>556381073</v>
      </c>
      <c r="J43" s="2186">
        <v>633311644</v>
      </c>
      <c r="K43" s="2186">
        <v>657526736</v>
      </c>
    </row>
    <row r="44" spans="2:11" ht="15" customHeight="1">
      <c r="B44" s="1163">
        <f t="shared" si="1"/>
        <v>39</v>
      </c>
      <c r="C44" s="2190" t="s">
        <v>2236</v>
      </c>
      <c r="D44" s="2184">
        <v>321</v>
      </c>
      <c r="E44" s="2184">
        <v>84</v>
      </c>
      <c r="F44" s="2185" t="s">
        <v>400</v>
      </c>
      <c r="G44" s="2185" t="str">
        <f t="shared" si="2"/>
        <v>321.84b</v>
      </c>
      <c r="H44" s="1164" t="s">
        <v>401</v>
      </c>
      <c r="I44" s="2186">
        <v>0</v>
      </c>
      <c r="J44" s="2186">
        <v>0</v>
      </c>
      <c r="K44" s="2186">
        <v>0</v>
      </c>
    </row>
    <row r="45" spans="2:11" ht="15" customHeight="1">
      <c r="B45" s="1163">
        <f t="shared" si="1"/>
        <v>40</v>
      </c>
      <c r="C45" s="2190" t="s">
        <v>2237</v>
      </c>
      <c r="D45" s="1163">
        <v>321</v>
      </c>
      <c r="E45" s="1163">
        <v>85</v>
      </c>
      <c r="F45" s="1164" t="s">
        <v>400</v>
      </c>
      <c r="G45" s="1164" t="str">
        <f t="shared" si="2"/>
        <v>321.85b</v>
      </c>
      <c r="H45" s="1164" t="s">
        <v>401</v>
      </c>
      <c r="I45" s="2186">
        <v>0</v>
      </c>
      <c r="J45" s="2186">
        <v>0</v>
      </c>
      <c r="K45" s="2186">
        <v>0</v>
      </c>
    </row>
    <row r="46" spans="2:11" ht="15" customHeight="1">
      <c r="B46" s="1163">
        <f t="shared" si="1"/>
        <v>41</v>
      </c>
      <c r="C46" s="2190" t="s">
        <v>2238</v>
      </c>
      <c r="D46" s="1163">
        <v>321</v>
      </c>
      <c r="E46" s="1163">
        <v>86</v>
      </c>
      <c r="F46" s="1164" t="s">
        <v>400</v>
      </c>
      <c r="G46" s="1164" t="str">
        <f t="shared" si="2"/>
        <v>321.86b</v>
      </c>
      <c r="H46" s="1164" t="s">
        <v>401</v>
      </c>
      <c r="I46" s="2186">
        <v>7218959</v>
      </c>
      <c r="J46" s="2186">
        <v>7564076</v>
      </c>
      <c r="K46" s="2186">
        <v>6818716</v>
      </c>
    </row>
    <row r="47" spans="2:11" ht="15" customHeight="1">
      <c r="B47" s="1163">
        <f t="shared" si="1"/>
        <v>42</v>
      </c>
      <c r="C47" s="2190" t="s">
        <v>2239</v>
      </c>
      <c r="D47" s="1163">
        <v>321</v>
      </c>
      <c r="E47" s="1163">
        <v>87</v>
      </c>
      <c r="F47" s="1164" t="s">
        <v>400</v>
      </c>
      <c r="G47" s="1164" t="str">
        <f t="shared" si="2"/>
        <v>321.87b</v>
      </c>
      <c r="H47" s="1164" t="s">
        <v>401</v>
      </c>
      <c r="I47" s="2186">
        <v>0</v>
      </c>
      <c r="J47" s="2186">
        <v>0</v>
      </c>
      <c r="K47" s="2186">
        <v>0</v>
      </c>
    </row>
    <row r="48" spans="2:11" ht="15" customHeight="1">
      <c r="B48" s="1163">
        <f t="shared" si="1"/>
        <v>43</v>
      </c>
      <c r="C48" s="2190" t="s">
        <v>2240</v>
      </c>
      <c r="D48" s="1163">
        <v>321</v>
      </c>
      <c r="E48" s="1163">
        <v>88</v>
      </c>
      <c r="F48" s="1164" t="s">
        <v>400</v>
      </c>
      <c r="G48" s="1164" t="str">
        <f t="shared" si="2"/>
        <v>321.88b</v>
      </c>
      <c r="H48" s="1164" t="s">
        <v>401</v>
      </c>
      <c r="I48" s="2186">
        <v>292567</v>
      </c>
      <c r="J48" s="2186">
        <v>824276</v>
      </c>
      <c r="K48" s="2186">
        <v>2106756</v>
      </c>
    </row>
    <row r="49" spans="2:11" ht="15" customHeight="1">
      <c r="B49" s="1163">
        <f t="shared" si="1"/>
        <v>44</v>
      </c>
      <c r="C49" s="2190" t="s">
        <v>2241</v>
      </c>
      <c r="D49" s="1163">
        <v>321</v>
      </c>
      <c r="E49" s="1163">
        <v>89</v>
      </c>
      <c r="F49" s="1164" t="s">
        <v>400</v>
      </c>
      <c r="G49" s="1164" t="str">
        <f t="shared" si="2"/>
        <v>321.89b</v>
      </c>
      <c r="H49" s="1164" t="s">
        <v>401</v>
      </c>
      <c r="I49" s="2186">
        <v>1114579</v>
      </c>
      <c r="J49" s="2186">
        <v>1111085</v>
      </c>
      <c r="K49" s="2186">
        <v>1326587</v>
      </c>
    </row>
    <row r="50" spans="2:11" ht="15" customHeight="1">
      <c r="B50" s="1163">
        <f t="shared" si="1"/>
        <v>45</v>
      </c>
      <c r="C50" s="2190" t="s">
        <v>2242</v>
      </c>
      <c r="D50" s="1163">
        <v>321</v>
      </c>
      <c r="E50" s="1163">
        <v>92</v>
      </c>
      <c r="F50" s="1164" t="s">
        <v>400</v>
      </c>
      <c r="G50" s="1164" t="str">
        <f t="shared" si="2"/>
        <v>321.92b</v>
      </c>
      <c r="H50" s="1164" t="s">
        <v>401</v>
      </c>
      <c r="I50" s="2186">
        <v>0</v>
      </c>
      <c r="J50" s="2186">
        <v>5545389</v>
      </c>
      <c r="K50" s="2186">
        <v>7402436</v>
      </c>
    </row>
    <row r="51" spans="2:11" ht="15" customHeight="1">
      <c r="B51" s="1163">
        <f t="shared" si="1"/>
        <v>46</v>
      </c>
      <c r="C51" s="2190" t="s">
        <v>2243</v>
      </c>
      <c r="D51" s="1163">
        <v>321</v>
      </c>
      <c r="E51" s="1163">
        <v>96</v>
      </c>
      <c r="F51" s="1164" t="s">
        <v>400</v>
      </c>
      <c r="G51" s="1164" t="str">
        <f t="shared" si="2"/>
        <v>321.96b</v>
      </c>
      <c r="H51" s="1164" t="s">
        <v>401</v>
      </c>
      <c r="I51" s="2186">
        <v>137182304</v>
      </c>
      <c r="J51" s="2186">
        <v>151335724</v>
      </c>
      <c r="K51" s="2186">
        <v>148425345</v>
      </c>
    </row>
    <row r="52" spans="2:11" ht="15" customHeight="1">
      <c r="B52" s="1163">
        <f t="shared" si="1"/>
        <v>47</v>
      </c>
      <c r="C52" s="2190" t="s">
        <v>2244</v>
      </c>
      <c r="D52" s="1163">
        <v>321</v>
      </c>
      <c r="E52" s="1163">
        <v>112</v>
      </c>
      <c r="F52" s="1164" t="s">
        <v>400</v>
      </c>
      <c r="G52" s="1164" t="str">
        <f t="shared" si="2"/>
        <v>321.112b</v>
      </c>
      <c r="H52" s="1164" t="s">
        <v>401</v>
      </c>
      <c r="I52" s="2186">
        <v>198670131</v>
      </c>
      <c r="J52" s="2186">
        <v>211057529</v>
      </c>
      <c r="K52" s="2186">
        <v>215664453</v>
      </c>
    </row>
    <row r="53" spans="2:11" ht="15" customHeight="1">
      <c r="B53" s="1163">
        <f t="shared" si="1"/>
        <v>48</v>
      </c>
      <c r="C53" s="2190" t="s">
        <v>2245</v>
      </c>
      <c r="D53" s="1163">
        <v>323</v>
      </c>
      <c r="E53" s="1163">
        <v>185</v>
      </c>
      <c r="F53" s="1164" t="s">
        <v>400</v>
      </c>
      <c r="G53" s="1164" t="str">
        <f t="shared" si="2"/>
        <v>323.185b</v>
      </c>
      <c r="H53" s="1164" t="s">
        <v>401</v>
      </c>
      <c r="I53" s="2186">
        <v>13818764</v>
      </c>
      <c r="J53" s="2186">
        <v>15633179</v>
      </c>
      <c r="K53" s="2186">
        <v>15938310</v>
      </c>
    </row>
    <row r="54" spans="2:11" ht="15" customHeight="1">
      <c r="B54" s="1163">
        <f t="shared" si="1"/>
        <v>49</v>
      </c>
      <c r="C54" s="2190" t="s">
        <v>2246</v>
      </c>
      <c r="D54" s="1163">
        <v>323</v>
      </c>
      <c r="E54" s="1163">
        <v>189</v>
      </c>
      <c r="F54" s="1164" t="s">
        <v>400</v>
      </c>
      <c r="G54" s="1164" t="str">
        <f t="shared" si="2"/>
        <v>323.189b</v>
      </c>
      <c r="H54" s="1164" t="s">
        <v>401</v>
      </c>
      <c r="I54" s="2186">
        <v>22768237</v>
      </c>
      <c r="J54" s="2186">
        <v>24280590</v>
      </c>
      <c r="K54" s="2186">
        <v>22275686</v>
      </c>
    </row>
    <row r="55" spans="2:11" ht="15" customHeight="1">
      <c r="B55" s="1163">
        <f t="shared" si="1"/>
        <v>50</v>
      </c>
      <c r="C55" s="2190" t="s">
        <v>2247</v>
      </c>
      <c r="D55" s="1163">
        <v>323</v>
      </c>
      <c r="E55" s="1163">
        <v>191</v>
      </c>
      <c r="F55" s="1164" t="s">
        <v>400</v>
      </c>
      <c r="G55" s="1164" t="str">
        <f t="shared" si="2"/>
        <v>323.191b</v>
      </c>
      <c r="H55" s="1164" t="s">
        <v>401</v>
      </c>
      <c r="I55" s="2186">
        <v>1546</v>
      </c>
      <c r="J55" s="2186">
        <v>6832</v>
      </c>
      <c r="K55" s="2186">
        <v>319</v>
      </c>
    </row>
    <row r="56" spans="2:11" ht="15" customHeight="1">
      <c r="B56" s="1163">
        <f t="shared" si="1"/>
        <v>51</v>
      </c>
      <c r="C56" s="2190" t="s">
        <v>2248</v>
      </c>
      <c r="D56" s="1163">
        <v>323</v>
      </c>
      <c r="E56" s="1163">
        <v>197</v>
      </c>
      <c r="F56" s="1164" t="s">
        <v>400</v>
      </c>
      <c r="G56" s="1164" t="str">
        <f t="shared" si="2"/>
        <v>323.197b</v>
      </c>
      <c r="H56" s="1164" t="s">
        <v>401</v>
      </c>
      <c r="I56" s="2186">
        <v>175800080</v>
      </c>
      <c r="J56" s="2186">
        <v>103886947</v>
      </c>
      <c r="K56" s="2186">
        <v>134217341</v>
      </c>
    </row>
    <row r="57" spans="2:11" ht="15" customHeight="1">
      <c r="B57" s="1163">
        <f t="shared" si="1"/>
        <v>52</v>
      </c>
      <c r="C57" s="2190" t="s">
        <v>2249</v>
      </c>
      <c r="D57" s="1163">
        <v>335</v>
      </c>
      <c r="E57" s="1163">
        <v>1</v>
      </c>
      <c r="F57" s="1164" t="s">
        <v>400</v>
      </c>
      <c r="G57" s="1164" t="str">
        <f t="shared" si="2"/>
        <v>335.1b</v>
      </c>
      <c r="H57" s="1164" t="s">
        <v>402</v>
      </c>
      <c r="I57" s="2186">
        <v>1673683</v>
      </c>
      <c r="J57" s="2186">
        <v>1114980</v>
      </c>
      <c r="K57" s="2186">
        <v>1206198</v>
      </c>
    </row>
    <row r="58" spans="2:11" ht="15" customHeight="1">
      <c r="B58" s="1163">
        <f t="shared" si="1"/>
        <v>53</v>
      </c>
      <c r="C58" s="2190" t="s">
        <v>2250</v>
      </c>
      <c r="D58" s="1163">
        <v>336</v>
      </c>
      <c r="E58" s="1163">
        <v>1</v>
      </c>
      <c r="F58" s="1164" t="s">
        <v>394</v>
      </c>
      <c r="G58" s="1164" t="str">
        <f t="shared" si="2"/>
        <v>336.1d</v>
      </c>
      <c r="H58" s="1164" t="s">
        <v>404</v>
      </c>
      <c r="I58" s="2186">
        <v>43538777</v>
      </c>
      <c r="J58" s="2186">
        <v>39290397</v>
      </c>
      <c r="K58" s="2186">
        <v>36050777</v>
      </c>
    </row>
    <row r="59" spans="2:11" ht="15" customHeight="1">
      <c r="B59" s="1163">
        <f t="shared" si="1"/>
        <v>54</v>
      </c>
      <c r="C59" s="2190" t="s">
        <v>2251</v>
      </c>
      <c r="D59" s="1163">
        <v>336</v>
      </c>
      <c r="E59" s="1163">
        <v>1</v>
      </c>
      <c r="F59" s="1164" t="s">
        <v>359</v>
      </c>
      <c r="G59" s="1164" t="str">
        <f t="shared" si="2"/>
        <v>336.1e</v>
      </c>
      <c r="H59" s="1164" t="s">
        <v>405</v>
      </c>
      <c r="I59" s="2186">
        <v>0</v>
      </c>
      <c r="J59" s="2186">
        <v>0</v>
      </c>
      <c r="K59" s="2186">
        <v>0</v>
      </c>
    </row>
    <row r="60" spans="2:11" ht="15" customHeight="1">
      <c r="B60" s="1163">
        <f t="shared" si="1"/>
        <v>55</v>
      </c>
      <c r="C60" s="2190" t="s">
        <v>2252</v>
      </c>
      <c r="D60" s="1163">
        <v>336</v>
      </c>
      <c r="E60" s="1163">
        <v>7</v>
      </c>
      <c r="F60" s="1164" t="s">
        <v>400</v>
      </c>
      <c r="G60" s="1164" t="str">
        <f t="shared" si="2"/>
        <v>336.7b</v>
      </c>
      <c r="H60" s="1164" t="s">
        <v>403</v>
      </c>
      <c r="I60" s="2186">
        <v>94564623</v>
      </c>
      <c r="J60" s="2186">
        <v>92085625</v>
      </c>
      <c r="K60" s="2186">
        <v>99238672</v>
      </c>
    </row>
    <row r="61" spans="2:11" ht="15" customHeight="1">
      <c r="B61" s="1163">
        <f t="shared" si="1"/>
        <v>56</v>
      </c>
      <c r="C61" s="2190" t="s">
        <v>2253</v>
      </c>
      <c r="D61" s="1163">
        <v>336</v>
      </c>
      <c r="E61" s="1163">
        <v>7</v>
      </c>
      <c r="F61" s="1164" t="s">
        <v>394</v>
      </c>
      <c r="G61" s="1164" t="str">
        <f t="shared" si="2"/>
        <v>336.7d</v>
      </c>
      <c r="H61" s="1164" t="s">
        <v>404</v>
      </c>
      <c r="I61" s="2186">
        <v>0</v>
      </c>
      <c r="J61" s="2186">
        <v>0</v>
      </c>
      <c r="K61" s="2186">
        <v>0</v>
      </c>
    </row>
    <row r="62" spans="2:11" ht="15" customHeight="1">
      <c r="B62" s="1163">
        <f t="shared" si="1"/>
        <v>57</v>
      </c>
      <c r="C62" s="2190" t="s">
        <v>2254</v>
      </c>
      <c r="D62" s="1163">
        <v>336</v>
      </c>
      <c r="E62" s="1163">
        <v>10</v>
      </c>
      <c r="F62" s="1164" t="s">
        <v>400</v>
      </c>
      <c r="G62" s="1164" t="str">
        <f t="shared" si="2"/>
        <v>336.10b</v>
      </c>
      <c r="H62" s="1164" t="s">
        <v>403</v>
      </c>
      <c r="I62" s="2186">
        <v>39122546</v>
      </c>
      <c r="J62" s="2186">
        <v>39508869</v>
      </c>
      <c r="K62" s="2186">
        <v>39308259</v>
      </c>
    </row>
    <row r="63" spans="2:11" ht="15" customHeight="1">
      <c r="B63" s="1163">
        <f t="shared" si="1"/>
        <v>58</v>
      </c>
      <c r="C63" s="2190" t="s">
        <v>2255</v>
      </c>
      <c r="D63" s="1163">
        <v>336</v>
      </c>
      <c r="E63" s="1163">
        <v>10</v>
      </c>
      <c r="F63" s="1164" t="s">
        <v>394</v>
      </c>
      <c r="G63" s="1164" t="str">
        <f t="shared" si="2"/>
        <v>336.10d</v>
      </c>
      <c r="H63" s="1164" t="s">
        <v>404</v>
      </c>
      <c r="I63" s="2186">
        <v>1621977</v>
      </c>
      <c r="J63" s="2186">
        <v>1144615</v>
      </c>
      <c r="K63" s="2186">
        <v>1358159</v>
      </c>
    </row>
    <row r="64" spans="2:11" ht="15" customHeight="1">
      <c r="B64" s="1163">
        <f t="shared" si="1"/>
        <v>59</v>
      </c>
      <c r="C64" s="2190" t="s">
        <v>2256</v>
      </c>
      <c r="D64" s="1163">
        <v>354</v>
      </c>
      <c r="E64" s="1163">
        <v>21</v>
      </c>
      <c r="F64" s="1164" t="s">
        <v>400</v>
      </c>
      <c r="G64" s="1164" t="str">
        <f t="shared" si="2"/>
        <v>354.21b</v>
      </c>
      <c r="H64" s="1164" t="s">
        <v>406</v>
      </c>
      <c r="I64" s="2186">
        <v>22899260</v>
      </c>
      <c r="J64" s="2186">
        <v>24934991</v>
      </c>
      <c r="K64" s="2186">
        <v>25137301</v>
      </c>
    </row>
    <row r="65" spans="2:11" ht="15" customHeight="1">
      <c r="B65" s="1163">
        <f t="shared" si="1"/>
        <v>60</v>
      </c>
      <c r="C65" s="2190" t="s">
        <v>2257</v>
      </c>
      <c r="D65" s="1163">
        <v>354</v>
      </c>
      <c r="E65" s="1163">
        <v>27</v>
      </c>
      <c r="F65" s="1164" t="s">
        <v>400</v>
      </c>
      <c r="G65" s="1164" t="str">
        <f t="shared" si="2"/>
        <v>354.27b</v>
      </c>
      <c r="H65" s="1164" t="s">
        <v>406</v>
      </c>
      <c r="I65" s="2186">
        <v>42818000</v>
      </c>
      <c r="J65" s="2186">
        <v>41620401</v>
      </c>
      <c r="K65" s="2186">
        <v>37744556</v>
      </c>
    </row>
    <row r="66" spans="2:11" ht="15" customHeight="1">
      <c r="B66" s="1163">
        <f t="shared" si="1"/>
        <v>61</v>
      </c>
      <c r="C66" s="2190" t="s">
        <v>2258</v>
      </c>
      <c r="D66" s="1165">
        <v>354</v>
      </c>
      <c r="E66" s="1165">
        <v>28</v>
      </c>
      <c r="F66" s="1166" t="s">
        <v>400</v>
      </c>
      <c r="G66" s="1166" t="str">
        <f>D66&amp;"."&amp;E66&amp;F66</f>
        <v>354.28b</v>
      </c>
      <c r="H66" s="1166" t="s">
        <v>406</v>
      </c>
      <c r="I66" s="2186">
        <v>361444457</v>
      </c>
      <c r="J66" s="2186">
        <v>362793740</v>
      </c>
      <c r="K66" s="2186">
        <v>356682932</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8"/>
  <sheetViews>
    <sheetView zoomScaleNormal="100" workbookViewId="0">
      <selection activeCell="O10" sqref="O10"/>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527</v>
      </c>
      <c r="C2" s="465"/>
      <c r="D2" s="465"/>
      <c r="E2" s="465"/>
      <c r="F2" s="465"/>
    </row>
    <row r="3" spans="1:6" ht="15">
      <c r="A3" s="465"/>
      <c r="B3" s="361" t="s">
        <v>525</v>
      </c>
      <c r="C3" s="465"/>
      <c r="D3" s="465"/>
      <c r="E3" s="465"/>
      <c r="F3" s="465"/>
    </row>
    <row r="4" spans="1:6">
      <c r="A4" s="323"/>
      <c r="B4" s="323"/>
      <c r="C4" s="323"/>
      <c r="D4" s="323"/>
      <c r="E4" s="323"/>
      <c r="F4" s="323"/>
    </row>
    <row r="5" spans="1:6">
      <c r="A5" s="323"/>
      <c r="B5" s="323"/>
      <c r="C5" s="323"/>
      <c r="D5" s="323"/>
      <c r="E5" s="323"/>
      <c r="F5" s="323"/>
    </row>
    <row r="6" spans="1:6" ht="15">
      <c r="A6" s="712" t="s">
        <v>30</v>
      </c>
      <c r="B6" s="712" t="s">
        <v>24</v>
      </c>
      <c r="C6" s="712"/>
      <c r="D6" s="712" t="s">
        <v>526</v>
      </c>
      <c r="E6" s="712"/>
      <c r="F6" s="712"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554568655.56324697</v>
      </c>
    </row>
    <row r="9" spans="1:6" ht="14.25">
      <c r="A9" s="360"/>
      <c r="B9" s="359"/>
      <c r="C9" s="323"/>
      <c r="D9" s="323"/>
      <c r="E9" s="323"/>
      <c r="F9" s="323"/>
    </row>
    <row r="10" spans="1:6" ht="14.25">
      <c r="A10" s="360"/>
      <c r="B10" s="359" t="s">
        <v>524</v>
      </c>
      <c r="C10" s="323"/>
      <c r="D10" s="323"/>
      <c r="E10" s="323"/>
      <c r="F10" s="323"/>
    </row>
    <row r="11" spans="1:6" ht="14.25">
      <c r="A11" s="360"/>
      <c r="B11" s="359"/>
      <c r="C11" s="323"/>
      <c r="D11" s="323"/>
      <c r="E11" s="323"/>
      <c r="F11" s="323"/>
    </row>
    <row r="12" spans="1:6" ht="14.25">
      <c r="A12" s="360">
        <v>2</v>
      </c>
      <c r="B12" s="467" t="s">
        <v>898</v>
      </c>
      <c r="C12" s="323"/>
      <c r="D12" s="323" t="str">
        <f>"Attachment 3, Line "&amp;'Att 3 - Revenue Credits'!A12</f>
        <v>Attachment 3, Line 6</v>
      </c>
      <c r="E12" s="323"/>
      <c r="F12" s="466">
        <f>SUM('Att 3 - Revenue Credits'!E12)</f>
        <v>5589190.7486184454</v>
      </c>
    </row>
    <row r="13" spans="1:6" ht="14.25">
      <c r="A13" s="360">
        <v>3</v>
      </c>
      <c r="B13" s="467" t="s">
        <v>899</v>
      </c>
      <c r="C13" s="323"/>
      <c r="D13" s="323" t="str">
        <f>"Attachment 3, Line "&amp;'Att 3 - Revenue Credits'!A20</f>
        <v>Attachment 3, Line 12</v>
      </c>
      <c r="E13" s="323"/>
      <c r="F13" s="466">
        <f>SUM('Att 3 - Revenue Credits'!E20)</f>
        <v>147105892.63999832</v>
      </c>
    </row>
    <row r="14" spans="1:6" ht="14.25">
      <c r="A14" s="360">
        <v>4</v>
      </c>
      <c r="B14" s="996" t="s">
        <v>528</v>
      </c>
      <c r="C14" s="323"/>
      <c r="D14" s="927" t="str">
        <f>"Line "&amp;A12&amp;" + Line "&amp;A13</f>
        <v>Line 2 + Line 3</v>
      </c>
      <c r="E14" s="323"/>
      <c r="F14" s="995">
        <f>SUM(F12:F13)</f>
        <v>152695083.38861677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530</v>
      </c>
      <c r="C17" s="323"/>
      <c r="D17" s="323" t="s">
        <v>177</v>
      </c>
      <c r="E17" s="323"/>
      <c r="F17" s="466">
        <f>'Att 5 - Cost Support'!H261</f>
        <v>1520802.88</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4677132.4473536313</v>
      </c>
    </row>
    <row r="20" spans="1:9" ht="14.25">
      <c r="A20" s="360"/>
      <c r="B20" s="359"/>
      <c r="C20" s="323"/>
      <c r="D20" s="323"/>
      <c r="E20" s="323"/>
      <c r="F20" s="323"/>
    </row>
    <row r="21" spans="1:9" ht="14.25">
      <c r="A21" s="360">
        <v>7</v>
      </c>
      <c r="B21" s="359" t="s">
        <v>529</v>
      </c>
      <c r="C21" s="323"/>
      <c r="D21" s="323" t="s">
        <v>897</v>
      </c>
      <c r="E21" s="323"/>
      <c r="F21" s="466">
        <f>F8-F14+F17+F19</f>
        <v>408071507.50198376</v>
      </c>
    </row>
    <row r="22" spans="1:9" ht="14.25">
      <c r="A22" s="360"/>
      <c r="B22" s="359"/>
      <c r="C22" s="323"/>
      <c r="D22" s="323"/>
      <c r="E22" s="323"/>
      <c r="F22" s="323"/>
    </row>
    <row r="23" spans="1:9" ht="14.25">
      <c r="A23" s="360">
        <v>8</v>
      </c>
      <c r="B23" s="359" t="s">
        <v>643</v>
      </c>
      <c r="C23" s="323"/>
      <c r="D23" s="323" t="str">
        <f>"Appendix A, Line "&amp;'Appendix A'!A290</f>
        <v>Appendix A, Line 170</v>
      </c>
      <c r="E23" s="323"/>
      <c r="F23" s="1240">
        <f>'Appendix A'!H290</f>
        <v>13738.341975833333</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900</v>
      </c>
      <c r="C26" s="323"/>
      <c r="D26" s="323"/>
      <c r="E26" s="323"/>
      <c r="F26" s="323"/>
    </row>
    <row r="27" spans="1:9" s="462" customFormat="1" ht="14.25">
      <c r="A27" s="360"/>
      <c r="B27" s="359"/>
      <c r="C27" s="323"/>
      <c r="D27" s="323"/>
      <c r="E27" s="323"/>
      <c r="F27" s="323"/>
    </row>
    <row r="28" spans="1:9" ht="14.25">
      <c r="A28" s="360">
        <v>9</v>
      </c>
      <c r="B28" s="467" t="s">
        <v>1048</v>
      </c>
      <c r="C28" s="323"/>
      <c r="D28" s="323" t="str">
        <f>"Line "&amp;A21&amp;" / Line "&amp;A23&amp;" / 1000"</f>
        <v>Line 7 / Line 8 / 1000</v>
      </c>
      <c r="E28" s="323"/>
      <c r="F28" s="709">
        <f>F21/F23/1000</f>
        <v>29.703111788875905</v>
      </c>
    </row>
    <row r="29" spans="1:9" ht="14.25">
      <c r="A29" s="360"/>
      <c r="B29" s="467"/>
      <c r="C29" s="323"/>
      <c r="D29" s="323"/>
      <c r="E29" s="323"/>
      <c r="F29" s="468"/>
    </row>
    <row r="30" spans="1:9" ht="14.25">
      <c r="A30" s="360">
        <v>10</v>
      </c>
      <c r="B30" s="467" t="s">
        <v>896</v>
      </c>
      <c r="C30" s="323"/>
      <c r="D30" s="323" t="str">
        <f>"Line "&amp;A28&amp;" / 12 months"</f>
        <v>Line 9 / 12 months</v>
      </c>
      <c r="E30" s="323"/>
      <c r="F30" s="709">
        <f>F28/12</f>
        <v>2.4752593157396587</v>
      </c>
    </row>
    <row r="31" spans="1:9" ht="14.25">
      <c r="A31" s="360"/>
      <c r="B31" s="467"/>
      <c r="C31" s="323"/>
      <c r="D31" s="323"/>
      <c r="E31" s="323"/>
      <c r="F31" s="709"/>
    </row>
    <row r="32" spans="1:9" ht="14.25">
      <c r="A32" s="360">
        <v>11</v>
      </c>
      <c r="B32" s="467" t="s">
        <v>895</v>
      </c>
      <c r="C32" s="323"/>
      <c r="D32" s="323" t="str">
        <f>"Line "&amp;A28&amp;" / 52 weeks"</f>
        <v>Line 9 / 52 weeks</v>
      </c>
      <c r="E32" s="323"/>
      <c r="F32" s="709">
        <f>F28/52</f>
        <v>0.57121368824761354</v>
      </c>
    </row>
    <row r="33" spans="1:6" ht="14.25">
      <c r="A33" s="360"/>
      <c r="B33" s="359"/>
      <c r="C33" s="323"/>
      <c r="D33" s="323"/>
      <c r="E33" s="323"/>
      <c r="F33" s="709"/>
    </row>
    <row r="34" spans="1:6" s="462" customFormat="1" ht="14.25">
      <c r="A34" s="360"/>
      <c r="B34" s="359"/>
      <c r="C34" s="323"/>
      <c r="D34" s="323"/>
      <c r="E34" s="323"/>
      <c r="F34" s="709"/>
    </row>
    <row r="35" spans="1:6" ht="14.25">
      <c r="A35" s="360"/>
      <c r="B35" s="359" t="s">
        <v>901</v>
      </c>
      <c r="C35" s="323"/>
      <c r="D35" s="323"/>
      <c r="E35" s="323"/>
      <c r="F35" s="709"/>
    </row>
    <row r="36" spans="1:6" s="462" customFormat="1" ht="14.25">
      <c r="A36" s="360"/>
      <c r="B36" s="359"/>
      <c r="C36" s="323"/>
      <c r="D36" s="323"/>
      <c r="E36" s="323"/>
      <c r="F36" s="709"/>
    </row>
    <row r="37" spans="1:6" ht="14.25">
      <c r="A37" s="360">
        <v>12</v>
      </c>
      <c r="B37" s="467" t="s">
        <v>902</v>
      </c>
      <c r="C37" s="323"/>
      <c r="D37" s="323" t="str">
        <f>"Line "&amp;A32&amp;" / 5 days"</f>
        <v>Line 11 / 5 days</v>
      </c>
      <c r="E37" s="323"/>
      <c r="F37" s="709">
        <f>F32/5</f>
        <v>0.11424273764952271</v>
      </c>
    </row>
    <row r="38" spans="1:6" s="462" customFormat="1" ht="14.25">
      <c r="A38" s="360"/>
      <c r="B38" s="467"/>
      <c r="C38" s="323"/>
      <c r="D38" s="323"/>
      <c r="E38" s="323"/>
      <c r="F38" s="709"/>
    </row>
    <row r="39" spans="1:6" ht="14.25">
      <c r="A39" s="360">
        <v>13</v>
      </c>
      <c r="B39" s="467" t="s">
        <v>903</v>
      </c>
      <c r="C39" s="323"/>
      <c r="D39" s="323" t="str">
        <f>"Line "&amp;A32&amp;" / 7 days"</f>
        <v>Line 11 / 7 days</v>
      </c>
      <c r="E39" s="323"/>
      <c r="F39" s="709">
        <f>F32/7</f>
        <v>8.1601955463944789E-2</v>
      </c>
    </row>
    <row r="40" spans="1:6" ht="14.25">
      <c r="A40" s="360"/>
      <c r="B40" s="359"/>
      <c r="C40" s="323"/>
      <c r="D40" s="323"/>
      <c r="E40" s="323"/>
      <c r="F40" s="709"/>
    </row>
    <row r="41" spans="1:6" s="462" customFormat="1" ht="14.25">
      <c r="A41" s="360"/>
      <c r="B41" s="359"/>
      <c r="C41" s="323"/>
      <c r="D41" s="323"/>
      <c r="E41" s="323"/>
      <c r="F41" s="709"/>
    </row>
    <row r="42" spans="1:6" ht="14.25">
      <c r="A42" s="360"/>
      <c r="B42" s="359" t="s">
        <v>904</v>
      </c>
      <c r="C42" s="323"/>
      <c r="D42" s="323"/>
      <c r="E42" s="323"/>
      <c r="F42" s="709"/>
    </row>
    <row r="43" spans="1:6" s="462" customFormat="1" ht="14.25">
      <c r="A43" s="360"/>
      <c r="B43" s="359"/>
      <c r="C43" s="323"/>
      <c r="D43" s="323"/>
      <c r="E43" s="323"/>
      <c r="F43" s="709"/>
    </row>
    <row r="44" spans="1:6" ht="14.25">
      <c r="A44" s="360">
        <v>14</v>
      </c>
      <c r="B44" s="467" t="s">
        <v>905</v>
      </c>
      <c r="C44" s="323"/>
      <c r="D44" s="323" t="str">
        <f>"Line "&amp;A37&amp;" / 16 hours * 1000"</f>
        <v>Line 12 / 16 hours * 1000</v>
      </c>
      <c r="E44" s="323"/>
      <c r="F44" s="1690">
        <f>(F37/16)*1000</f>
        <v>7.1401711030951693</v>
      </c>
    </row>
    <row r="45" spans="1:6" s="462" customFormat="1" ht="14.25">
      <c r="A45" s="360"/>
      <c r="B45" s="467"/>
      <c r="C45" s="323"/>
      <c r="D45" s="323"/>
      <c r="E45" s="323"/>
      <c r="F45" s="1690"/>
    </row>
    <row r="46" spans="1:6" ht="14.25">
      <c r="A46" s="360">
        <v>15</v>
      </c>
      <c r="B46" s="467" t="s">
        <v>906</v>
      </c>
      <c r="C46" s="323"/>
      <c r="D46" s="323" t="str">
        <f>"Line "&amp;A39&amp;" / 24 hours * 1000"</f>
        <v>Line 13 / 24 hours * 1000</v>
      </c>
      <c r="E46" s="323"/>
      <c r="F46" s="1690">
        <f>F39/24*1000</f>
        <v>3.400081477664366</v>
      </c>
    </row>
    <row r="228" spans="10:10">
      <c r="J228">
        <v>0</v>
      </c>
    </row>
  </sheetData>
  <pageMargins left="0.7" right="0.7" top="0.75" bottom="0.75" header="0.3" footer="0.3"/>
  <pageSetup scale="85" orientation="portrait" r:id="rId1"/>
  <colBreaks count="1" manualBreakCount="1">
    <brk id="6" max="1048575" man="1"/>
  </colBreaks>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29"/>
  <sheetViews>
    <sheetView zoomScale="85" zoomScaleNormal="85" workbookViewId="0">
      <selection activeCell="O10" sqref="O10"/>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1806</v>
      </c>
      <c r="B2" s="1335"/>
      <c r="C2" s="1289"/>
      <c r="D2" s="1336"/>
      <c r="E2" s="1336"/>
      <c r="F2" s="1336"/>
      <c r="G2" s="1336"/>
      <c r="H2" s="1336"/>
      <c r="I2" s="1336"/>
      <c r="J2" s="1336"/>
      <c r="K2" s="1289"/>
    </row>
    <row r="3" spans="1:11">
      <c r="A3" s="1290" t="s">
        <v>1040</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E260</f>
        <v>-3968031822</v>
      </c>
      <c r="F10" s="1339">
        <f>F260</f>
        <v>-2826643795</v>
      </c>
      <c r="G10" s="1339">
        <f>+G260</f>
        <v>-928728614</v>
      </c>
      <c r="H10" s="1339">
        <f>+H260</f>
        <v>16801252</v>
      </c>
      <c r="I10" s="1339">
        <f>+I260</f>
        <v>-229460665</v>
      </c>
      <c r="J10" s="1300"/>
      <c r="K10" s="1296"/>
    </row>
    <row r="11" spans="1:11">
      <c r="A11" s="1301">
        <f t="shared" ref="A11:A16" si="0">A10+1</f>
        <v>2</v>
      </c>
      <c r="B11" s="1301"/>
      <c r="C11" s="1296" t="s">
        <v>602</v>
      </c>
      <c r="D11" s="1299" t="s">
        <v>603</v>
      </c>
      <c r="E11" s="1339">
        <f>E189</f>
        <v>-252151842</v>
      </c>
      <c r="F11" s="1339">
        <f>F189</f>
        <v>-252151842</v>
      </c>
      <c r="G11" s="1339">
        <v>0</v>
      </c>
      <c r="H11" s="1339">
        <f>H189</f>
        <v>0</v>
      </c>
      <c r="I11" s="1339">
        <v>0</v>
      </c>
      <c r="J11" s="1300"/>
      <c r="K11" s="1296"/>
    </row>
    <row r="12" spans="1:11">
      <c r="A12" s="1301">
        <f t="shared" si="0"/>
        <v>3</v>
      </c>
      <c r="B12" s="1301"/>
      <c r="C12" s="1296" t="s">
        <v>59</v>
      </c>
      <c r="D12" s="1299" t="s">
        <v>535</v>
      </c>
      <c r="E12" s="1339">
        <f>E403</f>
        <v>-464012490</v>
      </c>
      <c r="F12" s="1339">
        <f>F403</f>
        <v>-450200710</v>
      </c>
      <c r="G12" s="1339">
        <f>+G403</f>
        <v>0</v>
      </c>
      <c r="H12" s="1339">
        <f>+H403</f>
        <v>-8301728</v>
      </c>
      <c r="I12" s="1339">
        <f>+I403</f>
        <v>-5510052</v>
      </c>
      <c r="J12" s="1300"/>
      <c r="K12" s="1296"/>
    </row>
    <row r="13" spans="1:11">
      <c r="A13" s="1301">
        <f t="shared" si="0"/>
        <v>4</v>
      </c>
      <c r="B13" s="1301"/>
      <c r="C13" s="1296" t="s">
        <v>58</v>
      </c>
      <c r="D13" s="1299" t="s">
        <v>536</v>
      </c>
      <c r="E13" s="1835">
        <f>E163</f>
        <v>527365422</v>
      </c>
      <c r="F13" s="1835">
        <f>F163</f>
        <v>495523065</v>
      </c>
      <c r="G13" s="1835">
        <f>+G163</f>
        <v>349597</v>
      </c>
      <c r="H13" s="1835">
        <f>+H163</f>
        <v>0</v>
      </c>
      <c r="I13" s="1835">
        <f>+I163</f>
        <v>31492760</v>
      </c>
      <c r="J13" s="1300"/>
      <c r="K13" s="1296"/>
    </row>
    <row r="14" spans="1:11">
      <c r="A14" s="1301">
        <f t="shared" si="0"/>
        <v>5</v>
      </c>
      <c r="B14" s="1301"/>
      <c r="C14" s="1296" t="s">
        <v>540</v>
      </c>
      <c r="D14" s="1300" t="s">
        <v>608</v>
      </c>
      <c r="E14" s="1339">
        <f>SUM(E10:E13)</f>
        <v>-4156830732</v>
      </c>
      <c r="F14" s="1339">
        <f>SUM(F10:F13)</f>
        <v>-3033473282</v>
      </c>
      <c r="G14" s="1339">
        <f>SUM(G10:G13)</f>
        <v>-928379017</v>
      </c>
      <c r="H14" s="1339">
        <f>SUM(H10:H13)</f>
        <v>8499524</v>
      </c>
      <c r="I14" s="1339">
        <f>SUM(I10:I13)</f>
        <v>-203477957</v>
      </c>
      <c r="J14" s="1300"/>
      <c r="K14" s="1302"/>
    </row>
    <row r="15" spans="1:11">
      <c r="A15" s="1301">
        <f t="shared" si="0"/>
        <v>6</v>
      </c>
      <c r="B15" s="1301"/>
      <c r="C15" s="1296" t="s">
        <v>1058</v>
      </c>
      <c r="D15" s="1299" t="s">
        <v>335</v>
      </c>
      <c r="E15" s="1834"/>
      <c r="F15" s="1834"/>
      <c r="G15" s="1836">
        <v>1</v>
      </c>
      <c r="H15" s="1836">
        <f>Allocator.net.plant</f>
        <v>0.26273925856404062</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-928379017</v>
      </c>
      <c r="H16" s="1339">
        <f>H15*H14</f>
        <v>2233158.6339072688</v>
      </c>
      <c r="I16" s="1339">
        <f>I15*I14</f>
        <v>-16037225.485759849</v>
      </c>
      <c r="J16" s="833"/>
      <c r="K16" s="1304"/>
    </row>
    <row r="17" spans="1:11">
      <c r="A17" s="1301"/>
      <c r="B17" s="1301"/>
      <c r="C17" s="1296"/>
      <c r="D17" s="1299"/>
      <c r="E17" s="1299"/>
      <c r="F17" s="1299"/>
      <c r="G17" s="1339"/>
      <c r="H17" s="1339"/>
      <c r="I17" s="1339"/>
      <c r="J17" s="833"/>
      <c r="K17" s="1305"/>
    </row>
    <row r="18" spans="1:11">
      <c r="A18" s="1301"/>
      <c r="B18" s="1291"/>
      <c r="C18" s="1296"/>
      <c r="D18" s="833"/>
      <c r="E18" s="1834"/>
      <c r="F18" s="1834"/>
      <c r="G18" s="1056"/>
      <c r="H18" s="1056"/>
      <c r="I18" s="1056"/>
      <c r="J18" s="1056"/>
      <c r="K18" s="1296"/>
    </row>
    <row r="19" spans="1:11">
      <c r="A19" s="1301">
        <v>8</v>
      </c>
      <c r="B19" s="1296"/>
      <c r="C19" s="1296" t="s">
        <v>542</v>
      </c>
      <c r="D19" s="833" t="s">
        <v>1060</v>
      </c>
      <c r="E19" s="1834"/>
      <c r="F19" s="1834"/>
      <c r="G19" s="1339"/>
      <c r="H19" s="1339"/>
      <c r="I19" s="1401" t="s">
        <v>1718</v>
      </c>
      <c r="J19" s="1937">
        <f>SUM(G16:I16)</f>
        <v>-942183083.85185254</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1841" t="s">
        <v>254</v>
      </c>
      <c r="B31" s="1842"/>
      <c r="C31" s="1842"/>
      <c r="D31" s="1843"/>
      <c r="E31" s="1844"/>
      <c r="F31" s="1844"/>
      <c r="G31" s="1844"/>
      <c r="H31" s="1844"/>
      <c r="I31" s="1844"/>
      <c r="J31" s="1845"/>
      <c r="K31" s="437"/>
    </row>
    <row r="32" spans="1:11" ht="12.75">
      <c r="A32" s="2280" t="s">
        <v>347</v>
      </c>
      <c r="B32" s="2281"/>
      <c r="C32" s="1857"/>
      <c r="D32" s="1853"/>
      <c r="E32" s="2285"/>
      <c r="F32" s="2285"/>
      <c r="G32" s="2285"/>
      <c r="H32" s="2285"/>
      <c r="I32" s="2285"/>
      <c r="J32" s="2286"/>
      <c r="K32" s="437"/>
    </row>
    <row r="33" spans="1:11" ht="12.75">
      <c r="A33" s="1855">
        <v>137426</v>
      </c>
      <c r="B33" s="1856">
        <v>720.5</v>
      </c>
      <c r="C33" s="1852" t="s">
        <v>1497</v>
      </c>
      <c r="D33" s="1853"/>
      <c r="E33" s="2277">
        <v>396188</v>
      </c>
      <c r="F33" s="2277">
        <v>0</v>
      </c>
      <c r="G33" s="2277">
        <v>0</v>
      </c>
      <c r="H33" s="2277">
        <v>0</v>
      </c>
      <c r="I33" s="2277">
        <f t="shared" ref="I33:I38" si="1">E33</f>
        <v>396188</v>
      </c>
      <c r="J33" s="1854" t="s">
        <v>1210</v>
      </c>
      <c r="K33" s="437"/>
    </row>
    <row r="34" spans="1:11" ht="25.5">
      <c r="A34" s="1855">
        <v>137414</v>
      </c>
      <c r="B34" s="1856">
        <v>505.4</v>
      </c>
      <c r="C34" s="1852" t="s">
        <v>1498</v>
      </c>
      <c r="D34" s="1853"/>
      <c r="E34" s="2277">
        <v>65491</v>
      </c>
      <c r="F34" s="2277">
        <v>0</v>
      </c>
      <c r="G34" s="2277">
        <v>0</v>
      </c>
      <c r="H34" s="2277">
        <v>0</v>
      </c>
      <c r="I34" s="2277">
        <f t="shared" si="1"/>
        <v>65491</v>
      </c>
      <c r="J34" s="1854" t="s">
        <v>1208</v>
      </c>
      <c r="K34" s="437"/>
    </row>
    <row r="35" spans="1:11" ht="25.5">
      <c r="A35" s="1855">
        <v>137415</v>
      </c>
      <c r="B35" s="1856">
        <v>505.6</v>
      </c>
      <c r="C35" s="1852" t="s">
        <v>1499</v>
      </c>
      <c r="D35" s="1853"/>
      <c r="E35" s="2277">
        <v>10677928</v>
      </c>
      <c r="F35" s="2277">
        <v>0</v>
      </c>
      <c r="G35" s="2277">
        <v>0</v>
      </c>
      <c r="H35" s="2277">
        <v>0</v>
      </c>
      <c r="I35" s="2277">
        <f t="shared" si="1"/>
        <v>10677928</v>
      </c>
      <c r="J35" s="1854" t="s">
        <v>1212</v>
      </c>
      <c r="K35" s="437"/>
    </row>
    <row r="36" spans="1:11" ht="25.5">
      <c r="A36" s="1855">
        <v>287220</v>
      </c>
      <c r="B36" s="1856">
        <v>720.56</v>
      </c>
      <c r="C36" s="1852" t="s">
        <v>1831</v>
      </c>
      <c r="D36" s="1853"/>
      <c r="E36" s="2277">
        <v>42004416</v>
      </c>
      <c r="F36" s="2277">
        <f>E36</f>
        <v>42004416</v>
      </c>
      <c r="G36" s="2277">
        <v>0</v>
      </c>
      <c r="H36" s="2277">
        <v>0</v>
      </c>
      <c r="I36" s="2277">
        <v>0</v>
      </c>
      <c r="J36" s="1854" t="s">
        <v>1832</v>
      </c>
      <c r="K36" s="437"/>
    </row>
    <row r="37" spans="1:11" ht="25.5">
      <c r="A37" s="1855">
        <v>287300</v>
      </c>
      <c r="B37" s="1856">
        <v>920.18200000000002</v>
      </c>
      <c r="C37" s="1852" t="s">
        <v>1833</v>
      </c>
      <c r="D37" s="1853"/>
      <c r="E37" s="2277">
        <v>2631997</v>
      </c>
      <c r="F37" s="2277">
        <v>0</v>
      </c>
      <c r="G37" s="2277">
        <v>0</v>
      </c>
      <c r="H37" s="2277">
        <v>0</v>
      </c>
      <c r="I37" s="2277">
        <f t="shared" si="1"/>
        <v>2631997</v>
      </c>
      <c r="J37" s="1854" t="s">
        <v>1834</v>
      </c>
      <c r="K37" s="437"/>
    </row>
    <row r="38" spans="1:11" ht="12.75">
      <c r="A38" s="1855">
        <v>287324</v>
      </c>
      <c r="B38" s="1856">
        <v>720.2</v>
      </c>
      <c r="C38" s="1852" t="s">
        <v>1500</v>
      </c>
      <c r="D38" s="1853"/>
      <c r="E38" s="2277">
        <v>3689534</v>
      </c>
      <c r="F38" s="2277">
        <v>0</v>
      </c>
      <c r="G38" s="2277">
        <v>0</v>
      </c>
      <c r="H38" s="2277">
        <v>0</v>
      </c>
      <c r="I38" s="2277">
        <f t="shared" si="1"/>
        <v>3689534</v>
      </c>
      <c r="J38" s="1854" t="s">
        <v>1209</v>
      </c>
      <c r="K38" s="437"/>
    </row>
    <row r="39" spans="1:11" ht="38.25">
      <c r="A39" s="1855">
        <v>287327</v>
      </c>
      <c r="B39" s="1856">
        <v>720.3</v>
      </c>
      <c r="C39" s="1852" t="s">
        <v>1501</v>
      </c>
      <c r="D39" s="1853"/>
      <c r="E39" s="2277">
        <v>881430</v>
      </c>
      <c r="F39" s="2277">
        <f>E39</f>
        <v>881430</v>
      </c>
      <c r="G39" s="2277">
        <v>0</v>
      </c>
      <c r="H39" s="2277">
        <v>0</v>
      </c>
      <c r="I39" s="2277">
        <v>0</v>
      </c>
      <c r="J39" s="1854" t="s">
        <v>1211</v>
      </c>
      <c r="K39" s="437"/>
    </row>
    <row r="40" spans="1:11" ht="38.25">
      <c r="A40" s="1855">
        <v>287373</v>
      </c>
      <c r="B40" s="1856">
        <v>910.58</v>
      </c>
      <c r="C40" s="1852" t="s">
        <v>1502</v>
      </c>
      <c r="D40" s="1853"/>
      <c r="E40" s="2277">
        <v>1237377</v>
      </c>
      <c r="F40" s="2277">
        <v>0</v>
      </c>
      <c r="G40" s="2277">
        <v>0</v>
      </c>
      <c r="H40" s="2277">
        <v>0</v>
      </c>
      <c r="I40" s="2277">
        <f>E40</f>
        <v>1237377</v>
      </c>
      <c r="J40" s="1854" t="s">
        <v>1264</v>
      </c>
      <c r="K40" s="437"/>
    </row>
    <row r="41" spans="1:11" ht="25.5">
      <c r="A41" s="1855">
        <v>287399</v>
      </c>
      <c r="B41" s="1856">
        <v>920.15</v>
      </c>
      <c r="C41" s="1852" t="s">
        <v>1503</v>
      </c>
      <c r="D41" s="1853"/>
      <c r="E41" s="2277">
        <v>12794245</v>
      </c>
      <c r="F41" s="2277">
        <v>0</v>
      </c>
      <c r="G41" s="2277">
        <v>0</v>
      </c>
      <c r="H41" s="2277">
        <v>0</v>
      </c>
      <c r="I41" s="2277">
        <f>E41</f>
        <v>12794245</v>
      </c>
      <c r="J41" s="1854" t="s">
        <v>1267</v>
      </c>
      <c r="K41" s="437"/>
    </row>
    <row r="42" spans="1:11" ht="25.5">
      <c r="A42" s="1855">
        <v>287413</v>
      </c>
      <c r="B42" s="1856">
        <v>720.55</v>
      </c>
      <c r="C42" s="1852" t="s">
        <v>557</v>
      </c>
      <c r="D42" s="1853"/>
      <c r="E42" s="2277">
        <v>0</v>
      </c>
      <c r="F42" s="2277">
        <v>0</v>
      </c>
      <c r="G42" s="2277">
        <v>0</v>
      </c>
      <c r="H42" s="2277">
        <v>0</v>
      </c>
      <c r="I42" s="2277">
        <f>E42</f>
        <v>0</v>
      </c>
      <c r="J42" s="1854" t="s">
        <v>1213</v>
      </c>
      <c r="K42" s="437"/>
    </row>
    <row r="43" spans="1:11" ht="37.5" customHeight="1">
      <c r="A43" s="1855">
        <v>287447</v>
      </c>
      <c r="B43" s="1856">
        <v>720.83</v>
      </c>
      <c r="C43" s="1852" t="s">
        <v>1504</v>
      </c>
      <c r="D43" s="1853"/>
      <c r="E43" s="2277">
        <v>4238777</v>
      </c>
      <c r="F43" s="2277">
        <v>0</v>
      </c>
      <c r="G43" s="2277">
        <v>0</v>
      </c>
      <c r="H43" s="2277">
        <v>0</v>
      </c>
      <c r="I43" s="2277">
        <f>E43</f>
        <v>4238777</v>
      </c>
      <c r="J43" s="1854" t="s">
        <v>1272</v>
      </c>
      <c r="K43" s="437"/>
    </row>
    <row r="44" spans="1:11" ht="12.75">
      <c r="A44" s="1855">
        <v>287460</v>
      </c>
      <c r="B44" s="1856">
        <v>720.8</v>
      </c>
      <c r="C44" s="1909" t="s">
        <v>558</v>
      </c>
      <c r="D44" s="1853"/>
      <c r="E44" s="2277">
        <v>63703014</v>
      </c>
      <c r="F44" s="2277">
        <f>E44</f>
        <v>63703014</v>
      </c>
      <c r="G44" s="2277">
        <v>0</v>
      </c>
      <c r="H44" s="2277"/>
      <c r="I44" s="2277">
        <v>0</v>
      </c>
      <c r="J44" s="1854" t="s">
        <v>1214</v>
      </c>
      <c r="K44" s="437"/>
    </row>
    <row r="45" spans="1:11" ht="25.5">
      <c r="A45" s="1855">
        <v>287461</v>
      </c>
      <c r="B45" s="1856">
        <v>720.81</v>
      </c>
      <c r="C45" s="1852" t="s">
        <v>559</v>
      </c>
      <c r="D45" s="1853"/>
      <c r="E45" s="2277">
        <v>20850623</v>
      </c>
      <c r="F45" s="2277">
        <f>E45</f>
        <v>20850623</v>
      </c>
      <c r="G45" s="2277">
        <v>0</v>
      </c>
      <c r="H45" s="2277">
        <v>0</v>
      </c>
      <c r="I45" s="2277">
        <v>0</v>
      </c>
      <c r="J45" s="1854" t="s">
        <v>1215</v>
      </c>
      <c r="K45" s="437"/>
    </row>
    <row r="46" spans="1:11" ht="25.5">
      <c r="A46" s="1855">
        <v>287462</v>
      </c>
      <c r="B46" s="1856">
        <v>720.82</v>
      </c>
      <c r="C46" s="1852" t="s">
        <v>560</v>
      </c>
      <c r="D46" s="1853"/>
      <c r="E46" s="2277">
        <v>23893147</v>
      </c>
      <c r="F46" s="2277">
        <f>E46</f>
        <v>23893147</v>
      </c>
      <c r="G46" s="2277">
        <v>0</v>
      </c>
      <c r="H46" s="2277">
        <v>0</v>
      </c>
      <c r="I46" s="2277">
        <v>0</v>
      </c>
      <c r="J46" s="1854" t="s">
        <v>1216</v>
      </c>
      <c r="K46" s="437"/>
    </row>
    <row r="47" spans="1:11" ht="12.75">
      <c r="A47" s="1855"/>
      <c r="B47" s="1856"/>
      <c r="C47" s="1857"/>
      <c r="D47" s="1853"/>
      <c r="E47" s="2278"/>
      <c r="F47" s="2278"/>
      <c r="G47" s="2278"/>
      <c r="H47" s="2279"/>
      <c r="I47" s="2278"/>
      <c r="J47" s="1854"/>
      <c r="K47" s="437"/>
    </row>
    <row r="48" spans="1:11" ht="12.75">
      <c r="A48" s="2280" t="s">
        <v>437</v>
      </c>
      <c r="B48" s="2281"/>
      <c r="C48" s="1857"/>
      <c r="D48" s="1853"/>
      <c r="E48" s="2282"/>
      <c r="F48" s="2282"/>
      <c r="G48" s="2282"/>
      <c r="H48" s="2282"/>
      <c r="I48" s="2282"/>
      <c r="J48" s="1854"/>
      <c r="K48" s="437"/>
    </row>
    <row r="49" spans="1:11" ht="38.25">
      <c r="A49" s="1855">
        <v>137238</v>
      </c>
      <c r="B49" s="1856">
        <v>730.11</v>
      </c>
      <c r="C49" s="1852" t="s">
        <v>561</v>
      </c>
      <c r="D49" s="1853"/>
      <c r="E49" s="2282">
        <v>19099710</v>
      </c>
      <c r="F49" s="2277">
        <f>E49</f>
        <v>19099710</v>
      </c>
      <c r="G49" s="2277">
        <v>0</v>
      </c>
      <c r="H49" s="2277">
        <v>0</v>
      </c>
      <c r="I49" s="2277">
        <v>0</v>
      </c>
      <c r="J49" s="1854" t="s">
        <v>1217</v>
      </c>
      <c r="K49" s="437"/>
    </row>
    <row r="50" spans="1:11" ht="25.5">
      <c r="A50" s="1855">
        <v>137233</v>
      </c>
      <c r="B50" s="1856">
        <v>415.83800000000002</v>
      </c>
      <c r="C50" s="1852" t="s">
        <v>1505</v>
      </c>
      <c r="D50" s="1853"/>
      <c r="E50" s="2282">
        <v>4980501</v>
      </c>
      <c r="F50" s="2277">
        <f>E50</f>
        <v>4980501</v>
      </c>
      <c r="G50" s="2277">
        <v>0</v>
      </c>
      <c r="H50" s="2277">
        <v>0</v>
      </c>
      <c r="I50" s="2277">
        <v>0</v>
      </c>
      <c r="J50" s="1854" t="s">
        <v>1244</v>
      </c>
      <c r="K50" s="437"/>
    </row>
    <row r="51" spans="1:11" ht="38.25">
      <c r="A51" s="1855">
        <v>287336</v>
      </c>
      <c r="B51" s="1856">
        <v>730.12</v>
      </c>
      <c r="C51" s="1857" t="s">
        <v>1506</v>
      </c>
      <c r="D51" s="1853"/>
      <c r="E51" s="2282">
        <v>13316395</v>
      </c>
      <c r="F51" s="2277">
        <f>E51</f>
        <v>13316395</v>
      </c>
      <c r="G51" s="2277">
        <v>0</v>
      </c>
      <c r="H51" s="2277">
        <v>0</v>
      </c>
      <c r="I51" s="2277">
        <v>0</v>
      </c>
      <c r="J51" s="1854" t="s">
        <v>1217</v>
      </c>
      <c r="K51" s="437"/>
    </row>
    <row r="52" spans="1:11" ht="25.5">
      <c r="A52" s="1855">
        <v>287249</v>
      </c>
      <c r="B52" s="1856">
        <v>415.839</v>
      </c>
      <c r="C52" s="1857" t="s">
        <v>1507</v>
      </c>
      <c r="D52" s="1853"/>
      <c r="E52" s="2282">
        <v>41823354</v>
      </c>
      <c r="F52" s="2277">
        <f>E52</f>
        <v>41823354</v>
      </c>
      <c r="G52" s="2277">
        <v>0</v>
      </c>
      <c r="H52" s="2277">
        <v>0</v>
      </c>
      <c r="I52" s="2277">
        <v>0</v>
      </c>
      <c r="J52" s="1854" t="s">
        <v>1245</v>
      </c>
      <c r="K52" s="437"/>
    </row>
    <row r="53" spans="1:11" ht="12.75">
      <c r="A53" s="2280" t="s">
        <v>562</v>
      </c>
      <c r="B53" s="2281"/>
      <c r="C53" s="1857"/>
      <c r="D53" s="1853"/>
      <c r="E53" s="2282"/>
      <c r="F53" s="2282"/>
      <c r="G53" s="2282"/>
      <c r="H53" s="2282"/>
      <c r="I53" s="2282"/>
      <c r="J53" s="1854"/>
      <c r="K53" s="437"/>
    </row>
    <row r="54" spans="1:11" ht="12.75">
      <c r="A54" s="1855">
        <v>137203</v>
      </c>
      <c r="B54" s="1856">
        <v>705.51400000000001</v>
      </c>
      <c r="C54" s="1852" t="s">
        <v>1508</v>
      </c>
      <c r="D54" s="1853"/>
      <c r="E54" s="2282">
        <v>0</v>
      </c>
      <c r="F54" s="2277">
        <f t="shared" ref="F54:F112" si="2">E54</f>
        <v>0</v>
      </c>
      <c r="G54" s="2282"/>
      <c r="H54" s="2282"/>
      <c r="I54" s="2282"/>
      <c r="J54" s="2275" t="s">
        <v>1915</v>
      </c>
      <c r="K54" s="437"/>
    </row>
    <row r="55" spans="1:11" ht="25.5">
      <c r="A55" s="1855">
        <v>137205</v>
      </c>
      <c r="B55" s="1856">
        <v>705.51800000000003</v>
      </c>
      <c r="C55" s="1852" t="s">
        <v>1509</v>
      </c>
      <c r="D55" s="1853"/>
      <c r="E55" s="2282">
        <v>46285</v>
      </c>
      <c r="F55" s="2277">
        <f t="shared" si="2"/>
        <v>46285</v>
      </c>
      <c r="G55" s="2282">
        <v>0</v>
      </c>
      <c r="H55" s="2282">
        <v>0</v>
      </c>
      <c r="I55" s="2282">
        <v>0</v>
      </c>
      <c r="J55" s="2275" t="s">
        <v>1916</v>
      </c>
      <c r="K55" s="437"/>
    </row>
    <row r="56" spans="1:11" ht="12.75">
      <c r="A56" s="1855">
        <v>137213</v>
      </c>
      <c r="B56" s="1856">
        <v>705.52499999999998</v>
      </c>
      <c r="C56" s="1852" t="s">
        <v>1835</v>
      </c>
      <c r="D56" s="1853"/>
      <c r="E56" s="2282">
        <v>153692</v>
      </c>
      <c r="F56" s="2277">
        <f t="shared" si="2"/>
        <v>153692</v>
      </c>
      <c r="G56" s="2282">
        <v>0</v>
      </c>
      <c r="H56" s="2282">
        <v>0</v>
      </c>
      <c r="I56" s="2282">
        <v>0</v>
      </c>
      <c r="J56" s="2275" t="s">
        <v>1930</v>
      </c>
      <c r="K56" s="437"/>
    </row>
    <row r="57" spans="1:11" ht="12.75">
      <c r="A57" s="1855">
        <v>137214</v>
      </c>
      <c r="B57" s="1856">
        <v>705.52200000000005</v>
      </c>
      <c r="C57" s="1852" t="s">
        <v>1510</v>
      </c>
      <c r="D57" s="1853"/>
      <c r="E57" s="2282">
        <v>0</v>
      </c>
      <c r="F57" s="2277">
        <f t="shared" si="2"/>
        <v>0</v>
      </c>
      <c r="G57" s="2282">
        <v>0</v>
      </c>
      <c r="H57" s="2282">
        <v>0</v>
      </c>
      <c r="I57" s="2282">
        <v>0</v>
      </c>
      <c r="J57" s="2275" t="s">
        <v>1931</v>
      </c>
      <c r="K57" s="437"/>
    </row>
    <row r="58" spans="1:11" ht="12.75">
      <c r="A58" s="1855">
        <v>137215</v>
      </c>
      <c r="B58" s="1856">
        <v>705.52300000000002</v>
      </c>
      <c r="C58" s="1852" t="s">
        <v>1511</v>
      </c>
      <c r="D58" s="1853"/>
      <c r="E58" s="2282">
        <v>0</v>
      </c>
      <c r="F58" s="2277">
        <f t="shared" si="2"/>
        <v>0</v>
      </c>
      <c r="G58" s="2282">
        <v>0</v>
      </c>
      <c r="H58" s="2282">
        <v>0</v>
      </c>
      <c r="I58" s="2282">
        <v>0</v>
      </c>
      <c r="J58" s="2275" t="s">
        <v>1932</v>
      </c>
      <c r="K58" s="437"/>
    </row>
    <row r="59" spans="1:11" ht="25.5">
      <c r="A59" s="1855">
        <v>137221</v>
      </c>
      <c r="B59" s="1856">
        <v>705.52599999999995</v>
      </c>
      <c r="C59" s="1852" t="s">
        <v>1512</v>
      </c>
      <c r="D59" s="1853"/>
      <c r="E59" s="2282">
        <v>358886</v>
      </c>
      <c r="F59" s="2277">
        <f t="shared" si="2"/>
        <v>358886</v>
      </c>
      <c r="G59" s="2282">
        <v>0</v>
      </c>
      <c r="H59" s="2282">
        <v>0</v>
      </c>
      <c r="I59" s="2282">
        <v>0</v>
      </c>
      <c r="J59" s="2275" t="s">
        <v>1919</v>
      </c>
      <c r="K59" s="437"/>
    </row>
    <row r="60" spans="1:11" ht="25.5">
      <c r="A60" s="1855">
        <v>137224</v>
      </c>
      <c r="B60" s="1856">
        <v>705.53</v>
      </c>
      <c r="C60" s="1852" t="s">
        <v>1513</v>
      </c>
      <c r="D60" s="1853"/>
      <c r="E60" s="2282">
        <v>3839456</v>
      </c>
      <c r="F60" s="2277">
        <f t="shared" si="2"/>
        <v>3839456</v>
      </c>
      <c r="G60" s="2282">
        <v>0</v>
      </c>
      <c r="H60" s="2282">
        <v>0</v>
      </c>
      <c r="I60" s="2282">
        <v>0</v>
      </c>
      <c r="J60" s="2275" t="s">
        <v>1918</v>
      </c>
      <c r="K60" s="437"/>
    </row>
    <row r="61" spans="1:11" ht="24.75" customHeight="1">
      <c r="A61" s="1855">
        <v>137228</v>
      </c>
      <c r="B61" s="1856">
        <v>705.53599999999994</v>
      </c>
      <c r="C61" s="1852" t="s">
        <v>1514</v>
      </c>
      <c r="D61" s="1853"/>
      <c r="E61" s="2282">
        <v>1102333</v>
      </c>
      <c r="F61" s="2277">
        <f t="shared" si="2"/>
        <v>1102333</v>
      </c>
      <c r="G61" s="2282">
        <v>0</v>
      </c>
      <c r="H61" s="2282">
        <v>0</v>
      </c>
      <c r="I61" s="2282">
        <v>0</v>
      </c>
      <c r="J61" s="2275" t="s">
        <v>1515</v>
      </c>
      <c r="K61" s="437"/>
    </row>
    <row r="62" spans="1:11" ht="25.5">
      <c r="A62" s="1855">
        <v>137229</v>
      </c>
      <c r="B62" s="1856">
        <v>705.53700000000003</v>
      </c>
      <c r="C62" s="1852" t="s">
        <v>1516</v>
      </c>
      <c r="D62" s="1853"/>
      <c r="E62" s="2282">
        <v>330725</v>
      </c>
      <c r="F62" s="2277">
        <f t="shared" si="2"/>
        <v>330725</v>
      </c>
      <c r="G62" s="2282">
        <v>0</v>
      </c>
      <c r="H62" s="2282">
        <v>0</v>
      </c>
      <c r="I62" s="2282">
        <v>0</v>
      </c>
      <c r="J62" s="2275" t="s">
        <v>1917</v>
      </c>
      <c r="K62" s="437"/>
    </row>
    <row r="63" spans="1:11" ht="51">
      <c r="A63" s="1855">
        <v>137232</v>
      </c>
      <c r="B63" s="1856">
        <v>415.7</v>
      </c>
      <c r="C63" s="1852" t="s">
        <v>1517</v>
      </c>
      <c r="D63" s="1853"/>
      <c r="E63" s="2282">
        <v>0</v>
      </c>
      <c r="F63" s="2277">
        <f t="shared" si="2"/>
        <v>0</v>
      </c>
      <c r="G63" s="2282">
        <v>0</v>
      </c>
      <c r="H63" s="2282">
        <v>0</v>
      </c>
      <c r="I63" s="2282">
        <v>0</v>
      </c>
      <c r="J63" s="2275" t="s">
        <v>1230</v>
      </c>
      <c r="K63" s="437"/>
    </row>
    <row r="64" spans="1:11" ht="51">
      <c r="A64" s="1855">
        <v>137234</v>
      </c>
      <c r="B64" s="1856">
        <v>425.38099999999997</v>
      </c>
      <c r="C64" s="1852" t="s">
        <v>1518</v>
      </c>
      <c r="D64" s="1853"/>
      <c r="E64" s="2282">
        <v>878553</v>
      </c>
      <c r="F64" s="2277">
        <f t="shared" si="2"/>
        <v>878553</v>
      </c>
      <c r="G64" s="2282">
        <v>0</v>
      </c>
      <c r="H64" s="2282">
        <v>0</v>
      </c>
      <c r="I64" s="2282">
        <v>0</v>
      </c>
      <c r="J64" s="2275" t="s">
        <v>1898</v>
      </c>
      <c r="K64" s="437"/>
    </row>
    <row r="65" spans="1:11" ht="51">
      <c r="A65" s="1855">
        <v>137237</v>
      </c>
      <c r="B65" s="1856">
        <v>715.72</v>
      </c>
      <c r="C65" s="1852" t="s">
        <v>1519</v>
      </c>
      <c r="D65" s="1853"/>
      <c r="E65" s="2282">
        <v>0</v>
      </c>
      <c r="F65" s="2277">
        <f t="shared" si="2"/>
        <v>0</v>
      </c>
      <c r="G65" s="2282">
        <v>0</v>
      </c>
      <c r="H65" s="2282">
        <v>0</v>
      </c>
      <c r="I65" s="2282">
        <v>0</v>
      </c>
      <c r="J65" s="2275" t="s">
        <v>1899</v>
      </c>
      <c r="K65" s="437"/>
    </row>
    <row r="66" spans="1:11" ht="24.75" customHeight="1">
      <c r="A66" s="1855">
        <v>137241</v>
      </c>
      <c r="B66" s="1856">
        <v>705.24099999999999</v>
      </c>
      <c r="C66" s="1852" t="s">
        <v>1520</v>
      </c>
      <c r="D66" s="1853"/>
      <c r="E66" s="2282">
        <v>256166</v>
      </c>
      <c r="F66" s="2277">
        <f t="shared" si="2"/>
        <v>256166</v>
      </c>
      <c r="G66" s="2282">
        <v>0</v>
      </c>
      <c r="H66" s="2282">
        <v>0</v>
      </c>
      <c r="I66" s="2282">
        <v>0</v>
      </c>
      <c r="J66" s="2275" t="s">
        <v>1920</v>
      </c>
      <c r="K66" s="437"/>
    </row>
    <row r="67" spans="1:11" ht="38.85" customHeight="1">
      <c r="A67" s="1855">
        <v>137300</v>
      </c>
      <c r="B67" s="1856">
        <v>610.14400000000001</v>
      </c>
      <c r="C67" s="1852" t="s">
        <v>1521</v>
      </c>
      <c r="D67" s="1853"/>
      <c r="E67" s="2282">
        <v>717505</v>
      </c>
      <c r="F67" s="2277">
        <f t="shared" si="2"/>
        <v>717505</v>
      </c>
      <c r="G67" s="2282">
        <v>0</v>
      </c>
      <c r="H67" s="2282">
        <v>0</v>
      </c>
      <c r="I67" s="2282">
        <v>0</v>
      </c>
      <c r="J67" s="2275" t="s">
        <v>1522</v>
      </c>
      <c r="K67" s="437"/>
    </row>
    <row r="68" spans="1:11" ht="38.25">
      <c r="A68" s="1855">
        <v>137416</v>
      </c>
      <c r="B68" s="1856">
        <v>610.14200000000005</v>
      </c>
      <c r="C68" s="1852" t="s">
        <v>1523</v>
      </c>
      <c r="D68" s="1853"/>
      <c r="E68" s="2282">
        <v>947522</v>
      </c>
      <c r="F68" s="2277">
        <f t="shared" si="2"/>
        <v>947522</v>
      </c>
      <c r="G68" s="2282">
        <v>0</v>
      </c>
      <c r="H68" s="2282">
        <v>0</v>
      </c>
      <c r="I68" s="2282">
        <v>0</v>
      </c>
      <c r="J68" s="1854" t="s">
        <v>1238</v>
      </c>
      <c r="K68" s="437"/>
    </row>
    <row r="69" spans="1:11" ht="38.25">
      <c r="A69" s="1855">
        <v>137417</v>
      </c>
      <c r="B69" s="1856">
        <v>610.14300000000003</v>
      </c>
      <c r="C69" s="1852" t="s">
        <v>1524</v>
      </c>
      <c r="D69" s="1853"/>
      <c r="E69" s="2282">
        <v>494423</v>
      </c>
      <c r="F69" s="2277">
        <f t="shared" si="2"/>
        <v>494423</v>
      </c>
      <c r="G69" s="2282">
        <v>0</v>
      </c>
      <c r="H69" s="2282">
        <v>0</v>
      </c>
      <c r="I69" s="2282">
        <v>0</v>
      </c>
      <c r="J69" s="1854" t="s">
        <v>1238</v>
      </c>
      <c r="K69" s="437"/>
    </row>
    <row r="70" spans="1:11" ht="38.85" customHeight="1">
      <c r="A70" s="1855">
        <v>137418</v>
      </c>
      <c r="B70" s="1856">
        <v>705.26499999999999</v>
      </c>
      <c r="C70" s="1852" t="s">
        <v>1525</v>
      </c>
      <c r="D70" s="1853"/>
      <c r="E70" s="2282">
        <v>998298</v>
      </c>
      <c r="F70" s="2277">
        <f t="shared" si="2"/>
        <v>998298</v>
      </c>
      <c r="G70" s="2282">
        <v>0</v>
      </c>
      <c r="H70" s="2282">
        <v>0</v>
      </c>
      <c r="I70" s="2282">
        <v>0</v>
      </c>
      <c r="J70" s="1854" t="s">
        <v>1227</v>
      </c>
      <c r="K70" s="437"/>
    </row>
    <row r="71" spans="1:11" ht="38.85" customHeight="1">
      <c r="A71" s="1855">
        <v>137419</v>
      </c>
      <c r="B71" s="1856">
        <v>705.27</v>
      </c>
      <c r="C71" s="1852" t="s">
        <v>1526</v>
      </c>
      <c r="D71" s="1853"/>
      <c r="E71" s="2282">
        <v>1072010</v>
      </c>
      <c r="F71" s="2277">
        <f t="shared" si="2"/>
        <v>1072010</v>
      </c>
      <c r="G71" s="2282">
        <v>0</v>
      </c>
      <c r="H71" s="2282">
        <v>0</v>
      </c>
      <c r="I71" s="2282">
        <v>0</v>
      </c>
      <c r="J71" s="1854" t="s">
        <v>1239</v>
      </c>
      <c r="K71" s="437"/>
    </row>
    <row r="72" spans="1:11" ht="38.85" customHeight="1">
      <c r="A72" s="1855">
        <v>137420</v>
      </c>
      <c r="B72" s="1856">
        <v>705.27099999999996</v>
      </c>
      <c r="C72" s="1852" t="s">
        <v>1527</v>
      </c>
      <c r="D72" s="1853"/>
      <c r="E72" s="2282">
        <v>131501</v>
      </c>
      <c r="F72" s="2277">
        <f t="shared" si="2"/>
        <v>131501</v>
      </c>
      <c r="G72" s="2282">
        <v>0</v>
      </c>
      <c r="H72" s="2282">
        <v>0</v>
      </c>
      <c r="I72" s="2282">
        <v>0</v>
      </c>
      <c r="J72" s="1854" t="s">
        <v>1239</v>
      </c>
      <c r="K72" s="437"/>
    </row>
    <row r="73" spans="1:11" ht="38.85" customHeight="1">
      <c r="A73" s="1855">
        <v>137421</v>
      </c>
      <c r="B73" s="1856">
        <v>705.27200000000005</v>
      </c>
      <c r="C73" s="1852" t="s">
        <v>1528</v>
      </c>
      <c r="D73" s="1853"/>
      <c r="E73" s="2282">
        <v>50647</v>
      </c>
      <c r="F73" s="2277">
        <f t="shared" si="2"/>
        <v>50647</v>
      </c>
      <c r="G73" s="2282">
        <v>0</v>
      </c>
      <c r="H73" s="2282">
        <v>0</v>
      </c>
      <c r="I73" s="2282">
        <v>0</v>
      </c>
      <c r="J73" s="1854" t="s">
        <v>1239</v>
      </c>
      <c r="K73" s="437"/>
    </row>
    <row r="74" spans="1:11" ht="38.85" customHeight="1">
      <c r="A74" s="1855">
        <v>137422</v>
      </c>
      <c r="B74" s="1856">
        <v>705.27300000000002</v>
      </c>
      <c r="C74" s="1852" t="s">
        <v>1529</v>
      </c>
      <c r="D74" s="1853"/>
      <c r="E74" s="2282">
        <v>1200413</v>
      </c>
      <c r="F74" s="2277">
        <f t="shared" si="2"/>
        <v>1200413</v>
      </c>
      <c r="G74" s="2282">
        <v>0</v>
      </c>
      <c r="H74" s="2282">
        <v>0</v>
      </c>
      <c r="I74" s="2282">
        <v>0</v>
      </c>
      <c r="J74" s="1854" t="s">
        <v>1239</v>
      </c>
      <c r="K74" s="437"/>
    </row>
    <row r="75" spans="1:11" ht="38.85" customHeight="1">
      <c r="A75" s="1855">
        <v>137423</v>
      </c>
      <c r="B75" s="1856">
        <v>705.274</v>
      </c>
      <c r="C75" s="1852" t="s">
        <v>1530</v>
      </c>
      <c r="D75" s="1853"/>
      <c r="E75" s="2282">
        <v>46892</v>
      </c>
      <c r="F75" s="2277">
        <f t="shared" si="2"/>
        <v>46892</v>
      </c>
      <c r="G75" s="2282">
        <v>0</v>
      </c>
      <c r="H75" s="2282">
        <v>0</v>
      </c>
      <c r="I75" s="2282">
        <v>0</v>
      </c>
      <c r="J75" s="1854" t="s">
        <v>1239</v>
      </c>
      <c r="K75" s="437"/>
    </row>
    <row r="76" spans="1:11" ht="38.85" customHeight="1">
      <c r="A76" s="1855">
        <v>137424</v>
      </c>
      <c r="B76" s="1856">
        <v>705.27499999999998</v>
      </c>
      <c r="C76" s="1852" t="s">
        <v>1531</v>
      </c>
      <c r="D76" s="1853"/>
      <c r="E76" s="2282">
        <v>133301</v>
      </c>
      <c r="F76" s="2277">
        <f t="shared" si="2"/>
        <v>133301</v>
      </c>
      <c r="G76" s="2282">
        <v>0</v>
      </c>
      <c r="H76" s="2282">
        <v>0</v>
      </c>
      <c r="I76" s="2282">
        <v>0</v>
      </c>
      <c r="J76" s="1854" t="s">
        <v>1239</v>
      </c>
      <c r="K76" s="437"/>
    </row>
    <row r="77" spans="1:11" ht="25.5">
      <c r="A77" s="1855">
        <v>137425</v>
      </c>
      <c r="B77" s="1856">
        <v>705.6</v>
      </c>
      <c r="C77" s="1852" t="s">
        <v>1532</v>
      </c>
      <c r="D77" s="1853"/>
      <c r="E77" s="2282">
        <v>0</v>
      </c>
      <c r="F77" s="2277">
        <f t="shared" si="2"/>
        <v>0</v>
      </c>
      <c r="G77" s="2282">
        <v>0</v>
      </c>
      <c r="H77" s="2282">
        <v>0</v>
      </c>
      <c r="I77" s="2282">
        <v>0</v>
      </c>
      <c r="J77" s="1854" t="s">
        <v>1218</v>
      </c>
      <c r="K77" s="437"/>
    </row>
    <row r="78" spans="1:11" ht="77.25" customHeight="1">
      <c r="A78" s="1855">
        <v>287225</v>
      </c>
      <c r="B78" s="1856">
        <v>605.10299999999995</v>
      </c>
      <c r="C78" s="1852" t="s">
        <v>1533</v>
      </c>
      <c r="D78" s="1853"/>
      <c r="E78" s="2282">
        <v>-105045</v>
      </c>
      <c r="F78" s="2277">
        <f t="shared" si="2"/>
        <v>-105045</v>
      </c>
      <c r="G78" s="2282">
        <v>0</v>
      </c>
      <c r="H78" s="2282">
        <v>0</v>
      </c>
      <c r="I78" s="2282">
        <v>0</v>
      </c>
      <c r="J78" s="2275" t="s">
        <v>1534</v>
      </c>
      <c r="K78" s="437"/>
    </row>
    <row r="79" spans="1:11" ht="24.75" customHeight="1">
      <c r="A79" s="1855">
        <v>287233</v>
      </c>
      <c r="B79" s="1856">
        <v>705.51499999999999</v>
      </c>
      <c r="C79" s="1852" t="s">
        <v>1836</v>
      </c>
      <c r="D79" s="1853"/>
      <c r="E79" s="2282">
        <v>2286645</v>
      </c>
      <c r="F79" s="2277">
        <f t="shared" si="2"/>
        <v>2286645</v>
      </c>
      <c r="G79" s="2282">
        <v>0</v>
      </c>
      <c r="H79" s="2282">
        <v>0</v>
      </c>
      <c r="I79" s="2282">
        <v>0</v>
      </c>
      <c r="J79" s="2275" t="s">
        <v>1837</v>
      </c>
      <c r="K79" s="437"/>
    </row>
    <row r="80" spans="1:11" ht="51">
      <c r="A80" s="1855">
        <v>287237</v>
      </c>
      <c r="B80" s="1856">
        <v>705.755</v>
      </c>
      <c r="C80" s="1852" t="s">
        <v>1535</v>
      </c>
      <c r="D80" s="1853"/>
      <c r="E80" s="2282">
        <v>23587</v>
      </c>
      <c r="F80" s="2277">
        <f t="shared" si="2"/>
        <v>23587</v>
      </c>
      <c r="G80" s="2282">
        <v>0</v>
      </c>
      <c r="H80" s="2282">
        <v>0</v>
      </c>
      <c r="I80" s="2282">
        <v>0</v>
      </c>
      <c r="J80" s="2275" t="s">
        <v>1900</v>
      </c>
      <c r="K80" s="437"/>
    </row>
    <row r="81" spans="1:11" ht="25.5">
      <c r="A81" s="1855">
        <v>287239</v>
      </c>
      <c r="B81" s="1856">
        <v>705.6</v>
      </c>
      <c r="C81" s="1852" t="s">
        <v>1532</v>
      </c>
      <c r="D81" s="1853"/>
      <c r="E81" s="2282">
        <v>-158722</v>
      </c>
      <c r="F81" s="2277">
        <f t="shared" si="2"/>
        <v>-158722</v>
      </c>
      <c r="G81" s="2282">
        <v>0</v>
      </c>
      <c r="H81" s="2282">
        <v>0</v>
      </c>
      <c r="I81" s="2282">
        <v>0</v>
      </c>
      <c r="J81" s="1854" t="s">
        <v>1218</v>
      </c>
      <c r="K81" s="437"/>
    </row>
    <row r="82" spans="1:11" ht="25.5">
      <c r="A82" s="1855">
        <v>287253</v>
      </c>
      <c r="B82" s="1856">
        <v>705.4</v>
      </c>
      <c r="C82" s="1852" t="s">
        <v>1838</v>
      </c>
      <c r="D82" s="1853"/>
      <c r="E82" s="2282">
        <v>791291</v>
      </c>
      <c r="F82" s="2277">
        <f t="shared" si="2"/>
        <v>791291</v>
      </c>
      <c r="G82" s="2282"/>
      <c r="H82" s="2282"/>
      <c r="I82" s="2282"/>
      <c r="J82" s="1854" t="s">
        <v>1219</v>
      </c>
      <c r="K82" s="437"/>
    </row>
    <row r="83" spans="1:11" ht="24.75" customHeight="1">
      <c r="A83" s="1855">
        <v>287255</v>
      </c>
      <c r="B83" s="1856">
        <v>705.45100000000002</v>
      </c>
      <c r="C83" s="1857" t="s">
        <v>1536</v>
      </c>
      <c r="D83" s="1853"/>
      <c r="E83" s="2282">
        <v>393344</v>
      </c>
      <c r="F83" s="2277">
        <f t="shared" si="2"/>
        <v>393344</v>
      </c>
      <c r="G83" s="2282">
        <v>0</v>
      </c>
      <c r="H83" s="2282">
        <v>0</v>
      </c>
      <c r="I83" s="2282">
        <v>0</v>
      </c>
      <c r="J83" s="1854" t="s">
        <v>1220</v>
      </c>
      <c r="K83" s="437"/>
    </row>
    <row r="84" spans="1:11" ht="38.25">
      <c r="A84" s="1855">
        <v>287257</v>
      </c>
      <c r="B84" s="1856">
        <v>705.45299999999997</v>
      </c>
      <c r="C84" s="1857" t="s">
        <v>1537</v>
      </c>
      <c r="D84" s="1853"/>
      <c r="E84" s="2282">
        <v>144868</v>
      </c>
      <c r="F84" s="2277">
        <f t="shared" si="2"/>
        <v>144868</v>
      </c>
      <c r="G84" s="2282">
        <v>0</v>
      </c>
      <c r="H84" s="2282">
        <v>0</v>
      </c>
      <c r="I84" s="2282">
        <v>0</v>
      </c>
      <c r="J84" s="1854" t="s">
        <v>1221</v>
      </c>
      <c r="K84" s="437"/>
    </row>
    <row r="85" spans="1:11" ht="25.5">
      <c r="A85" s="1855">
        <v>287258</v>
      </c>
      <c r="B85" s="1856">
        <v>705.45399999999995</v>
      </c>
      <c r="C85" s="1857" t="s">
        <v>1538</v>
      </c>
      <c r="D85" s="1853"/>
      <c r="E85" s="2282">
        <v>1318284</v>
      </c>
      <c r="F85" s="2277">
        <f t="shared" si="2"/>
        <v>1318284</v>
      </c>
      <c r="G85" s="2282">
        <v>0</v>
      </c>
      <c r="H85" s="2282">
        <v>0</v>
      </c>
      <c r="I85" s="2282">
        <v>0</v>
      </c>
      <c r="J85" s="1854" t="s">
        <v>1222</v>
      </c>
      <c r="K85" s="437"/>
    </row>
    <row r="86" spans="1:11" ht="25.5">
      <c r="A86" s="1855">
        <v>287262</v>
      </c>
      <c r="B86" s="1856">
        <v>100.1</v>
      </c>
      <c r="C86" s="1857" t="s">
        <v>1539</v>
      </c>
      <c r="D86" s="1853"/>
      <c r="E86" s="2282">
        <v>4678951</v>
      </c>
      <c r="F86" s="2277">
        <f t="shared" si="2"/>
        <v>4678951</v>
      </c>
      <c r="G86" s="2282">
        <v>0</v>
      </c>
      <c r="H86" s="2282">
        <v>0</v>
      </c>
      <c r="I86" s="2282">
        <v>0</v>
      </c>
      <c r="J86" s="1854" t="s">
        <v>1224</v>
      </c>
      <c r="K86" s="437"/>
    </row>
    <row r="87" spans="1:11" ht="25.5">
      <c r="A87" s="1855">
        <v>287284</v>
      </c>
      <c r="B87" s="1856">
        <v>610.14700000000005</v>
      </c>
      <c r="C87" s="1857" t="s">
        <v>1540</v>
      </c>
      <c r="D87" s="1853"/>
      <c r="E87" s="2282">
        <v>-10682</v>
      </c>
      <c r="F87" s="2277">
        <f t="shared" si="2"/>
        <v>-10682</v>
      </c>
      <c r="G87" s="2282">
        <v>0</v>
      </c>
      <c r="H87" s="2282">
        <v>0</v>
      </c>
      <c r="I87" s="2282">
        <v>0</v>
      </c>
      <c r="J87" s="1854" t="s">
        <v>1225</v>
      </c>
      <c r="K87" s="437"/>
    </row>
    <row r="88" spans="1:11" ht="25.5">
      <c r="A88" s="1855">
        <v>287288</v>
      </c>
      <c r="B88" s="1856">
        <v>415.80399999999997</v>
      </c>
      <c r="C88" s="1857" t="s">
        <v>1541</v>
      </c>
      <c r="D88" s="1853"/>
      <c r="E88" s="2282">
        <v>307492</v>
      </c>
      <c r="F88" s="2277">
        <f t="shared" si="2"/>
        <v>307492</v>
      </c>
      <c r="G88" s="2282">
        <v>0</v>
      </c>
      <c r="H88" s="2282">
        <v>0</v>
      </c>
      <c r="I88" s="2282">
        <v>0</v>
      </c>
      <c r="J88" s="1854" t="s">
        <v>1226</v>
      </c>
      <c r="K88" s="437"/>
    </row>
    <row r="89" spans="1:11" ht="38.25">
      <c r="A89" s="1855">
        <v>287304</v>
      </c>
      <c r="B89" s="1856">
        <v>610.14599999999996</v>
      </c>
      <c r="C89" s="1857" t="s">
        <v>1542</v>
      </c>
      <c r="D89" s="1853"/>
      <c r="E89" s="2282">
        <v>-21406</v>
      </c>
      <c r="F89" s="2277">
        <f t="shared" si="2"/>
        <v>-21406</v>
      </c>
      <c r="G89" s="2282">
        <v>0</v>
      </c>
      <c r="H89" s="2282">
        <v>0</v>
      </c>
      <c r="I89" s="2282">
        <v>0</v>
      </c>
      <c r="J89" s="1854" t="s">
        <v>1228</v>
      </c>
      <c r="K89" s="437"/>
    </row>
    <row r="90" spans="1:11" ht="25.5">
      <c r="A90" s="1855">
        <v>287312</v>
      </c>
      <c r="B90" s="1856">
        <v>105.4</v>
      </c>
      <c r="C90" s="1857" t="s">
        <v>1543</v>
      </c>
      <c r="D90" s="1853"/>
      <c r="E90" s="2282">
        <v>2454254</v>
      </c>
      <c r="F90" s="2277">
        <f t="shared" si="2"/>
        <v>2454254</v>
      </c>
      <c r="G90" s="2282">
        <v>0</v>
      </c>
      <c r="H90" s="2282">
        <v>0</v>
      </c>
      <c r="I90" s="2282">
        <v>0</v>
      </c>
      <c r="J90" s="1854" t="s">
        <v>1229</v>
      </c>
      <c r="K90" s="437"/>
    </row>
    <row r="91" spans="1:11" ht="51">
      <c r="A91" s="1855">
        <v>287320</v>
      </c>
      <c r="B91" s="1856">
        <v>910.56</v>
      </c>
      <c r="C91" s="1857" t="s">
        <v>1544</v>
      </c>
      <c r="D91" s="1853"/>
      <c r="E91" s="2282">
        <v>0</v>
      </c>
      <c r="F91" s="2277">
        <f t="shared" si="2"/>
        <v>0</v>
      </c>
      <c r="G91" s="2282">
        <v>0</v>
      </c>
      <c r="H91" s="2282">
        <v>0</v>
      </c>
      <c r="I91" s="2282">
        <v>0</v>
      </c>
      <c r="J91" s="1854" t="s">
        <v>1231</v>
      </c>
      <c r="K91" s="437"/>
    </row>
    <row r="92" spans="1:11" ht="38.25">
      <c r="A92" s="1855">
        <v>287374</v>
      </c>
      <c r="B92" s="1856">
        <v>100.105</v>
      </c>
      <c r="C92" s="1857" t="s">
        <v>1232</v>
      </c>
      <c r="D92" s="1853"/>
      <c r="E92" s="2282">
        <v>0</v>
      </c>
      <c r="F92" s="2277">
        <f t="shared" si="2"/>
        <v>0</v>
      </c>
      <c r="G92" s="2282">
        <v>0</v>
      </c>
      <c r="H92" s="2282">
        <v>0</v>
      </c>
      <c r="I92" s="2282">
        <v>0</v>
      </c>
      <c r="J92" s="1854" t="s">
        <v>1233</v>
      </c>
      <c r="K92" s="437"/>
    </row>
    <row r="93" spans="1:11" ht="38.25">
      <c r="A93" s="1855">
        <v>287438</v>
      </c>
      <c r="B93" s="1856">
        <v>415.8</v>
      </c>
      <c r="C93" s="1857" t="s">
        <v>1545</v>
      </c>
      <c r="D93" s="1853"/>
      <c r="E93" s="2282">
        <v>429499</v>
      </c>
      <c r="F93" s="2277">
        <f t="shared" si="2"/>
        <v>429499</v>
      </c>
      <c r="G93" s="2282">
        <v>0</v>
      </c>
      <c r="H93" s="2282">
        <v>0</v>
      </c>
      <c r="I93" s="2282">
        <v>0</v>
      </c>
      <c r="J93" s="1854" t="s">
        <v>1234</v>
      </c>
      <c r="K93" s="437"/>
    </row>
    <row r="94" spans="1:11" ht="24.75" customHeight="1">
      <c r="A94" s="1855">
        <v>287439</v>
      </c>
      <c r="B94" s="1856">
        <v>415.80500000000001</v>
      </c>
      <c r="C94" s="1857" t="s">
        <v>1546</v>
      </c>
      <c r="D94" s="1853"/>
      <c r="E94" s="2282">
        <v>157155</v>
      </c>
      <c r="F94" s="2277">
        <f t="shared" si="2"/>
        <v>157155</v>
      </c>
      <c r="G94" s="2282">
        <v>0</v>
      </c>
      <c r="H94" s="2282">
        <v>0</v>
      </c>
      <c r="I94" s="2282">
        <v>0</v>
      </c>
      <c r="J94" s="1854" t="s">
        <v>1235</v>
      </c>
      <c r="K94" s="437"/>
    </row>
    <row r="95" spans="1:11" ht="38.25">
      <c r="A95" s="1855">
        <v>287440</v>
      </c>
      <c r="B95" s="1856">
        <v>415.80599999999998</v>
      </c>
      <c r="C95" s="1857" t="s">
        <v>1547</v>
      </c>
      <c r="D95" s="1853"/>
      <c r="E95" s="2282">
        <v>51541</v>
      </c>
      <c r="F95" s="2277">
        <f t="shared" si="2"/>
        <v>51541</v>
      </c>
      <c r="G95" s="2282">
        <v>0</v>
      </c>
      <c r="H95" s="2282">
        <v>0</v>
      </c>
      <c r="I95" s="2282">
        <v>0</v>
      </c>
      <c r="J95" s="1854" t="s">
        <v>1236</v>
      </c>
      <c r="K95" s="437"/>
    </row>
    <row r="96" spans="1:11" ht="51">
      <c r="A96" s="1855">
        <v>287441</v>
      </c>
      <c r="B96" s="1856">
        <v>605.1</v>
      </c>
      <c r="C96" s="1857" t="s">
        <v>1548</v>
      </c>
      <c r="D96" s="1853"/>
      <c r="E96" s="2282">
        <v>2125829</v>
      </c>
      <c r="F96" s="2277">
        <f t="shared" si="2"/>
        <v>2125829</v>
      </c>
      <c r="G96" s="2282">
        <v>0</v>
      </c>
      <c r="H96" s="2282">
        <v>0</v>
      </c>
      <c r="I96" s="2282">
        <v>0</v>
      </c>
      <c r="J96" s="1854" t="s">
        <v>1839</v>
      </c>
      <c r="K96" s="437"/>
    </row>
    <row r="97" spans="1:11" ht="38.25">
      <c r="A97" s="1855">
        <v>287442</v>
      </c>
      <c r="B97" s="1856">
        <v>610.13499999999999</v>
      </c>
      <c r="C97" s="1857" t="s">
        <v>563</v>
      </c>
      <c r="D97" s="1853"/>
      <c r="E97" s="2282">
        <v>371862</v>
      </c>
      <c r="F97" s="2277">
        <f t="shared" si="2"/>
        <v>371862</v>
      </c>
      <c r="G97" s="2282">
        <v>0</v>
      </c>
      <c r="H97" s="2282">
        <v>0</v>
      </c>
      <c r="I97" s="2282">
        <v>0</v>
      </c>
      <c r="J97" s="1854" t="s">
        <v>1237</v>
      </c>
      <c r="K97" s="437"/>
    </row>
    <row r="98" spans="1:11" ht="38.25">
      <c r="A98" s="1855">
        <v>287486</v>
      </c>
      <c r="B98" s="1856">
        <v>415.92599999999999</v>
      </c>
      <c r="C98" s="1857" t="s">
        <v>1840</v>
      </c>
      <c r="D98" s="1853"/>
      <c r="E98" s="2282">
        <v>324479</v>
      </c>
      <c r="F98" s="2277">
        <f t="shared" si="2"/>
        <v>324479</v>
      </c>
      <c r="G98" s="2282">
        <v>0</v>
      </c>
      <c r="H98" s="2282">
        <v>0</v>
      </c>
      <c r="I98" s="2282">
        <v>0</v>
      </c>
      <c r="J98" s="1854" t="s">
        <v>1841</v>
      </c>
      <c r="K98" s="437"/>
    </row>
    <row r="99" spans="1:11" ht="38.25">
      <c r="A99" s="1855">
        <v>287487</v>
      </c>
      <c r="B99" s="1856">
        <v>415.92700000000002</v>
      </c>
      <c r="C99" s="1857" t="s">
        <v>1840</v>
      </c>
      <c r="D99" s="1853"/>
      <c r="E99" s="2282">
        <v>253701</v>
      </c>
      <c r="F99" s="2277">
        <f t="shared" si="2"/>
        <v>253701</v>
      </c>
      <c r="G99" s="2282">
        <v>0</v>
      </c>
      <c r="H99" s="2282">
        <v>0</v>
      </c>
      <c r="I99" s="2282">
        <v>0</v>
      </c>
      <c r="J99" s="1854" t="s">
        <v>1842</v>
      </c>
      <c r="K99" s="437"/>
    </row>
    <row r="100" spans="1:11" ht="12.75">
      <c r="A100" s="2280" t="s">
        <v>1921</v>
      </c>
      <c r="B100" s="1856"/>
      <c r="C100" s="1857"/>
      <c r="D100" s="1853"/>
      <c r="E100" s="2282"/>
      <c r="F100" s="2277"/>
      <c r="G100" s="2282"/>
      <c r="H100" s="2282"/>
      <c r="I100" s="2282"/>
      <c r="J100" s="1854"/>
      <c r="K100" s="437"/>
    </row>
    <row r="101" spans="1:11" ht="12.75">
      <c r="A101" s="1855">
        <v>137402</v>
      </c>
      <c r="B101" s="1860" t="s">
        <v>1922</v>
      </c>
      <c r="C101" s="1857"/>
      <c r="D101" s="1853"/>
      <c r="E101" s="2282">
        <v>9531000</v>
      </c>
      <c r="F101" s="2277">
        <f t="shared" si="2"/>
        <v>9531000</v>
      </c>
      <c r="G101" s="2282">
        <v>0</v>
      </c>
      <c r="H101" s="2282">
        <v>0</v>
      </c>
      <c r="I101" s="2282">
        <v>0</v>
      </c>
      <c r="J101" s="1854" t="s">
        <v>1901</v>
      </c>
      <c r="K101" s="437"/>
    </row>
    <row r="102" spans="1:11" ht="25.5">
      <c r="A102" s="1855">
        <v>137403</v>
      </c>
      <c r="B102" s="1860" t="s">
        <v>1551</v>
      </c>
      <c r="C102" s="1857"/>
      <c r="D102" s="1853"/>
      <c r="E102" s="2282">
        <v>-3335850</v>
      </c>
      <c r="F102" s="2277">
        <f t="shared" si="2"/>
        <v>-3335850</v>
      </c>
      <c r="G102" s="2282">
        <v>0</v>
      </c>
      <c r="H102" s="2282">
        <v>0</v>
      </c>
      <c r="I102" s="2282">
        <v>0</v>
      </c>
      <c r="J102" s="1854" t="s">
        <v>1902</v>
      </c>
      <c r="K102" s="437"/>
    </row>
    <row r="103" spans="1:11" ht="12.75">
      <c r="A103" s="1855">
        <v>287280</v>
      </c>
      <c r="B103" s="1860" t="s">
        <v>1552</v>
      </c>
      <c r="C103" s="1857"/>
      <c r="D103" s="1853"/>
      <c r="E103" s="2282">
        <v>362421</v>
      </c>
      <c r="F103" s="2277">
        <f t="shared" si="2"/>
        <v>362421</v>
      </c>
      <c r="G103" s="2282">
        <v>0</v>
      </c>
      <c r="H103" s="2282">
        <v>0</v>
      </c>
      <c r="I103" s="2282">
        <v>0</v>
      </c>
      <c r="J103" s="1854" t="s">
        <v>1903</v>
      </c>
      <c r="K103" s="437"/>
    </row>
    <row r="104" spans="1:11" ht="12.75">
      <c r="A104" s="1855">
        <v>287437</v>
      </c>
      <c r="B104" s="1860" t="s">
        <v>1923</v>
      </c>
      <c r="C104" s="1857"/>
      <c r="D104" s="1853"/>
      <c r="E104" s="2282">
        <v>70029092</v>
      </c>
      <c r="F104" s="2277">
        <f t="shared" si="2"/>
        <v>70029092</v>
      </c>
      <c r="G104" s="2282">
        <v>0</v>
      </c>
      <c r="H104" s="2282">
        <v>0</v>
      </c>
      <c r="I104" s="2282">
        <v>0</v>
      </c>
      <c r="J104" s="1854" t="s">
        <v>1901</v>
      </c>
      <c r="K104" s="437"/>
    </row>
    <row r="105" spans="1:11" ht="25.5">
      <c r="A105" s="1855">
        <v>287449</v>
      </c>
      <c r="B105" s="1860" t="s">
        <v>1554</v>
      </c>
      <c r="C105" s="1857"/>
      <c r="D105" s="1853"/>
      <c r="E105" s="2282">
        <v>-24637030</v>
      </c>
      <c r="F105" s="2277">
        <f t="shared" si="2"/>
        <v>-24637030</v>
      </c>
      <c r="G105" s="2282">
        <v>0</v>
      </c>
      <c r="H105" s="2282">
        <v>0</v>
      </c>
      <c r="I105" s="2282">
        <v>0</v>
      </c>
      <c r="J105" s="1854" t="s">
        <v>1902</v>
      </c>
      <c r="K105" s="437"/>
    </row>
    <row r="106" spans="1:11" ht="25.5">
      <c r="A106" s="1855">
        <v>287371</v>
      </c>
      <c r="B106" s="1860" t="s">
        <v>1555</v>
      </c>
      <c r="C106" s="1857"/>
      <c r="D106" s="1853"/>
      <c r="E106" s="2282">
        <v>2104918</v>
      </c>
      <c r="F106" s="2277">
        <f t="shared" si="2"/>
        <v>2104918</v>
      </c>
      <c r="G106" s="2282">
        <v>0</v>
      </c>
      <c r="H106" s="2282">
        <v>0</v>
      </c>
      <c r="I106" s="2282">
        <v>0</v>
      </c>
      <c r="J106" s="2275" t="s">
        <v>1732</v>
      </c>
      <c r="K106" s="437"/>
    </row>
    <row r="107" spans="1:11" ht="12.75">
      <c r="A107" s="1855">
        <v>287491</v>
      </c>
      <c r="B107" s="1860" t="s">
        <v>1556</v>
      </c>
      <c r="C107" s="1857"/>
      <c r="D107" s="1853"/>
      <c r="E107" s="2282">
        <v>2136632</v>
      </c>
      <c r="F107" s="2277">
        <f t="shared" si="2"/>
        <v>2136632</v>
      </c>
      <c r="G107" s="2282">
        <v>0</v>
      </c>
      <c r="H107" s="2282">
        <v>0</v>
      </c>
      <c r="I107" s="2282">
        <v>0</v>
      </c>
      <c r="J107" s="1854" t="s">
        <v>1904</v>
      </c>
      <c r="K107" s="437"/>
    </row>
    <row r="108" spans="1:11" ht="25.5">
      <c r="A108" s="1855">
        <v>287497</v>
      </c>
      <c r="B108" s="1860" t="s">
        <v>1557</v>
      </c>
      <c r="C108" s="1857"/>
      <c r="D108" s="1853"/>
      <c r="E108" s="2282">
        <v>837770</v>
      </c>
      <c r="F108" s="2277">
        <f t="shared" si="2"/>
        <v>837770</v>
      </c>
      <c r="G108" s="2282">
        <v>0</v>
      </c>
      <c r="H108" s="2282">
        <v>0</v>
      </c>
      <c r="I108" s="2282">
        <v>0</v>
      </c>
      <c r="J108" s="2275" t="s">
        <v>1733</v>
      </c>
      <c r="K108" s="437"/>
    </row>
    <row r="109" spans="1:11" ht="12.75">
      <c r="A109" s="1855">
        <v>287494</v>
      </c>
      <c r="B109" s="1860" t="s">
        <v>1924</v>
      </c>
      <c r="C109" s="1857"/>
      <c r="D109" s="1853"/>
      <c r="E109" s="2282">
        <v>10496243</v>
      </c>
      <c r="F109" s="2277">
        <f t="shared" si="2"/>
        <v>10496243</v>
      </c>
      <c r="G109" s="2282">
        <v>0</v>
      </c>
      <c r="H109" s="2282">
        <v>0</v>
      </c>
      <c r="I109" s="2282">
        <v>0</v>
      </c>
      <c r="J109" s="1854" t="s">
        <v>1905</v>
      </c>
      <c r="K109" s="437"/>
    </row>
    <row r="110" spans="1:11" ht="12.75">
      <c r="A110" s="1855">
        <v>287269</v>
      </c>
      <c r="B110" s="1860" t="s">
        <v>1925</v>
      </c>
      <c r="C110" s="1857"/>
      <c r="D110" s="1853"/>
      <c r="E110" s="2282">
        <v>191296</v>
      </c>
      <c r="F110" s="2277">
        <f t="shared" si="2"/>
        <v>191296</v>
      </c>
      <c r="G110" s="2282">
        <v>0</v>
      </c>
      <c r="H110" s="2282">
        <v>0</v>
      </c>
      <c r="I110" s="2282">
        <v>0</v>
      </c>
      <c r="J110" s="1854" t="s">
        <v>1906</v>
      </c>
      <c r="K110" s="437"/>
    </row>
    <row r="111" spans="1:11" ht="12.75">
      <c r="A111" s="1855">
        <v>287275</v>
      </c>
      <c r="B111" s="1860" t="s">
        <v>1926</v>
      </c>
      <c r="C111" s="1857"/>
      <c r="D111" s="1853"/>
      <c r="E111" s="2282">
        <v>0</v>
      </c>
      <c r="F111" s="2277">
        <f t="shared" si="2"/>
        <v>0</v>
      </c>
      <c r="G111" s="2282">
        <v>0</v>
      </c>
      <c r="H111" s="2282">
        <v>0</v>
      </c>
      <c r="I111" s="2282">
        <v>0</v>
      </c>
      <c r="J111" s="1854" t="s">
        <v>1907</v>
      </c>
      <c r="K111" s="437"/>
    </row>
    <row r="112" spans="1:11" ht="12.75">
      <c r="A112" s="1855">
        <v>287281</v>
      </c>
      <c r="B112" s="1860" t="s">
        <v>1927</v>
      </c>
      <c r="C112" s="1857"/>
      <c r="D112" s="1853"/>
      <c r="E112" s="2282">
        <v>320577</v>
      </c>
      <c r="F112" s="2277">
        <f t="shared" si="2"/>
        <v>320577</v>
      </c>
      <c r="G112" s="2282">
        <v>0</v>
      </c>
      <c r="H112" s="2282">
        <v>0</v>
      </c>
      <c r="I112" s="2282">
        <v>0</v>
      </c>
      <c r="J112" s="1854" t="s">
        <v>1908</v>
      </c>
      <c r="K112" s="437"/>
    </row>
    <row r="113" spans="1:11" ht="12.75">
      <c r="A113" s="1855"/>
      <c r="B113" s="1856"/>
      <c r="C113" s="1857"/>
      <c r="D113" s="1853"/>
      <c r="E113" s="2282"/>
      <c r="F113" s="2282"/>
      <c r="G113" s="2282"/>
      <c r="H113" s="2282"/>
      <c r="I113" s="2282"/>
      <c r="J113" s="1854"/>
      <c r="K113" s="437"/>
    </row>
    <row r="114" spans="1:11" ht="12.75">
      <c r="A114" s="2280" t="s">
        <v>1562</v>
      </c>
      <c r="B114" s="1856"/>
      <c r="C114" s="1857"/>
      <c r="D114" s="1853"/>
      <c r="E114" s="2282"/>
      <c r="F114" s="2282"/>
      <c r="G114" s="2282"/>
      <c r="H114" s="2282"/>
      <c r="I114" s="2282"/>
      <c r="J114" s="1854"/>
      <c r="K114" s="437"/>
    </row>
    <row r="115" spans="1:11" ht="25.5">
      <c r="A115" s="1855">
        <v>137510</v>
      </c>
      <c r="B115" s="1860">
        <v>415.815</v>
      </c>
      <c r="C115" s="1857" t="s">
        <v>1843</v>
      </c>
      <c r="D115" s="1853"/>
      <c r="E115" s="2282">
        <v>-19012454</v>
      </c>
      <c r="F115" s="2277">
        <f>E115</f>
        <v>-19012454</v>
      </c>
      <c r="G115" s="2282">
        <v>0</v>
      </c>
      <c r="H115" s="2282">
        <v>0</v>
      </c>
      <c r="I115" s="2282">
        <v>0</v>
      </c>
      <c r="J115" s="1854" t="s">
        <v>1844</v>
      </c>
      <c r="K115" s="437"/>
    </row>
    <row r="116" spans="1:11" ht="12.75">
      <c r="A116" s="1855">
        <v>287498</v>
      </c>
      <c r="B116" s="1860">
        <v>425.14</v>
      </c>
      <c r="C116" s="1857" t="s">
        <v>1563</v>
      </c>
      <c r="D116" s="1853"/>
      <c r="E116" s="2282">
        <v>45201007</v>
      </c>
      <c r="F116" s="2277">
        <f>E116</f>
        <v>45201007</v>
      </c>
      <c r="G116" s="2282">
        <v>0</v>
      </c>
      <c r="H116" s="2282">
        <v>0</v>
      </c>
      <c r="I116" s="2282">
        <v>0</v>
      </c>
      <c r="J116" s="1854" t="s">
        <v>1275</v>
      </c>
      <c r="K116" s="437"/>
    </row>
    <row r="117" spans="1:11" ht="25.5">
      <c r="A117" s="1855">
        <v>287341</v>
      </c>
      <c r="B117" s="1860">
        <v>910.53</v>
      </c>
      <c r="C117" s="1857" t="s">
        <v>1564</v>
      </c>
      <c r="D117" s="1853"/>
      <c r="E117" s="2282">
        <v>24999830</v>
      </c>
      <c r="F117" s="2277">
        <f>E117</f>
        <v>24999830</v>
      </c>
      <c r="G117" s="2282">
        <v>0</v>
      </c>
      <c r="H117" s="2282">
        <v>0</v>
      </c>
      <c r="I117" s="2282">
        <v>0</v>
      </c>
      <c r="J117" s="1854" t="s">
        <v>1256</v>
      </c>
      <c r="K117" s="437"/>
    </row>
    <row r="118" spans="1:11" ht="12.75">
      <c r="A118" s="1855"/>
      <c r="B118" s="1860"/>
      <c r="C118" s="1857"/>
      <c r="D118" s="1853"/>
      <c r="E118" s="2282"/>
      <c r="F118" s="2282"/>
      <c r="G118" s="2282"/>
      <c r="H118" s="2282"/>
      <c r="I118" s="2282"/>
      <c r="J118" s="1854"/>
      <c r="K118" s="437"/>
    </row>
    <row r="119" spans="1:11" ht="12.75">
      <c r="A119" s="2280" t="s">
        <v>1565</v>
      </c>
      <c r="B119" s="1856"/>
      <c r="C119" s="1857"/>
      <c r="D119" s="1853"/>
      <c r="E119" s="2282"/>
      <c r="F119" s="2282"/>
      <c r="G119" s="2282"/>
      <c r="H119" s="2282"/>
      <c r="I119" s="2282"/>
      <c r="J119" s="1854"/>
      <c r="K119" s="437"/>
    </row>
    <row r="120" spans="1:11" ht="25.5">
      <c r="A120" s="1855">
        <v>287339</v>
      </c>
      <c r="B120" s="1860">
        <v>105.4</v>
      </c>
      <c r="C120" s="1857" t="s">
        <v>567</v>
      </c>
      <c r="D120" s="1853"/>
      <c r="E120" s="2282">
        <v>47023073</v>
      </c>
      <c r="F120" s="2277">
        <f>E120</f>
        <v>47023073</v>
      </c>
      <c r="G120" s="2282">
        <v>0</v>
      </c>
      <c r="H120" s="2282">
        <v>0</v>
      </c>
      <c r="I120" s="2282">
        <v>0</v>
      </c>
      <c r="J120" s="1854" t="s">
        <v>1254</v>
      </c>
      <c r="K120" s="437"/>
    </row>
    <row r="121" spans="1:11" ht="12.75">
      <c r="A121" s="1855"/>
      <c r="B121" s="1856"/>
      <c r="C121" s="1857"/>
      <c r="D121" s="1853"/>
      <c r="E121" s="2282"/>
      <c r="F121" s="2282"/>
      <c r="G121" s="2282"/>
      <c r="H121" s="2282"/>
      <c r="I121" s="2282"/>
      <c r="J121" s="1854"/>
      <c r="K121" s="437"/>
    </row>
    <row r="122" spans="1:11" ht="12.75">
      <c r="A122" s="2280" t="s">
        <v>564</v>
      </c>
      <c r="B122" s="2281"/>
      <c r="C122" s="1857"/>
      <c r="D122" s="1853"/>
      <c r="E122" s="2282"/>
      <c r="F122" s="2282"/>
      <c r="G122" s="2282"/>
      <c r="H122" s="2282"/>
      <c r="I122" s="2282"/>
      <c r="J122" s="1854"/>
      <c r="K122" s="437"/>
    </row>
    <row r="123" spans="1:11" ht="25.5">
      <c r="A123" s="1855">
        <v>137235</v>
      </c>
      <c r="B123" s="1856">
        <v>505.125</v>
      </c>
      <c r="C123" s="1857" t="s">
        <v>571</v>
      </c>
      <c r="D123" s="1853"/>
      <c r="E123" s="2282">
        <v>2882</v>
      </c>
      <c r="F123" s="2277">
        <f t="shared" ref="F123:F143" si="3">E123</f>
        <v>2882</v>
      </c>
      <c r="G123" s="2282">
        <v>0</v>
      </c>
      <c r="H123" s="2282">
        <v>0</v>
      </c>
      <c r="I123" s="2282">
        <v>0</v>
      </c>
      <c r="J123" s="1854" t="s">
        <v>1270</v>
      </c>
      <c r="K123" s="437"/>
    </row>
    <row r="124" spans="1:11" ht="25.5">
      <c r="A124" s="1855">
        <v>137400</v>
      </c>
      <c r="B124" s="1856" t="s">
        <v>565</v>
      </c>
      <c r="C124" s="1857" t="s">
        <v>1566</v>
      </c>
      <c r="D124" s="1853"/>
      <c r="E124" s="2282">
        <v>-6068202</v>
      </c>
      <c r="F124" s="2277">
        <f t="shared" si="3"/>
        <v>-6068202</v>
      </c>
      <c r="G124" s="2282">
        <v>0</v>
      </c>
      <c r="H124" s="2282">
        <v>0</v>
      </c>
      <c r="I124" s="2282">
        <v>0</v>
      </c>
      <c r="J124" s="1854" t="s">
        <v>1246</v>
      </c>
      <c r="K124" s="437"/>
    </row>
    <row r="125" spans="1:11" ht="25.5">
      <c r="A125" s="1855">
        <v>137404</v>
      </c>
      <c r="B125" s="1856">
        <v>105.154</v>
      </c>
      <c r="C125" s="1857" t="s">
        <v>1567</v>
      </c>
      <c r="D125" s="1853"/>
      <c r="E125" s="2282">
        <v>37346</v>
      </c>
      <c r="F125" s="2277">
        <f t="shared" si="3"/>
        <v>37346</v>
      </c>
      <c r="G125" s="2282">
        <v>0</v>
      </c>
      <c r="H125" s="2282">
        <v>0</v>
      </c>
      <c r="I125" s="2282">
        <v>0</v>
      </c>
      <c r="J125" s="1854" t="s">
        <v>1909</v>
      </c>
      <c r="K125" s="437"/>
    </row>
    <row r="126" spans="1:11" ht="25.5">
      <c r="A126" s="1855">
        <v>137405</v>
      </c>
      <c r="B126" s="1856">
        <v>205.02500000000001</v>
      </c>
      <c r="C126" s="1857" t="s">
        <v>1568</v>
      </c>
      <c r="D126" s="1853"/>
      <c r="E126" s="2282">
        <v>1699031</v>
      </c>
      <c r="F126" s="2277">
        <f t="shared" si="3"/>
        <v>1699031</v>
      </c>
      <c r="G126" s="2282">
        <v>0</v>
      </c>
      <c r="H126" s="2282">
        <v>0</v>
      </c>
      <c r="I126" s="2282">
        <v>0</v>
      </c>
      <c r="J126" s="1854" t="s">
        <v>1274</v>
      </c>
      <c r="K126" s="437"/>
    </row>
    <row r="127" spans="1:11" ht="25.5">
      <c r="A127" s="1855">
        <v>137406</v>
      </c>
      <c r="B127" s="1856">
        <v>205.2</v>
      </c>
      <c r="C127" s="1857" t="s">
        <v>1569</v>
      </c>
      <c r="D127" s="1853"/>
      <c r="E127" s="2282">
        <v>753807</v>
      </c>
      <c r="F127" s="2277">
        <f t="shared" si="3"/>
        <v>753807</v>
      </c>
      <c r="G127" s="2282">
        <v>0</v>
      </c>
      <c r="H127" s="2282">
        <v>0</v>
      </c>
      <c r="I127" s="2282">
        <v>0</v>
      </c>
      <c r="J127" s="1854" t="s">
        <v>1268</v>
      </c>
      <c r="K127" s="437"/>
    </row>
    <row r="128" spans="1:11" ht="25.5">
      <c r="A128" s="1855">
        <v>137408</v>
      </c>
      <c r="B128" s="1856">
        <v>220.1</v>
      </c>
      <c r="C128" s="1857" t="s">
        <v>1570</v>
      </c>
      <c r="D128" s="1853"/>
      <c r="E128" s="2282">
        <v>2999790</v>
      </c>
      <c r="F128" s="2277">
        <f t="shared" si="3"/>
        <v>2999790</v>
      </c>
      <c r="G128" s="2282">
        <v>0</v>
      </c>
      <c r="H128" s="2282">
        <v>0</v>
      </c>
      <c r="I128" s="2282">
        <v>0</v>
      </c>
      <c r="J128" s="1854" t="s">
        <v>1255</v>
      </c>
      <c r="K128" s="437"/>
    </row>
    <row r="129" spans="1:11" ht="25.5">
      <c r="A129" s="1855">
        <v>137409</v>
      </c>
      <c r="B129" s="1856">
        <v>425.32</v>
      </c>
      <c r="C129" s="1857" t="s">
        <v>1571</v>
      </c>
      <c r="D129" s="1853"/>
      <c r="E129" s="2282">
        <v>9643394</v>
      </c>
      <c r="F129" s="2277">
        <f t="shared" si="3"/>
        <v>9643394</v>
      </c>
      <c r="G129" s="2282">
        <v>0</v>
      </c>
      <c r="H129" s="2282">
        <v>0</v>
      </c>
      <c r="I129" s="2282">
        <v>0</v>
      </c>
      <c r="J129" s="1854" t="s">
        <v>1265</v>
      </c>
      <c r="K129" s="437"/>
    </row>
    <row r="130" spans="1:11" ht="12.75" customHeight="1">
      <c r="A130" s="1855">
        <v>137410</v>
      </c>
      <c r="B130" s="1856">
        <v>505.1</v>
      </c>
      <c r="C130" s="1857" t="s">
        <v>1572</v>
      </c>
      <c r="D130" s="1853"/>
      <c r="E130" s="2282">
        <v>444611</v>
      </c>
      <c r="F130" s="2277">
        <f t="shared" si="3"/>
        <v>444611</v>
      </c>
      <c r="G130" s="2282">
        <v>0</v>
      </c>
      <c r="H130" s="2282">
        <v>0</v>
      </c>
      <c r="I130" s="2282">
        <v>0</v>
      </c>
      <c r="J130" s="1854" t="s">
        <v>1260</v>
      </c>
      <c r="K130" s="437"/>
    </row>
    <row r="131" spans="1:11" ht="12.75">
      <c r="A131" s="1855">
        <v>137412</v>
      </c>
      <c r="B131" s="1856">
        <v>505.15</v>
      </c>
      <c r="C131" s="1857" t="s">
        <v>1573</v>
      </c>
      <c r="D131" s="1853"/>
      <c r="E131" s="2282">
        <v>2014332</v>
      </c>
      <c r="F131" s="2277">
        <f t="shared" si="3"/>
        <v>2014332</v>
      </c>
      <c r="G131" s="2282">
        <v>0</v>
      </c>
      <c r="H131" s="2282">
        <v>0</v>
      </c>
      <c r="I131" s="2282">
        <v>0</v>
      </c>
      <c r="J131" s="1854" t="s">
        <v>1261</v>
      </c>
      <c r="K131" s="437"/>
    </row>
    <row r="132" spans="1:11" ht="25.5">
      <c r="A132" s="1855">
        <v>137413</v>
      </c>
      <c r="B132" s="1856">
        <v>505.16</v>
      </c>
      <c r="C132" s="1857" t="s">
        <v>1574</v>
      </c>
      <c r="D132" s="1853"/>
      <c r="E132" s="2282">
        <v>9108</v>
      </c>
      <c r="F132" s="2277">
        <f t="shared" si="3"/>
        <v>9108</v>
      </c>
      <c r="G132" s="2282">
        <v>0</v>
      </c>
      <c r="H132" s="2282">
        <v>0</v>
      </c>
      <c r="I132" s="2282">
        <v>0</v>
      </c>
      <c r="J132" s="1854" t="s">
        <v>1271</v>
      </c>
      <c r="K132" s="437"/>
    </row>
    <row r="133" spans="1:11" ht="12.75">
      <c r="A133" s="1855">
        <v>137807</v>
      </c>
      <c r="B133" s="1856" t="s">
        <v>565</v>
      </c>
      <c r="C133" s="1857" t="s">
        <v>1575</v>
      </c>
      <c r="D133" s="1853"/>
      <c r="E133" s="2282">
        <v>506170</v>
      </c>
      <c r="F133" s="2277">
        <f t="shared" si="3"/>
        <v>506170</v>
      </c>
      <c r="G133" s="2282">
        <v>0</v>
      </c>
      <c r="H133" s="2282">
        <v>0</v>
      </c>
      <c r="I133" s="2282">
        <v>0</v>
      </c>
      <c r="J133" s="1854" t="s">
        <v>1240</v>
      </c>
      <c r="K133" s="437"/>
    </row>
    <row r="134" spans="1:11" ht="12.75">
      <c r="A134" s="1855">
        <v>137817</v>
      </c>
      <c r="B134" s="1856" t="s">
        <v>565</v>
      </c>
      <c r="C134" s="1857" t="s">
        <v>1576</v>
      </c>
      <c r="D134" s="1853"/>
      <c r="E134" s="2282">
        <v>0</v>
      </c>
      <c r="F134" s="2277">
        <f t="shared" si="3"/>
        <v>0</v>
      </c>
      <c r="G134" s="2282">
        <v>0</v>
      </c>
      <c r="H134" s="2282">
        <v>0</v>
      </c>
      <c r="I134" s="2282">
        <v>0</v>
      </c>
      <c r="J134" s="1859" t="s">
        <v>1577</v>
      </c>
      <c r="K134" s="437"/>
    </row>
    <row r="135" spans="1:11" ht="12.75">
      <c r="A135" s="1855">
        <v>137827</v>
      </c>
      <c r="B135" s="1856" t="s">
        <v>565</v>
      </c>
      <c r="C135" s="1857" t="s">
        <v>1578</v>
      </c>
      <c r="D135" s="1853"/>
      <c r="E135" s="2282">
        <v>65656</v>
      </c>
      <c r="F135" s="2277">
        <f t="shared" si="3"/>
        <v>65656</v>
      </c>
      <c r="G135" s="2282">
        <v>0</v>
      </c>
      <c r="H135" s="2282">
        <v>0</v>
      </c>
      <c r="I135" s="2282">
        <v>0</v>
      </c>
      <c r="J135" s="1854" t="s">
        <v>1241</v>
      </c>
      <c r="K135" s="437"/>
    </row>
    <row r="136" spans="1:11" ht="25.5">
      <c r="A136" s="1855">
        <v>287240</v>
      </c>
      <c r="B136" s="1856">
        <v>605.30100000000004</v>
      </c>
      <c r="C136" s="1857" t="s">
        <v>1579</v>
      </c>
      <c r="D136" s="1853"/>
      <c r="E136" s="2282">
        <v>8132866</v>
      </c>
      <c r="F136" s="2277">
        <f t="shared" si="3"/>
        <v>8132866</v>
      </c>
      <c r="G136" s="2282">
        <v>0</v>
      </c>
      <c r="H136" s="2282">
        <v>0</v>
      </c>
      <c r="I136" s="2282">
        <v>0</v>
      </c>
      <c r="J136" s="1854" t="s">
        <v>1242</v>
      </c>
      <c r="K136" s="437"/>
    </row>
    <row r="137" spans="1:11" ht="25.5">
      <c r="A137" s="1855">
        <v>287241</v>
      </c>
      <c r="B137" s="1856">
        <v>605.30200000000002</v>
      </c>
      <c r="C137" s="1857" t="s">
        <v>1580</v>
      </c>
      <c r="D137" s="1853"/>
      <c r="E137" s="2282">
        <v>1015138</v>
      </c>
      <c r="F137" s="2277">
        <f t="shared" si="3"/>
        <v>1015138</v>
      </c>
      <c r="G137" s="2282">
        <v>0</v>
      </c>
      <c r="H137" s="2282">
        <v>0</v>
      </c>
      <c r="I137" s="2282">
        <v>0</v>
      </c>
      <c r="J137" s="1854" t="s">
        <v>1243</v>
      </c>
      <c r="K137" s="437"/>
    </row>
    <row r="138" spans="1:11" ht="51">
      <c r="A138" s="1855">
        <v>287289</v>
      </c>
      <c r="B138" s="1856">
        <v>425.13</v>
      </c>
      <c r="C138" s="1857" t="s">
        <v>1581</v>
      </c>
      <c r="D138" s="1853"/>
      <c r="E138" s="2282">
        <v>17076</v>
      </c>
      <c r="F138" s="2277">
        <f t="shared" si="3"/>
        <v>17076</v>
      </c>
      <c r="G138" s="2282">
        <v>0</v>
      </c>
      <c r="H138" s="2282">
        <v>0</v>
      </c>
      <c r="I138" s="2282">
        <v>0</v>
      </c>
      <c r="J138" s="1854" t="s">
        <v>1247</v>
      </c>
      <c r="K138" s="437"/>
    </row>
    <row r="139" spans="1:11" ht="25.5">
      <c r="A139" s="1855">
        <v>287290</v>
      </c>
      <c r="B139" s="1856">
        <v>425.15</v>
      </c>
      <c r="C139" s="1857" t="s">
        <v>1582</v>
      </c>
      <c r="D139" s="1853"/>
      <c r="E139" s="2282">
        <v>350922</v>
      </c>
      <c r="F139" s="2277">
        <f t="shared" si="3"/>
        <v>350922</v>
      </c>
      <c r="G139" s="2282">
        <v>0</v>
      </c>
      <c r="H139" s="2282">
        <v>0</v>
      </c>
      <c r="I139" s="2282">
        <v>0</v>
      </c>
      <c r="J139" s="1854" t="s">
        <v>1248</v>
      </c>
      <c r="K139" s="437"/>
    </row>
    <row r="140" spans="1:11" ht="63.75">
      <c r="A140" s="1855">
        <v>287297</v>
      </c>
      <c r="B140" s="1856">
        <v>505.15499999999997</v>
      </c>
      <c r="C140" s="1857" t="s">
        <v>566</v>
      </c>
      <c r="D140" s="1853"/>
      <c r="E140" s="2282">
        <v>102040</v>
      </c>
      <c r="F140" s="2277">
        <f t="shared" si="3"/>
        <v>102040</v>
      </c>
      <c r="G140" s="2282">
        <v>0</v>
      </c>
      <c r="H140" s="2282">
        <v>0</v>
      </c>
      <c r="I140" s="2282">
        <v>0</v>
      </c>
      <c r="J140" s="1854" t="s">
        <v>1249</v>
      </c>
      <c r="K140" s="437"/>
    </row>
    <row r="141" spans="1:11" ht="25.5">
      <c r="A141" s="1855">
        <v>287298</v>
      </c>
      <c r="B141" s="1856">
        <v>205.21</v>
      </c>
      <c r="C141" s="1857" t="s">
        <v>1583</v>
      </c>
      <c r="D141" s="1853"/>
      <c r="E141" s="2282">
        <v>774200</v>
      </c>
      <c r="F141" s="2277">
        <f t="shared" si="3"/>
        <v>774200</v>
      </c>
      <c r="G141" s="2282">
        <v>0</v>
      </c>
      <c r="H141" s="2282">
        <v>0</v>
      </c>
      <c r="I141" s="2282">
        <v>0</v>
      </c>
      <c r="J141" s="1859" t="s">
        <v>1910</v>
      </c>
      <c r="K141" s="437"/>
    </row>
    <row r="142" spans="1:11" ht="12.75" customHeight="1">
      <c r="A142" s="1855">
        <v>287321</v>
      </c>
      <c r="B142" s="1856">
        <v>100.1</v>
      </c>
      <c r="C142" s="1857" t="s">
        <v>1250</v>
      </c>
      <c r="D142" s="1853"/>
      <c r="E142" s="2282">
        <v>8686382</v>
      </c>
      <c r="F142" s="2277">
        <f t="shared" si="3"/>
        <v>8686382</v>
      </c>
      <c r="G142" s="2282">
        <v>0</v>
      </c>
      <c r="H142" s="2282">
        <v>0</v>
      </c>
      <c r="I142" s="2282">
        <v>0</v>
      </c>
      <c r="J142" s="1854" t="s">
        <v>1251</v>
      </c>
      <c r="K142" s="437"/>
    </row>
    <row r="143" spans="1:11" ht="24.75" customHeight="1">
      <c r="A143" s="1855">
        <v>287337</v>
      </c>
      <c r="B143" s="1856">
        <v>715.10500000000002</v>
      </c>
      <c r="C143" s="1857" t="s">
        <v>1584</v>
      </c>
      <c r="D143" s="1853"/>
      <c r="E143" s="2282">
        <v>211697</v>
      </c>
      <c r="F143" s="2277">
        <f t="shared" si="3"/>
        <v>211697</v>
      </c>
      <c r="G143" s="2282">
        <v>0</v>
      </c>
      <c r="H143" s="2282">
        <v>0</v>
      </c>
      <c r="I143" s="2282">
        <v>0</v>
      </c>
      <c r="J143" s="1854" t="s">
        <v>1252</v>
      </c>
      <c r="K143" s="437"/>
    </row>
    <row r="144" spans="1:11" ht="51">
      <c r="A144" s="1855">
        <v>287338</v>
      </c>
      <c r="B144" s="1856">
        <v>415.11</v>
      </c>
      <c r="C144" s="1857" t="s">
        <v>1585</v>
      </c>
      <c r="D144" s="1853"/>
      <c r="E144" s="2282">
        <v>134341</v>
      </c>
      <c r="F144" s="2277">
        <v>0</v>
      </c>
      <c r="G144" s="2282">
        <f>E144</f>
        <v>134341</v>
      </c>
      <c r="H144" s="2282">
        <v>0</v>
      </c>
      <c r="I144" s="2282">
        <v>0</v>
      </c>
      <c r="J144" s="1854" t="s">
        <v>1253</v>
      </c>
      <c r="K144" s="437"/>
    </row>
    <row r="145" spans="1:11" ht="25.5">
      <c r="A145" s="1855">
        <v>287343</v>
      </c>
      <c r="B145" s="1856">
        <v>415.12</v>
      </c>
      <c r="C145" s="1857" t="s">
        <v>1586</v>
      </c>
      <c r="D145" s="1853"/>
      <c r="E145" s="2282">
        <v>6489</v>
      </c>
      <c r="F145" s="2277">
        <v>0</v>
      </c>
      <c r="G145" s="2282">
        <f>E145</f>
        <v>6489</v>
      </c>
      <c r="H145" s="2282">
        <v>0</v>
      </c>
      <c r="I145" s="2282">
        <v>0</v>
      </c>
      <c r="J145" s="1854" t="s">
        <v>1257</v>
      </c>
      <c r="K145" s="437"/>
    </row>
    <row r="146" spans="1:11" ht="38.25">
      <c r="A146" s="1855">
        <v>287344</v>
      </c>
      <c r="B146" s="1856">
        <v>715.8</v>
      </c>
      <c r="C146" s="1857" t="s">
        <v>568</v>
      </c>
      <c r="D146" s="1853"/>
      <c r="E146" s="2282">
        <v>208767</v>
      </c>
      <c r="F146" s="2277">
        <v>0</v>
      </c>
      <c r="G146" s="2282">
        <f>E146</f>
        <v>208767</v>
      </c>
      <c r="H146" s="2282">
        <v>0</v>
      </c>
      <c r="I146" s="2282">
        <v>0</v>
      </c>
      <c r="J146" s="1854" t="s">
        <v>1258</v>
      </c>
      <c r="K146" s="437"/>
    </row>
    <row r="147" spans="1:11" ht="25.5">
      <c r="A147" s="1855">
        <v>287345</v>
      </c>
      <c r="B147" s="1856">
        <v>145.03</v>
      </c>
      <c r="C147" s="1857" t="s">
        <v>1587</v>
      </c>
      <c r="D147" s="1853"/>
      <c r="E147" s="2282">
        <v>0</v>
      </c>
      <c r="F147" s="2277">
        <f t="shared" ref="F147:F154" si="4">E147</f>
        <v>0</v>
      </c>
      <c r="G147" s="2282">
        <v>0</v>
      </c>
      <c r="H147" s="2282">
        <v>0</v>
      </c>
      <c r="I147" s="2282">
        <v>0</v>
      </c>
      <c r="J147" s="1854" t="s">
        <v>1259</v>
      </c>
      <c r="K147" s="437"/>
    </row>
    <row r="148" spans="1:11" s="1347" customFormat="1" ht="25.5">
      <c r="A148" s="1855">
        <v>287357</v>
      </c>
      <c r="B148" s="1856">
        <v>425.2</v>
      </c>
      <c r="C148" s="1857" t="s">
        <v>1928</v>
      </c>
      <c r="D148" s="1853"/>
      <c r="E148" s="2282">
        <v>72107</v>
      </c>
      <c r="F148" s="2277">
        <f t="shared" si="4"/>
        <v>72107</v>
      </c>
      <c r="G148" s="2282">
        <v>0</v>
      </c>
      <c r="H148" s="2282">
        <v>0</v>
      </c>
      <c r="I148" s="2282">
        <v>0</v>
      </c>
      <c r="J148" s="1854" t="s">
        <v>1262</v>
      </c>
    </row>
    <row r="149" spans="1:11" s="1347" customFormat="1" ht="12.75">
      <c r="A149" s="1855">
        <v>287370</v>
      </c>
      <c r="B149" s="1856">
        <v>425.21499999999997</v>
      </c>
      <c r="C149" s="1857" t="s">
        <v>1589</v>
      </c>
      <c r="D149" s="1853"/>
      <c r="E149" s="2282">
        <v>1106433</v>
      </c>
      <c r="F149" s="2277">
        <f t="shared" si="4"/>
        <v>1106433</v>
      </c>
      <c r="G149" s="2282">
        <v>0</v>
      </c>
      <c r="H149" s="2282">
        <v>0</v>
      </c>
      <c r="I149" s="2282">
        <v>0</v>
      </c>
      <c r="J149" s="1854" t="s">
        <v>1263</v>
      </c>
    </row>
    <row r="150" spans="1:11" s="1347" customFormat="1" ht="25.5">
      <c r="A150" s="1855">
        <v>287392</v>
      </c>
      <c r="B150" s="1856">
        <v>425.12</v>
      </c>
      <c r="C150" s="1857" t="s">
        <v>569</v>
      </c>
      <c r="D150" s="1853"/>
      <c r="E150" s="2282">
        <v>6288267</v>
      </c>
      <c r="F150" s="2277">
        <f t="shared" si="4"/>
        <v>6288267</v>
      </c>
      <c r="G150" s="2282">
        <v>0</v>
      </c>
      <c r="H150" s="2282">
        <v>0</v>
      </c>
      <c r="I150" s="2282">
        <v>0</v>
      </c>
      <c r="J150" s="1854" t="s">
        <v>1266</v>
      </c>
    </row>
    <row r="151" spans="1:11" ht="24.75" customHeight="1">
      <c r="A151" s="1855">
        <v>287393</v>
      </c>
      <c r="B151" s="1856">
        <v>425.11</v>
      </c>
      <c r="C151" s="1857" t="s">
        <v>1845</v>
      </c>
      <c r="D151" s="1853"/>
      <c r="E151" s="2282">
        <v>106095</v>
      </c>
      <c r="F151" s="2277">
        <f t="shared" si="4"/>
        <v>106095</v>
      </c>
      <c r="G151" s="2282">
        <v>0</v>
      </c>
      <c r="H151" s="2282">
        <v>0</v>
      </c>
      <c r="I151" s="2282">
        <v>0</v>
      </c>
      <c r="J151" s="1854" t="s">
        <v>1846</v>
      </c>
      <c r="K151" s="437"/>
    </row>
    <row r="152" spans="1:11" ht="25.5">
      <c r="A152" s="1855">
        <v>287417</v>
      </c>
      <c r="B152" s="1856">
        <v>605.71</v>
      </c>
      <c r="C152" s="1857" t="s">
        <v>570</v>
      </c>
      <c r="D152" s="1853"/>
      <c r="E152" s="2282">
        <v>5531713</v>
      </c>
      <c r="F152" s="2277">
        <f t="shared" si="4"/>
        <v>5531713</v>
      </c>
      <c r="G152" s="2282">
        <v>0</v>
      </c>
      <c r="H152" s="2282">
        <v>0</v>
      </c>
      <c r="I152" s="2282">
        <v>0</v>
      </c>
      <c r="J152" s="1854" t="s">
        <v>1269</v>
      </c>
      <c r="K152" s="437"/>
    </row>
    <row r="153" spans="1:11" ht="24.75" customHeight="1">
      <c r="A153" s="1855">
        <v>287479</v>
      </c>
      <c r="B153" s="1856">
        <v>105.221</v>
      </c>
      <c r="C153" s="1857" t="s">
        <v>1590</v>
      </c>
      <c r="D153" s="1853"/>
      <c r="E153" s="2282">
        <v>37922708</v>
      </c>
      <c r="F153" s="2277">
        <f t="shared" si="4"/>
        <v>37922708</v>
      </c>
      <c r="G153" s="2282">
        <v>0</v>
      </c>
      <c r="H153" s="2282">
        <v>0</v>
      </c>
      <c r="I153" s="2282">
        <v>0</v>
      </c>
      <c r="J153" s="1854" t="s">
        <v>1273</v>
      </c>
      <c r="K153" s="437"/>
    </row>
    <row r="154" spans="1:11" ht="38.25">
      <c r="A154" s="1855">
        <v>287489</v>
      </c>
      <c r="B154" s="1856">
        <v>910.51499999999999</v>
      </c>
      <c r="C154" s="1857" t="s">
        <v>1591</v>
      </c>
      <c r="D154" s="1853"/>
      <c r="E154" s="2282">
        <v>207987</v>
      </c>
      <c r="F154" s="2277">
        <f t="shared" si="4"/>
        <v>207987</v>
      </c>
      <c r="G154" s="2282">
        <v>0</v>
      </c>
      <c r="H154" s="2282">
        <v>0</v>
      </c>
      <c r="I154" s="2282">
        <v>0</v>
      </c>
      <c r="J154" s="2275" t="s">
        <v>1734</v>
      </c>
      <c r="K154" s="437"/>
    </row>
    <row r="155" spans="1:11" ht="12.75">
      <c r="A155" s="1855">
        <v>287807</v>
      </c>
      <c r="B155" s="1856" t="s">
        <v>565</v>
      </c>
      <c r="C155" s="1857" t="s">
        <v>1592</v>
      </c>
      <c r="D155" s="1853"/>
      <c r="E155" s="2282">
        <v>316817</v>
      </c>
      <c r="F155" s="2277">
        <f>+E155</f>
        <v>316817</v>
      </c>
      <c r="G155" s="2282">
        <v>0</v>
      </c>
      <c r="H155" s="2282">
        <v>0</v>
      </c>
      <c r="I155" s="2282">
        <v>0</v>
      </c>
      <c r="J155" s="1854" t="s">
        <v>1276</v>
      </c>
      <c r="K155" s="437"/>
    </row>
    <row r="156" spans="1:11" ht="12.75">
      <c r="A156" s="1855">
        <v>287817</v>
      </c>
      <c r="B156" s="1856" t="s">
        <v>565</v>
      </c>
      <c r="C156" s="1857" t="s">
        <v>1593</v>
      </c>
      <c r="D156" s="1853"/>
      <c r="E156" s="2282">
        <v>460534</v>
      </c>
      <c r="F156" s="2277">
        <f>+E156</f>
        <v>460534</v>
      </c>
      <c r="G156" s="2282">
        <v>0</v>
      </c>
      <c r="H156" s="2282">
        <v>0</v>
      </c>
      <c r="I156" s="2282">
        <v>0</v>
      </c>
      <c r="J156" s="1854" t="s">
        <v>1277</v>
      </c>
      <c r="K156" s="437"/>
    </row>
    <row r="157" spans="1:11" ht="12.75">
      <c r="A157" s="1855">
        <v>287827</v>
      </c>
      <c r="B157" s="1856" t="s">
        <v>565</v>
      </c>
      <c r="C157" s="1857" t="s">
        <v>1594</v>
      </c>
      <c r="D157" s="1853"/>
      <c r="E157" s="2282">
        <v>41097</v>
      </c>
      <c r="F157" s="2277">
        <f>+E157</f>
        <v>41097</v>
      </c>
      <c r="G157" s="2282">
        <v>0</v>
      </c>
      <c r="H157" s="2282">
        <v>0</v>
      </c>
      <c r="I157" s="2282">
        <v>0</v>
      </c>
      <c r="J157" s="1854" t="s">
        <v>1278</v>
      </c>
      <c r="K157" s="437"/>
    </row>
    <row r="158" spans="1:11" ht="12.75">
      <c r="A158" s="1855">
        <v>287837</v>
      </c>
      <c r="B158" s="1856" t="s">
        <v>565</v>
      </c>
      <c r="C158" s="1857" t="s">
        <v>1595</v>
      </c>
      <c r="D158" s="1853"/>
      <c r="E158" s="2282">
        <v>59739</v>
      </c>
      <c r="F158" s="2277">
        <f>+E158</f>
        <v>59739</v>
      </c>
      <c r="G158" s="2282">
        <v>0</v>
      </c>
      <c r="H158" s="2282">
        <v>0</v>
      </c>
      <c r="I158" s="2282">
        <v>0</v>
      </c>
      <c r="J158" s="1854" t="s">
        <v>1279</v>
      </c>
      <c r="K158" s="437"/>
    </row>
    <row r="159" spans="1:11" s="1347" customFormat="1" ht="12.75">
      <c r="A159" s="1861" t="s">
        <v>439</v>
      </c>
      <c r="B159" s="1862"/>
      <c r="C159" s="1863"/>
      <c r="D159" s="1864"/>
      <c r="E159" s="1858">
        <v>5</v>
      </c>
      <c r="F159" s="1858">
        <v>5</v>
      </c>
      <c r="G159" s="1858"/>
      <c r="H159" s="1858"/>
      <c r="I159" s="1858"/>
      <c r="J159" s="1865"/>
    </row>
    <row r="160" spans="1:11" ht="12.75">
      <c r="A160" s="1866" t="s">
        <v>71</v>
      </c>
      <c r="B160" s="1867"/>
      <c r="C160" s="1862"/>
      <c r="D160" s="1868"/>
      <c r="E160" s="1844">
        <f>SUM(E32:E159)</f>
        <v>544969532</v>
      </c>
      <c r="F160" s="1844">
        <f>SUM(F32:F159)</f>
        <v>508888398</v>
      </c>
      <c r="G160" s="1844">
        <f>SUM(G32:G159)</f>
        <v>349597</v>
      </c>
      <c r="H160" s="1844">
        <f>SUM(H32:H159)</f>
        <v>0</v>
      </c>
      <c r="I160" s="1844">
        <f>SUM(I32:I159)</f>
        <v>35731537</v>
      </c>
      <c r="J160" s="1844"/>
      <c r="K160" s="437"/>
    </row>
    <row r="161" spans="1:11" ht="12.75">
      <c r="A161" s="1348" t="s">
        <v>198</v>
      </c>
      <c r="B161" s="1349"/>
      <c r="C161" s="1350"/>
      <c r="D161" s="1351"/>
      <c r="E161" s="1858">
        <f>E86+E92+E142</f>
        <v>13365333</v>
      </c>
      <c r="F161" s="1858">
        <f>F86+F92+F142</f>
        <v>13365333</v>
      </c>
      <c r="G161" s="1858">
        <f>+G84+G90+G140</f>
        <v>0</v>
      </c>
      <c r="H161" s="1858">
        <f>+H84+H90+H140</f>
        <v>0</v>
      </c>
      <c r="I161" s="1858">
        <f>+I84+I90+I140</f>
        <v>0</v>
      </c>
      <c r="J161" s="1869"/>
      <c r="K161" s="437"/>
    </row>
    <row r="162" spans="1:11" ht="12.75">
      <c r="A162" s="1352" t="s">
        <v>199</v>
      </c>
      <c r="B162" s="1353"/>
      <c r="C162" s="1323"/>
      <c r="D162" s="1354"/>
      <c r="E162" s="1858">
        <f>E43</f>
        <v>4238777</v>
      </c>
      <c r="F162" s="1858">
        <f t="shared" ref="F162:I162" si="5">F43</f>
        <v>0</v>
      </c>
      <c r="G162" s="1858">
        <f t="shared" si="5"/>
        <v>0</v>
      </c>
      <c r="H162" s="1858">
        <f t="shared" si="5"/>
        <v>0</v>
      </c>
      <c r="I162" s="1858">
        <f t="shared" si="5"/>
        <v>4238777</v>
      </c>
      <c r="J162" s="1869"/>
      <c r="K162" s="437"/>
    </row>
    <row r="163" spans="1:11" ht="12.75">
      <c r="A163" s="1866" t="s">
        <v>282</v>
      </c>
      <c r="B163" s="1867"/>
      <c r="C163" s="1862"/>
      <c r="D163" s="1868"/>
      <c r="E163" s="1844">
        <f>+E160-E161-E162</f>
        <v>527365422</v>
      </c>
      <c r="F163" s="1844">
        <f>+F160-F161-F162</f>
        <v>495523065</v>
      </c>
      <c r="G163" s="1844">
        <f>+G160-G161-G162</f>
        <v>349597</v>
      </c>
      <c r="H163" s="1844">
        <f>+H160-H161-H162</f>
        <v>0</v>
      </c>
      <c r="I163" s="1844">
        <f>+I160-I161-I162</f>
        <v>31492760</v>
      </c>
      <c r="J163" s="1869"/>
      <c r="K163" s="437"/>
    </row>
    <row r="164" spans="1:11" ht="15">
      <c r="A164" s="1355"/>
      <c r="B164" s="1355"/>
      <c r="C164" s="1356"/>
      <c r="D164" s="1356"/>
      <c r="E164" s="1316"/>
      <c r="F164" s="1317"/>
      <c r="G164" s="1316"/>
      <c r="H164" s="1357"/>
      <c r="I164" s="1358"/>
      <c r="J164" s="1359"/>
      <c r="K164" s="437"/>
    </row>
    <row r="165" spans="1:11">
      <c r="A165" s="1355"/>
      <c r="B165" s="1355"/>
      <c r="C165" s="1870" t="s">
        <v>64</v>
      </c>
      <c r="D165" s="1871"/>
      <c r="E165" s="1871"/>
      <c r="F165" s="1872"/>
      <c r="G165" s="1873"/>
      <c r="H165" s="1874"/>
      <c r="I165" s="1359"/>
      <c r="J165" s="437"/>
      <c r="K165" s="437"/>
    </row>
    <row r="166" spans="1:11">
      <c r="A166" s="1355"/>
      <c r="B166" s="1355"/>
      <c r="C166" s="1318" t="s">
        <v>132</v>
      </c>
      <c r="D166" s="2269"/>
      <c r="E166" s="2269"/>
      <c r="F166" s="2269"/>
      <c r="G166" s="2269"/>
      <c r="H166" s="2270"/>
      <c r="I166" s="1360"/>
      <c r="J166" s="437"/>
      <c r="K166" s="437"/>
    </row>
    <row r="167" spans="1:11">
      <c r="A167" s="1355"/>
      <c r="B167" s="1355"/>
      <c r="C167" s="1318" t="s">
        <v>133</v>
      </c>
      <c r="D167" s="1316"/>
      <c r="E167" s="1316"/>
      <c r="F167" s="1316"/>
      <c r="G167" s="1358"/>
      <c r="H167" s="1361"/>
      <c r="I167" s="1359"/>
      <c r="J167" s="437"/>
      <c r="K167" s="437"/>
    </row>
    <row r="168" spans="1:11">
      <c r="A168" s="1355"/>
      <c r="B168" s="1355"/>
      <c r="C168" s="1318" t="s">
        <v>262</v>
      </c>
      <c r="D168" s="1316"/>
      <c r="E168" s="1316"/>
      <c r="F168" s="1316"/>
      <c r="G168" s="1358"/>
      <c r="H168" s="1361"/>
      <c r="I168" s="1360"/>
      <c r="J168" s="437"/>
      <c r="K168" s="437"/>
    </row>
    <row r="169" spans="1:11">
      <c r="A169" s="1355"/>
      <c r="B169" s="1355"/>
      <c r="C169" s="1318" t="s">
        <v>264</v>
      </c>
      <c r="D169" s="1316"/>
      <c r="E169" s="1316"/>
      <c r="F169" s="1316"/>
      <c r="G169" s="1358"/>
      <c r="H169" s="1361"/>
      <c r="I169" s="1359"/>
      <c r="J169" s="437"/>
      <c r="K169" s="437"/>
    </row>
    <row r="170" spans="1:11" ht="24.75" customHeight="1">
      <c r="A170" s="1355"/>
      <c r="B170" s="1355"/>
      <c r="C170" s="2552" t="s">
        <v>18</v>
      </c>
      <c r="D170" s="2553"/>
      <c r="E170" s="2553"/>
      <c r="F170" s="2553"/>
      <c r="G170" s="2553"/>
      <c r="H170" s="2554"/>
      <c r="I170" s="1359"/>
      <c r="J170" s="437"/>
      <c r="K170" s="437"/>
    </row>
    <row r="171" spans="1:11" ht="15">
      <c r="A171" s="1355"/>
      <c r="B171" s="1355"/>
      <c r="C171" s="1362"/>
      <c r="D171" s="1363"/>
      <c r="E171" s="1363"/>
      <c r="F171" s="1363"/>
      <c r="G171" s="1363"/>
      <c r="H171" s="1363"/>
      <c r="I171" s="1359"/>
      <c r="J171" s="437"/>
      <c r="K171" s="437"/>
    </row>
    <row r="172" spans="1:11" ht="15">
      <c r="A172" s="1355"/>
      <c r="B172" s="1355"/>
      <c r="C172" s="1362"/>
      <c r="D172" s="1363"/>
      <c r="E172" s="1363"/>
      <c r="F172" s="1363"/>
      <c r="G172" s="1363"/>
      <c r="H172" s="1363"/>
      <c r="I172" s="1359"/>
      <c r="J172" s="437"/>
      <c r="K172" s="437"/>
    </row>
    <row r="173" spans="1:11" s="1347" customFormat="1" ht="12.75">
      <c r="A173" s="1364" t="s">
        <v>365</v>
      </c>
      <c r="B173" s="1364"/>
      <c r="C173" s="1365"/>
      <c r="D173" s="1365"/>
      <c r="E173" s="1365"/>
      <c r="F173" s="1365"/>
      <c r="G173" s="1365"/>
      <c r="H173" s="1365"/>
      <c r="I173" s="1365"/>
    </row>
    <row r="174" spans="1:11" s="1347" customFormat="1" ht="12.75">
      <c r="A174" s="1366"/>
      <c r="B174" s="1366"/>
      <c r="C174" s="1367"/>
      <c r="D174" s="1368"/>
      <c r="E174" s="1368"/>
      <c r="F174" s="1368"/>
      <c r="G174" s="1368"/>
      <c r="H174" s="1368"/>
      <c r="I174" s="1368"/>
    </row>
    <row r="175" spans="1:11" s="1347" customFormat="1" ht="12.75">
      <c r="A175" s="1369" t="s">
        <v>1806</v>
      </c>
      <c r="B175" s="1369"/>
      <c r="C175" s="1370"/>
      <c r="D175" s="1370"/>
      <c r="E175" s="1370"/>
      <c r="F175" s="1370"/>
      <c r="G175" s="1370"/>
      <c r="H175" s="1370"/>
      <c r="I175" s="1370"/>
    </row>
    <row r="176" spans="1:11" s="1347" customFormat="1" ht="15">
      <c r="A176" s="1307" t="s">
        <v>664</v>
      </c>
      <c r="B176" s="1371"/>
      <c r="C176" s="1368"/>
      <c r="D176" s="1368"/>
      <c r="E176" s="1368"/>
      <c r="F176" s="1368"/>
      <c r="G176" s="1368"/>
      <c r="H176" s="1368"/>
      <c r="I176" s="1368"/>
    </row>
    <row r="177" spans="1:11" s="1347" customFormat="1" ht="12.75">
      <c r="A177" s="1372"/>
      <c r="B177" s="1372"/>
      <c r="C177" s="1343" t="s">
        <v>227</v>
      </c>
      <c r="D177" s="1344"/>
      <c r="E177" s="1343" t="s">
        <v>283</v>
      </c>
      <c r="F177" s="1343" t="s">
        <v>215</v>
      </c>
      <c r="G177" s="1343" t="s">
        <v>228</v>
      </c>
      <c r="H177" s="1343" t="s">
        <v>226</v>
      </c>
      <c r="I177" s="1343" t="s">
        <v>107</v>
      </c>
      <c r="J177" s="1343" t="s">
        <v>229</v>
      </c>
    </row>
    <row r="178" spans="1:11" s="1347" customFormat="1" ht="12.75">
      <c r="A178" s="1372"/>
      <c r="B178" s="1372"/>
      <c r="C178" s="1373"/>
      <c r="E178" s="1373"/>
      <c r="F178" s="1374" t="s">
        <v>257</v>
      </c>
      <c r="G178" s="1373"/>
      <c r="H178" s="1374"/>
      <c r="I178" s="1374"/>
      <c r="J178" s="1373"/>
    </row>
    <row r="179" spans="1:11" s="1347" customFormat="1" ht="15">
      <c r="A179" s="1307"/>
      <c r="B179" s="1372"/>
      <c r="C179" s="1375"/>
      <c r="E179" s="1374" t="s">
        <v>282</v>
      </c>
      <c r="F179" s="1374" t="s">
        <v>258</v>
      </c>
      <c r="G179" s="1374" t="s">
        <v>57</v>
      </c>
      <c r="H179" s="1374" t="s">
        <v>61</v>
      </c>
      <c r="I179" s="1374" t="s">
        <v>63</v>
      </c>
      <c r="J179" s="1373"/>
    </row>
    <row r="180" spans="1:11" s="1347" customFormat="1" ht="12.75">
      <c r="A180" s="1372"/>
      <c r="B180" s="1372"/>
      <c r="C180" s="1316"/>
      <c r="E180" s="1374"/>
      <c r="F180" s="1374" t="s">
        <v>62</v>
      </c>
      <c r="G180" s="1374" t="s">
        <v>62</v>
      </c>
      <c r="H180" s="1374" t="s">
        <v>62</v>
      </c>
      <c r="I180" s="1374" t="s">
        <v>62</v>
      </c>
      <c r="J180" s="1374" t="s">
        <v>208</v>
      </c>
    </row>
    <row r="181" spans="1:11" s="1347" customFormat="1" ht="12.75">
      <c r="A181" s="1875" t="s">
        <v>574</v>
      </c>
      <c r="B181" s="1876"/>
      <c r="C181" s="1877"/>
      <c r="D181" s="1877"/>
      <c r="E181" s="1878"/>
      <c r="F181" s="1879"/>
      <c r="G181" s="1879"/>
      <c r="H181" s="1879"/>
      <c r="I181" s="1879"/>
      <c r="J181" s="1880"/>
    </row>
    <row r="182" spans="1:11" s="1347" customFormat="1" ht="12.75">
      <c r="A182" s="2183" t="s">
        <v>438</v>
      </c>
      <c r="B182" s="1881"/>
      <c r="C182" s="1882"/>
      <c r="D182" s="1882"/>
      <c r="E182" s="1883"/>
      <c r="F182" s="1848"/>
      <c r="G182" s="1848"/>
      <c r="H182" s="1848"/>
      <c r="I182" s="1848"/>
      <c r="J182" s="1884"/>
    </row>
    <row r="183" spans="1:11" s="1347" customFormat="1" ht="12.75">
      <c r="A183" s="1855">
        <v>287960</v>
      </c>
      <c r="B183" s="1856" t="s">
        <v>565</v>
      </c>
      <c r="C183" s="1857" t="s">
        <v>575</v>
      </c>
      <c r="D183" s="1853"/>
      <c r="E183" s="1885">
        <v>-252151842</v>
      </c>
      <c r="F183" s="1858">
        <v>-252151842</v>
      </c>
      <c r="G183" s="1858">
        <v>0</v>
      </c>
      <c r="H183" s="1858">
        <v>0</v>
      </c>
      <c r="I183" s="1858">
        <v>0</v>
      </c>
      <c r="J183" s="1854" t="s">
        <v>1596</v>
      </c>
    </row>
    <row r="184" spans="1:11" s="1347" customFormat="1" ht="12.75">
      <c r="A184" s="1886"/>
      <c r="B184" s="1856"/>
      <c r="C184" s="1857"/>
      <c r="D184" s="1853"/>
      <c r="E184" s="1885"/>
      <c r="F184" s="1885"/>
      <c r="G184" s="1885"/>
      <c r="H184" s="1885"/>
      <c r="I184" s="1885"/>
      <c r="J184" s="1887"/>
    </row>
    <row r="185" spans="1:11" s="1347" customFormat="1" ht="12.75">
      <c r="A185" s="1888" t="s">
        <v>439</v>
      </c>
      <c r="B185" s="1889"/>
      <c r="C185" s="1889"/>
      <c r="D185" s="1890"/>
      <c r="E185" s="1885"/>
      <c r="F185" s="1885"/>
      <c r="G185" s="1885"/>
      <c r="H185" s="1885"/>
      <c r="I185" s="1885"/>
      <c r="J185" s="1865"/>
    </row>
    <row r="186" spans="1:11" s="1347" customFormat="1" ht="12.75">
      <c r="A186" s="1866" t="s">
        <v>323</v>
      </c>
      <c r="B186" s="1867"/>
      <c r="C186" s="1891"/>
      <c r="D186" s="1892"/>
      <c r="E186" s="1893">
        <f>SUM(E183:E185)</f>
        <v>-252151842</v>
      </c>
      <c r="F186" s="1893">
        <f>SUM(F183:F185)</f>
        <v>-252151842</v>
      </c>
      <c r="G186" s="1893">
        <f>SUM(G183:G185)</f>
        <v>0</v>
      </c>
      <c r="H186" s="1893">
        <f>SUM(H183:H185)</f>
        <v>0</v>
      </c>
      <c r="I186" s="1893">
        <f>SUM(I183:I185)</f>
        <v>0</v>
      </c>
      <c r="J186" s="1879"/>
    </row>
    <row r="187" spans="1:11" s="1347" customFormat="1" ht="12.75">
      <c r="A187" s="1894" t="s">
        <v>198</v>
      </c>
      <c r="B187" s="1895"/>
      <c r="C187" s="1891"/>
      <c r="D187" s="1892"/>
      <c r="E187" s="1885"/>
      <c r="F187" s="1885"/>
      <c r="G187" s="1885"/>
      <c r="H187" s="1885"/>
      <c r="I187" s="1885"/>
      <c r="J187" s="1865"/>
    </row>
    <row r="188" spans="1:11" s="1347" customFormat="1" ht="12.75">
      <c r="A188" s="1894" t="s">
        <v>199</v>
      </c>
      <c r="B188" s="1895"/>
      <c r="C188" s="1891"/>
      <c r="D188" s="1892"/>
      <c r="E188" s="1885"/>
      <c r="F188" s="1885"/>
      <c r="G188" s="1885"/>
      <c r="H188" s="1885"/>
      <c r="I188" s="1885"/>
      <c r="J188" s="1865"/>
    </row>
    <row r="189" spans="1:11" s="1347" customFormat="1" ht="12.75">
      <c r="A189" s="1894" t="s">
        <v>282</v>
      </c>
      <c r="B189" s="1895"/>
      <c r="C189" s="1891"/>
      <c r="D189" s="1892"/>
      <c r="E189" s="1893">
        <f>+E186-E187-E188</f>
        <v>-252151842</v>
      </c>
      <c r="F189" s="1893">
        <f>+F186-F187-F188</f>
        <v>-252151842</v>
      </c>
      <c r="G189" s="1893">
        <f>+G186-G187-G188</f>
        <v>0</v>
      </c>
      <c r="H189" s="1893">
        <f>+H186-H187-H188</f>
        <v>0</v>
      </c>
      <c r="I189" s="1896">
        <f>+I186-I187-I188</f>
        <v>0</v>
      </c>
      <c r="J189" s="1865"/>
    </row>
    <row r="190" spans="1:11" ht="15">
      <c r="A190" s="1376"/>
      <c r="B190" s="1376"/>
      <c r="C190" s="1359"/>
      <c r="D190" s="1316"/>
      <c r="E190" s="1316"/>
      <c r="F190" s="1316"/>
      <c r="G190" s="1316"/>
      <c r="H190" s="1316"/>
      <c r="I190" s="1359"/>
      <c r="J190" s="437"/>
      <c r="K190" s="437"/>
    </row>
    <row r="191" spans="1:11" s="1347" customFormat="1" ht="12.75">
      <c r="A191" s="1312"/>
      <c r="B191" s="1312"/>
      <c r="C191" s="1897" t="s">
        <v>576</v>
      </c>
      <c r="D191" s="1898"/>
      <c r="E191" s="1899"/>
      <c r="F191" s="1899"/>
      <c r="G191" s="1900"/>
      <c r="H191" s="1901"/>
      <c r="I191" s="1368"/>
    </row>
    <row r="192" spans="1:11" s="1347" customFormat="1" ht="12.75">
      <c r="A192" s="1312"/>
      <c r="B192" s="1312"/>
      <c r="C192" s="2555" t="s">
        <v>132</v>
      </c>
      <c r="D192" s="2556"/>
      <c r="E192" s="2556"/>
      <c r="F192" s="2556"/>
      <c r="G192" s="2556"/>
      <c r="H192" s="2557"/>
      <c r="I192" s="1368"/>
    </row>
    <row r="193" spans="1:11" s="1347" customFormat="1" ht="12.75">
      <c r="A193" s="1312"/>
      <c r="B193" s="1312"/>
      <c r="C193" s="1318" t="s">
        <v>133</v>
      </c>
      <c r="D193" s="1313"/>
      <c r="E193" s="1323"/>
      <c r="F193" s="1323"/>
      <c r="G193" s="1315"/>
      <c r="H193" s="1319"/>
      <c r="I193" s="1368"/>
    </row>
    <row r="194" spans="1:11" s="1347" customFormat="1" ht="12.75">
      <c r="A194" s="1312"/>
      <c r="B194" s="1312"/>
      <c r="C194" s="1318" t="s">
        <v>262</v>
      </c>
      <c r="D194" s="1313"/>
      <c r="E194" s="1323"/>
      <c r="F194" s="1323"/>
      <c r="G194" s="1315"/>
      <c r="H194" s="1319"/>
      <c r="I194" s="1368"/>
    </row>
    <row r="195" spans="1:11" s="1347" customFormat="1" ht="12.75">
      <c r="A195" s="1312"/>
      <c r="B195" s="1312"/>
      <c r="C195" s="1318" t="s">
        <v>264</v>
      </c>
      <c r="D195" s="1313"/>
      <c r="E195" s="1323"/>
      <c r="F195" s="1323"/>
      <c r="G195" s="1315"/>
      <c r="H195" s="1319"/>
      <c r="I195" s="1368"/>
    </row>
    <row r="196" spans="1:11" s="1347" customFormat="1" ht="24.75" customHeight="1">
      <c r="A196" s="1312"/>
      <c r="B196" s="1312"/>
      <c r="C196" s="2552" t="s">
        <v>18</v>
      </c>
      <c r="D196" s="2553"/>
      <c r="E196" s="2553"/>
      <c r="F196" s="2553"/>
      <c r="G196" s="2553"/>
      <c r="H196" s="2554"/>
      <c r="I196" s="1902"/>
    </row>
    <row r="197" spans="1:11" s="1347" customFormat="1" ht="12.75">
      <c r="A197" s="1364" t="s">
        <v>365</v>
      </c>
      <c r="B197" s="1372"/>
      <c r="C197" s="1377"/>
      <c r="D197" s="1377"/>
      <c r="E197" s="1377"/>
      <c r="F197" s="1377"/>
      <c r="G197" s="1377"/>
      <c r="H197" s="1377"/>
      <c r="I197" s="1902"/>
    </row>
    <row r="198" spans="1:11" s="1347" customFormat="1" ht="12.75">
      <c r="A198" s="1366"/>
      <c r="B198" s="1372"/>
      <c r="C198" s="1377"/>
      <c r="D198" s="1377"/>
      <c r="E198" s="1377"/>
      <c r="F198" s="1377"/>
      <c r="G198" s="1377"/>
      <c r="H198" s="1377"/>
      <c r="I198" s="1902"/>
    </row>
    <row r="199" spans="1:11" s="1347" customFormat="1" ht="12.75">
      <c r="A199" s="1369" t="s">
        <v>1806</v>
      </c>
      <c r="B199" s="1372"/>
      <c r="C199" s="1377"/>
      <c r="D199" s="1377"/>
      <c r="E199" s="1377"/>
      <c r="F199" s="1377"/>
      <c r="G199" s="1377"/>
      <c r="H199" s="1377"/>
      <c r="I199" s="1902"/>
    </row>
    <row r="200" spans="1:11" s="1347" customFormat="1" ht="12.75">
      <c r="A200" s="1372"/>
      <c r="B200" s="1372"/>
      <c r="C200" s="1377"/>
      <c r="D200" s="1377"/>
      <c r="E200" s="1377"/>
      <c r="F200" s="1377"/>
      <c r="G200" s="1377"/>
      <c r="H200" s="1377"/>
      <c r="I200" s="1902"/>
    </row>
    <row r="201" spans="1:11" ht="15.75">
      <c r="A201" s="1307" t="s">
        <v>543</v>
      </c>
      <c r="B201" s="1378"/>
      <c r="C201" s="1362"/>
      <c r="D201" s="1363"/>
      <c r="E201" s="1363"/>
      <c r="F201" s="1363"/>
      <c r="G201" s="1363"/>
      <c r="H201" s="1363"/>
      <c r="I201" s="1362"/>
      <c r="J201" s="437"/>
      <c r="K201" s="437"/>
    </row>
    <row r="202" spans="1:11" ht="15">
      <c r="A202" s="1307"/>
      <c r="B202" s="1307"/>
      <c r="C202" s="1359"/>
      <c r="D202" s="1316"/>
      <c r="E202" s="1316"/>
      <c r="F202" s="1316"/>
      <c r="G202" s="1316"/>
      <c r="H202" s="1316"/>
      <c r="I202" s="1359"/>
      <c r="J202" s="437"/>
      <c r="K202" s="437"/>
    </row>
    <row r="203" spans="1:11" ht="15">
      <c r="A203" s="1297"/>
      <c r="B203" s="1297"/>
      <c r="C203" s="1343" t="s">
        <v>227</v>
      </c>
      <c r="D203" s="1344"/>
      <c r="E203" s="1343" t="s">
        <v>283</v>
      </c>
      <c r="F203" s="1343" t="s">
        <v>215</v>
      </c>
      <c r="G203" s="1343" t="s">
        <v>228</v>
      </c>
      <c r="H203" s="1343" t="s">
        <v>226</v>
      </c>
      <c r="I203" s="1343" t="s">
        <v>107</v>
      </c>
      <c r="J203" s="1343" t="s">
        <v>229</v>
      </c>
      <c r="K203" s="437"/>
    </row>
    <row r="204" spans="1:11" ht="15">
      <c r="A204" s="1297"/>
      <c r="B204" s="1297"/>
      <c r="C204" s="1297"/>
      <c r="D204" s="437"/>
      <c r="E204" s="830"/>
      <c r="F204" s="830" t="s">
        <v>257</v>
      </c>
      <c r="G204" s="830"/>
      <c r="H204" s="830"/>
      <c r="I204" s="830"/>
      <c r="J204" s="1297"/>
      <c r="K204" s="437"/>
    </row>
    <row r="205" spans="1:11" ht="15">
      <c r="A205" s="1307"/>
      <c r="B205" s="1307"/>
      <c r="C205" s="1297"/>
      <c r="D205" s="437"/>
      <c r="E205" s="830" t="s">
        <v>282</v>
      </c>
      <c r="F205" s="830" t="s">
        <v>258</v>
      </c>
      <c r="G205" s="830" t="s">
        <v>57</v>
      </c>
      <c r="H205" s="830" t="s">
        <v>61</v>
      </c>
      <c r="I205" s="830" t="s">
        <v>63</v>
      </c>
      <c r="J205" s="1297"/>
      <c r="K205" s="437"/>
    </row>
    <row r="206" spans="1:11" ht="15">
      <c r="A206" s="1297"/>
      <c r="B206" s="1297"/>
      <c r="C206" s="1297"/>
      <c r="D206" s="437"/>
      <c r="E206" s="830"/>
      <c r="F206" s="830" t="s">
        <v>62</v>
      </c>
      <c r="G206" s="830" t="s">
        <v>62</v>
      </c>
      <c r="H206" s="830" t="s">
        <v>62</v>
      </c>
      <c r="I206" s="830" t="s">
        <v>62</v>
      </c>
      <c r="J206" s="1297" t="s">
        <v>208</v>
      </c>
      <c r="K206" s="437"/>
    </row>
    <row r="207" spans="1:11" ht="15">
      <c r="A207" s="1903" t="s">
        <v>255</v>
      </c>
      <c r="B207" s="1904"/>
      <c r="C207" s="1905"/>
      <c r="D207" s="1906"/>
      <c r="E207" s="1907"/>
      <c r="F207" s="1844"/>
      <c r="G207" s="1844"/>
      <c r="H207" s="1844"/>
      <c r="I207" s="1844"/>
      <c r="J207" s="1908"/>
      <c r="K207" s="437"/>
    </row>
    <row r="208" spans="1:11" ht="38.25">
      <c r="A208" s="1855">
        <v>287605</v>
      </c>
      <c r="B208" s="1856">
        <v>105.14700000000001</v>
      </c>
      <c r="C208" s="1909" t="s">
        <v>584</v>
      </c>
      <c r="D208" s="1910"/>
      <c r="E208" s="2282">
        <v>-172878</v>
      </c>
      <c r="F208" s="2282">
        <f>E208</f>
        <v>-172878</v>
      </c>
      <c r="G208" s="2282">
        <v>0</v>
      </c>
      <c r="H208" s="2282">
        <v>0</v>
      </c>
      <c r="I208" s="2282">
        <v>0</v>
      </c>
      <c r="J208" s="1854" t="s">
        <v>1296</v>
      </c>
      <c r="K208" s="437"/>
    </row>
    <row r="209" spans="1:11" ht="25.5">
      <c r="A209" s="1855">
        <v>287766</v>
      </c>
      <c r="B209" s="1856">
        <v>610.101</v>
      </c>
      <c r="C209" s="1909" t="s">
        <v>589</v>
      </c>
      <c r="D209" s="1910"/>
      <c r="E209" s="2282">
        <v>202295</v>
      </c>
      <c r="F209" s="2282">
        <f>E209</f>
        <v>202295</v>
      </c>
      <c r="G209" s="2282">
        <v>0</v>
      </c>
      <c r="H209" s="2282">
        <v>0</v>
      </c>
      <c r="I209" s="2282">
        <v>0</v>
      </c>
      <c r="J209" s="1887" t="s">
        <v>1309</v>
      </c>
      <c r="K209" s="437"/>
    </row>
    <row r="210" spans="1:11" ht="12.75">
      <c r="A210" s="1855">
        <v>287610</v>
      </c>
      <c r="B210" s="1856">
        <v>105.40300000000001</v>
      </c>
      <c r="C210" s="1909" t="s">
        <v>1597</v>
      </c>
      <c r="D210" s="1910"/>
      <c r="E210" s="2282">
        <v>-29991665</v>
      </c>
      <c r="F210" s="2282">
        <f>E210</f>
        <v>-29991665</v>
      </c>
      <c r="G210" s="2282">
        <v>0</v>
      </c>
      <c r="H210" s="2282">
        <v>0</v>
      </c>
      <c r="I210" s="2282">
        <v>0</v>
      </c>
      <c r="J210" s="1854" t="s">
        <v>1280</v>
      </c>
      <c r="K210" s="437"/>
    </row>
    <row r="211" spans="1:11" ht="25.5">
      <c r="A211" s="1855">
        <v>287605</v>
      </c>
      <c r="B211" s="1856">
        <v>105.142</v>
      </c>
      <c r="C211" s="1909" t="s">
        <v>582</v>
      </c>
      <c r="D211" s="1910"/>
      <c r="E211" s="2282">
        <v>216619156</v>
      </c>
      <c r="F211" s="2282">
        <f>E211</f>
        <v>216619156</v>
      </c>
      <c r="G211" s="2282">
        <v>0</v>
      </c>
      <c r="H211" s="2282">
        <v>0</v>
      </c>
      <c r="I211" s="2282">
        <v>0</v>
      </c>
      <c r="J211" s="1854" t="s">
        <v>1294</v>
      </c>
      <c r="K211" s="437"/>
    </row>
    <row r="212" spans="1:11" ht="38.25">
      <c r="A212" s="1855">
        <v>287704</v>
      </c>
      <c r="B212" s="1856">
        <v>105.143</v>
      </c>
      <c r="C212" s="1909" t="s">
        <v>588</v>
      </c>
      <c r="D212" s="1910"/>
      <c r="E212" s="2282">
        <v>-1342152</v>
      </c>
      <c r="F212" s="2282">
        <v>0</v>
      </c>
      <c r="G212" s="2282">
        <v>0</v>
      </c>
      <c r="H212" s="2282">
        <f>E212</f>
        <v>-1342152</v>
      </c>
      <c r="I212" s="2282">
        <v>0</v>
      </c>
      <c r="J212" s="1854" t="s">
        <v>1307</v>
      </c>
      <c r="K212" s="437"/>
    </row>
    <row r="213" spans="1:11" ht="25.5">
      <c r="A213" s="1855">
        <v>287753</v>
      </c>
      <c r="B213" s="1856">
        <v>110.1</v>
      </c>
      <c r="C213" s="1909" t="s">
        <v>1598</v>
      </c>
      <c r="D213" s="1910"/>
      <c r="E213" s="2282">
        <v>-4099158</v>
      </c>
      <c r="F213" s="2282">
        <f t="shared" ref="F213:F219" si="6">E213</f>
        <v>-4099158</v>
      </c>
      <c r="G213" s="2282">
        <v>0</v>
      </c>
      <c r="H213" s="2282">
        <v>0</v>
      </c>
      <c r="I213" s="2282">
        <v>0</v>
      </c>
      <c r="J213" s="1854" t="s">
        <v>1308</v>
      </c>
      <c r="K213" s="437"/>
    </row>
    <row r="214" spans="1:11" ht="12.75">
      <c r="A214" s="1855">
        <v>287605</v>
      </c>
      <c r="B214" s="1856">
        <v>105.12</v>
      </c>
      <c r="C214" s="1909" t="s">
        <v>577</v>
      </c>
      <c r="D214" s="1910"/>
      <c r="E214" s="2282">
        <v>2385533129</v>
      </c>
      <c r="F214" s="2282">
        <f t="shared" si="6"/>
        <v>2385533129</v>
      </c>
      <c r="G214" s="2282">
        <v>0</v>
      </c>
      <c r="H214" s="2282">
        <v>0</v>
      </c>
      <c r="I214" s="2282">
        <v>0</v>
      </c>
      <c r="J214" s="1854" t="s">
        <v>1284</v>
      </c>
      <c r="K214" s="437"/>
    </row>
    <row r="215" spans="1:11" ht="12.75">
      <c r="A215" s="1855">
        <v>287605</v>
      </c>
      <c r="B215" s="1856">
        <v>105.47</v>
      </c>
      <c r="C215" s="1909" t="s">
        <v>1599</v>
      </c>
      <c r="D215" s="1910"/>
      <c r="E215" s="2282">
        <v>233824</v>
      </c>
      <c r="F215" s="2282">
        <f t="shared" si="6"/>
        <v>233824</v>
      </c>
      <c r="G215" s="2282">
        <v>0</v>
      </c>
      <c r="H215" s="2282">
        <v>0</v>
      </c>
      <c r="I215" s="2282">
        <v>0</v>
      </c>
      <c r="J215" s="1854" t="s">
        <v>1302</v>
      </c>
      <c r="K215" s="437"/>
    </row>
    <row r="216" spans="1:11" ht="38.25">
      <c r="A216" s="1855">
        <v>287605</v>
      </c>
      <c r="B216" s="1856">
        <v>105.146</v>
      </c>
      <c r="C216" s="1909" t="s">
        <v>583</v>
      </c>
      <c r="D216" s="1910"/>
      <c r="E216" s="2282">
        <v>5238233</v>
      </c>
      <c r="F216" s="2282">
        <f t="shared" si="6"/>
        <v>5238233</v>
      </c>
      <c r="G216" s="2282">
        <v>0</v>
      </c>
      <c r="H216" s="2282">
        <v>0</v>
      </c>
      <c r="I216" s="2282">
        <v>0</v>
      </c>
      <c r="J216" s="1854" t="s">
        <v>1295</v>
      </c>
      <c r="K216" s="437"/>
    </row>
    <row r="217" spans="1:11" ht="12.75">
      <c r="A217" s="1855">
        <v>287605</v>
      </c>
      <c r="B217" s="1856">
        <v>105.137</v>
      </c>
      <c r="C217" s="1909" t="s">
        <v>580</v>
      </c>
      <c r="D217" s="1910"/>
      <c r="E217" s="2282">
        <v>-20319657</v>
      </c>
      <c r="F217" s="2282">
        <f t="shared" si="6"/>
        <v>-20319657</v>
      </c>
      <c r="G217" s="2282">
        <v>0</v>
      </c>
      <c r="H217" s="2282">
        <v>0</v>
      </c>
      <c r="I217" s="2282">
        <v>0</v>
      </c>
      <c r="J217" s="1854" t="s">
        <v>1291</v>
      </c>
      <c r="K217" s="437"/>
    </row>
    <row r="218" spans="1:11" ht="25.5">
      <c r="A218" s="1855">
        <v>287605</v>
      </c>
      <c r="B218" s="1856">
        <v>105.1</v>
      </c>
      <c r="C218" s="1909" t="s">
        <v>1600</v>
      </c>
      <c r="D218" s="1910"/>
      <c r="E218" s="2282">
        <v>25659474</v>
      </c>
      <c r="F218" s="2282">
        <f t="shared" si="6"/>
        <v>25659474</v>
      </c>
      <c r="G218" s="2282">
        <v>0</v>
      </c>
      <c r="H218" s="2282">
        <v>0</v>
      </c>
      <c r="I218" s="2282">
        <v>0</v>
      </c>
      <c r="J218" s="1854" t="s">
        <v>1281</v>
      </c>
      <c r="K218" s="437"/>
    </row>
    <row r="219" spans="1:11" ht="25.5">
      <c r="A219" s="1855">
        <v>287605</v>
      </c>
      <c r="B219" s="1856">
        <v>105.101</v>
      </c>
      <c r="C219" s="1909" t="s">
        <v>1601</v>
      </c>
      <c r="D219" s="1910"/>
      <c r="E219" s="2282">
        <v>2415886</v>
      </c>
      <c r="F219" s="2282">
        <f t="shared" si="6"/>
        <v>2415886</v>
      </c>
      <c r="G219" s="2282">
        <v>0</v>
      </c>
      <c r="H219" s="2282">
        <v>0</v>
      </c>
      <c r="I219" s="2282">
        <v>0</v>
      </c>
      <c r="J219" s="1854" t="s">
        <v>1282</v>
      </c>
      <c r="K219" s="437"/>
    </row>
    <row r="220" spans="1:11" ht="12.75">
      <c r="A220" s="1855">
        <v>287605</v>
      </c>
      <c r="B220" s="1911"/>
      <c r="C220" s="1857" t="s">
        <v>674</v>
      </c>
      <c r="D220" s="1853"/>
      <c r="E220" s="2283">
        <f>SUM(F220:I220)</f>
        <v>0</v>
      </c>
      <c r="F220" s="2282">
        <v>928728614</v>
      </c>
      <c r="G220" s="2282">
        <f>-F220</f>
        <v>-928728614</v>
      </c>
      <c r="H220" s="2282">
        <v>0</v>
      </c>
      <c r="I220" s="2282">
        <v>0</v>
      </c>
      <c r="J220" s="1854" t="s">
        <v>1305</v>
      </c>
      <c r="K220" s="1303"/>
    </row>
    <row r="221" spans="1:11" ht="12.75">
      <c r="A221" s="1855">
        <v>287605</v>
      </c>
      <c r="B221" s="1911"/>
      <c r="C221" s="1857" t="s">
        <v>675</v>
      </c>
      <c r="D221" s="1853"/>
      <c r="E221" s="2283">
        <f>SUM(F221:I221)</f>
        <v>0</v>
      </c>
      <c r="F221" s="2282">
        <v>43264695</v>
      </c>
      <c r="G221" s="2282">
        <v>0</v>
      </c>
      <c r="H221" s="2282">
        <v>0</v>
      </c>
      <c r="I221" s="2282">
        <f>-F221</f>
        <v>-43264695</v>
      </c>
      <c r="J221" s="1854" t="s">
        <v>1443</v>
      </c>
      <c r="K221" s="437"/>
    </row>
    <row r="222" spans="1:11" ht="12.75">
      <c r="A222" s="1855">
        <v>287605</v>
      </c>
      <c r="B222" s="1911"/>
      <c r="C222" s="1857" t="s">
        <v>676</v>
      </c>
      <c r="D222" s="1853"/>
      <c r="E222" s="2283">
        <f>SUM(F222:I222)</f>
        <v>0</v>
      </c>
      <c r="F222" s="2282">
        <v>186195970</v>
      </c>
      <c r="G222" s="2282">
        <v>0</v>
      </c>
      <c r="H222" s="2282">
        <v>0</v>
      </c>
      <c r="I222" s="2282">
        <f>-F222</f>
        <v>-186195970</v>
      </c>
      <c r="J222" s="1854" t="s">
        <v>1444</v>
      </c>
      <c r="K222" s="437"/>
    </row>
    <row r="223" spans="1:11" ht="27" customHeight="1">
      <c r="A223" s="1855">
        <v>287608</v>
      </c>
      <c r="B223" s="1856">
        <v>105.22199999999999</v>
      </c>
      <c r="C223" s="1909" t="s">
        <v>1602</v>
      </c>
      <c r="D223" s="1910"/>
      <c r="E223" s="2282">
        <v>-4620991</v>
      </c>
      <c r="F223" s="2282">
        <v>0</v>
      </c>
      <c r="G223" s="2282">
        <v>0</v>
      </c>
      <c r="H223" s="2282">
        <f>E223</f>
        <v>-4620991</v>
      </c>
      <c r="I223" s="2282">
        <v>0</v>
      </c>
      <c r="J223" s="1854" t="s">
        <v>1273</v>
      </c>
      <c r="K223" s="437"/>
    </row>
    <row r="224" spans="1:11" ht="27" customHeight="1">
      <c r="A224" s="1855">
        <v>287608</v>
      </c>
      <c r="B224" s="1856">
        <v>105.223</v>
      </c>
      <c r="C224" s="1909" t="s">
        <v>1603</v>
      </c>
      <c r="D224" s="1910"/>
      <c r="E224" s="2282">
        <v>1381474</v>
      </c>
      <c r="F224" s="2282">
        <v>0</v>
      </c>
      <c r="G224" s="2282">
        <v>0</v>
      </c>
      <c r="H224" s="2282">
        <f>+E224</f>
        <v>1381474</v>
      </c>
      <c r="I224" s="2282">
        <v>0</v>
      </c>
      <c r="J224" s="1854" t="s">
        <v>1306</v>
      </c>
      <c r="K224" s="437"/>
    </row>
    <row r="225" spans="1:11" ht="51">
      <c r="A225" s="1855">
        <v>287605</v>
      </c>
      <c r="B225" s="1856">
        <v>105.16500000000001</v>
      </c>
      <c r="C225" s="1909" t="s">
        <v>585</v>
      </c>
      <c r="D225" s="1910"/>
      <c r="E225" s="2282">
        <v>-4834889</v>
      </c>
      <c r="F225" s="2282">
        <f t="shared" ref="F225:F236" si="7">E225</f>
        <v>-4834889</v>
      </c>
      <c r="G225" s="2282">
        <v>0</v>
      </c>
      <c r="H225" s="2282">
        <v>0</v>
      </c>
      <c r="I225" s="2282">
        <v>0</v>
      </c>
      <c r="J225" s="1854" t="s">
        <v>1299</v>
      </c>
      <c r="K225" s="437"/>
    </row>
    <row r="226" spans="1:11" ht="49.5" customHeight="1">
      <c r="A226" s="1855">
        <v>287605</v>
      </c>
      <c r="B226" s="1856">
        <v>105.17</v>
      </c>
      <c r="C226" s="1909" t="s">
        <v>1604</v>
      </c>
      <c r="D226" s="1910"/>
      <c r="E226" s="2282">
        <v>-5858660</v>
      </c>
      <c r="F226" s="2282">
        <f t="shared" si="7"/>
        <v>-5858660</v>
      </c>
      <c r="G226" s="2282">
        <v>0</v>
      </c>
      <c r="H226" s="2282">
        <v>0</v>
      </c>
      <c r="I226" s="2282">
        <v>0</v>
      </c>
      <c r="J226" s="1854" t="s">
        <v>2119</v>
      </c>
      <c r="K226" s="437"/>
    </row>
    <row r="227" spans="1:11" ht="12.75" customHeight="1">
      <c r="A227" s="1855">
        <v>287605</v>
      </c>
      <c r="B227" s="1856">
        <v>105.13</v>
      </c>
      <c r="C227" s="1909" t="s">
        <v>1605</v>
      </c>
      <c r="D227" s="1910"/>
      <c r="E227" s="2282">
        <v>264295570</v>
      </c>
      <c r="F227" s="2282">
        <f t="shared" si="7"/>
        <v>264295570</v>
      </c>
      <c r="G227" s="2282">
        <v>0</v>
      </c>
      <c r="H227" s="2282">
        <v>0</v>
      </c>
      <c r="I227" s="2282">
        <v>0</v>
      </c>
      <c r="J227" s="1854" t="s">
        <v>1288</v>
      </c>
      <c r="K227" s="437"/>
    </row>
    <row r="228" spans="1:11" ht="38.25">
      <c r="A228" s="1855">
        <v>287605</v>
      </c>
      <c r="B228" s="1856">
        <v>105.175</v>
      </c>
      <c r="C228" s="1909" t="s">
        <v>1606</v>
      </c>
      <c r="D228" s="1910"/>
      <c r="E228" s="2282">
        <v>-213476350</v>
      </c>
      <c r="F228" s="2282">
        <f t="shared" si="7"/>
        <v>-213476350</v>
      </c>
      <c r="G228" s="2282">
        <v>0</v>
      </c>
      <c r="H228" s="2282">
        <v>0</v>
      </c>
      <c r="I228" s="2282">
        <v>0</v>
      </c>
      <c r="J228" s="1854" t="s">
        <v>1301</v>
      </c>
      <c r="K228" s="437"/>
    </row>
    <row r="229" spans="1:11" ht="102">
      <c r="A229" s="1855">
        <v>287224</v>
      </c>
      <c r="B229" s="1856">
        <v>145.03</v>
      </c>
      <c r="C229" s="1909" t="s">
        <v>1847</v>
      </c>
      <c r="D229" s="1910"/>
      <c r="E229" s="2282">
        <v>572328</v>
      </c>
      <c r="F229" s="2282">
        <f t="shared" si="7"/>
        <v>572328</v>
      </c>
      <c r="G229" s="2282">
        <v>0</v>
      </c>
      <c r="H229" s="2282">
        <v>0</v>
      </c>
      <c r="I229" s="2282">
        <v>0</v>
      </c>
      <c r="J229" s="1854" t="s">
        <v>1848</v>
      </c>
      <c r="K229" s="437"/>
    </row>
    <row r="230" spans="1:11" ht="52.5" customHeight="1">
      <c r="A230" s="1855">
        <v>287605</v>
      </c>
      <c r="B230" s="1856">
        <v>105.14100000000001</v>
      </c>
      <c r="C230" s="1909" t="s">
        <v>1607</v>
      </c>
      <c r="D230" s="1910"/>
      <c r="E230" s="2282">
        <v>-227986595</v>
      </c>
      <c r="F230" s="2282">
        <f t="shared" si="7"/>
        <v>-227986595</v>
      </c>
      <c r="G230" s="2282">
        <v>0</v>
      </c>
      <c r="H230" s="2282">
        <v>0</v>
      </c>
      <c r="I230" s="2282">
        <v>0</v>
      </c>
      <c r="J230" s="1854" t="s">
        <v>1293</v>
      </c>
      <c r="K230" s="437"/>
    </row>
    <row r="231" spans="1:11" ht="52.5" customHeight="1">
      <c r="A231" s="1855">
        <v>287605</v>
      </c>
      <c r="B231" s="1856">
        <v>105.11499999999999</v>
      </c>
      <c r="C231" s="1909" t="s">
        <v>1929</v>
      </c>
      <c r="D231" s="1910"/>
      <c r="E231" s="2282">
        <v>-91871232</v>
      </c>
      <c r="F231" s="2282">
        <f t="shared" si="7"/>
        <v>-91871232</v>
      </c>
      <c r="G231" s="2282">
        <v>0</v>
      </c>
      <c r="H231" s="2282">
        <v>0</v>
      </c>
      <c r="I231" s="2282">
        <v>0</v>
      </c>
      <c r="J231" s="1854" t="s">
        <v>1283</v>
      </c>
      <c r="K231" s="437"/>
    </row>
    <row r="232" spans="1:11" ht="63.75">
      <c r="A232" s="1855">
        <v>287605</v>
      </c>
      <c r="B232" s="1856">
        <v>105.139</v>
      </c>
      <c r="C232" s="1909" t="s">
        <v>1735</v>
      </c>
      <c r="D232" s="1910"/>
      <c r="E232" s="2282">
        <v>-79907752</v>
      </c>
      <c r="F232" s="2282">
        <f t="shared" si="7"/>
        <v>-79907752</v>
      </c>
      <c r="G232" s="2282">
        <v>0</v>
      </c>
      <c r="H232" s="2282">
        <v>0</v>
      </c>
      <c r="I232" s="2282">
        <v>0</v>
      </c>
      <c r="J232" s="1887" t="s">
        <v>1293</v>
      </c>
      <c r="K232" s="437"/>
    </row>
    <row r="233" spans="1:11" ht="38.25">
      <c r="A233" s="1855">
        <v>287928</v>
      </c>
      <c r="B233" s="1856">
        <v>425.31</v>
      </c>
      <c r="C233" s="1909" t="s">
        <v>1357</v>
      </c>
      <c r="D233" s="1910"/>
      <c r="E233" s="2282">
        <v>-8244188</v>
      </c>
      <c r="F233" s="2282">
        <f t="shared" si="7"/>
        <v>-8244188</v>
      </c>
      <c r="G233" s="2282">
        <v>0</v>
      </c>
      <c r="H233" s="2282">
        <v>0</v>
      </c>
      <c r="I233" s="2282">
        <v>0</v>
      </c>
      <c r="J233" s="1887" t="s">
        <v>1849</v>
      </c>
      <c r="K233" s="437"/>
    </row>
    <row r="234" spans="1:11" ht="12.75">
      <c r="A234" s="1855">
        <v>287605</v>
      </c>
      <c r="B234" s="1856" t="s">
        <v>565</v>
      </c>
      <c r="C234" s="1909" t="s">
        <v>1609</v>
      </c>
      <c r="D234" s="1910"/>
      <c r="E234" s="2282">
        <v>0</v>
      </c>
      <c r="F234" s="2282">
        <f t="shared" si="7"/>
        <v>0</v>
      </c>
      <c r="G234" s="2282">
        <v>0</v>
      </c>
      <c r="H234" s="2282">
        <v>0</v>
      </c>
      <c r="I234" s="2282">
        <v>0</v>
      </c>
      <c r="J234" s="1854" t="s">
        <v>1240</v>
      </c>
      <c r="K234" s="437"/>
    </row>
    <row r="235" spans="1:11" ht="12.75">
      <c r="A235" s="1855">
        <v>287605</v>
      </c>
      <c r="B235" s="1856">
        <v>105.125</v>
      </c>
      <c r="C235" s="1909" t="s">
        <v>579</v>
      </c>
      <c r="D235" s="1910"/>
      <c r="E235" s="2282">
        <v>-5809833122</v>
      </c>
      <c r="F235" s="2282">
        <f t="shared" si="7"/>
        <v>-5809833122</v>
      </c>
      <c r="G235" s="2282">
        <v>0</v>
      </c>
      <c r="H235" s="2282">
        <v>0</v>
      </c>
      <c r="I235" s="2282">
        <v>0</v>
      </c>
      <c r="J235" s="1854" t="s">
        <v>1287</v>
      </c>
      <c r="K235" s="437"/>
    </row>
    <row r="236" spans="1:11" ht="12.75">
      <c r="A236" s="1855">
        <v>287605</v>
      </c>
      <c r="B236" s="1856">
        <v>105.152</v>
      </c>
      <c r="C236" s="1909" t="s">
        <v>1742</v>
      </c>
      <c r="D236" s="1910"/>
      <c r="E236" s="2282">
        <v>-89080538</v>
      </c>
      <c r="F236" s="2282">
        <f t="shared" si="7"/>
        <v>-89080538</v>
      </c>
      <c r="G236" s="2282">
        <v>0</v>
      </c>
      <c r="H236" s="2282">
        <v>0</v>
      </c>
      <c r="I236" s="2282">
        <v>0</v>
      </c>
      <c r="J236" s="1854" t="s">
        <v>1298</v>
      </c>
      <c r="K236" s="437"/>
    </row>
    <row r="237" spans="1:11" ht="38.25">
      <c r="A237" s="1855">
        <v>287605</v>
      </c>
      <c r="B237" s="1856">
        <v>105.129</v>
      </c>
      <c r="C237" s="1909" t="s">
        <v>1610</v>
      </c>
      <c r="D237" s="1910"/>
      <c r="E237" s="2282">
        <v>21382921</v>
      </c>
      <c r="F237" s="2282">
        <v>0</v>
      </c>
      <c r="G237" s="2282">
        <v>0</v>
      </c>
      <c r="H237" s="2282">
        <f>+E237</f>
        <v>21382921</v>
      </c>
      <c r="I237" s="2282">
        <v>0</v>
      </c>
      <c r="J237" s="1854" t="s">
        <v>1310</v>
      </c>
      <c r="K237" s="437"/>
    </row>
    <row r="238" spans="1:11" ht="38.25">
      <c r="A238" s="1855">
        <v>287605</v>
      </c>
      <c r="B238" s="1856">
        <v>105.148</v>
      </c>
      <c r="C238" s="1909" t="s">
        <v>1611</v>
      </c>
      <c r="D238" s="1910"/>
      <c r="E238" s="2282">
        <v>-473124</v>
      </c>
      <c r="F238" s="2282">
        <f t="shared" ref="F238:F256" si="8">E238</f>
        <v>-473124</v>
      </c>
      <c r="G238" s="2282">
        <v>0</v>
      </c>
      <c r="H238" s="2282">
        <v>0</v>
      </c>
      <c r="I238" s="2282">
        <v>0</v>
      </c>
      <c r="J238" s="1854" t="s">
        <v>1297</v>
      </c>
      <c r="K238" s="437"/>
    </row>
    <row r="239" spans="1:11" ht="12.75">
      <c r="A239" s="1855">
        <v>287610</v>
      </c>
      <c r="B239" s="1856">
        <v>105.46</v>
      </c>
      <c r="C239" s="1909" t="s">
        <v>1612</v>
      </c>
      <c r="D239" s="1910"/>
      <c r="E239" s="2282">
        <v>-335205507</v>
      </c>
      <c r="F239" s="2282">
        <f t="shared" si="8"/>
        <v>-335205507</v>
      </c>
      <c r="G239" s="2282">
        <v>0</v>
      </c>
      <c r="H239" s="2282">
        <v>0</v>
      </c>
      <c r="I239" s="2282">
        <v>0</v>
      </c>
      <c r="J239" s="1854" t="s">
        <v>1280</v>
      </c>
      <c r="K239" s="437"/>
    </row>
    <row r="240" spans="1:11" ht="51" customHeight="1">
      <c r="A240" s="1855">
        <v>287740</v>
      </c>
      <c r="B240" s="1856">
        <v>110.2</v>
      </c>
      <c r="C240" s="1909" t="s">
        <v>1613</v>
      </c>
      <c r="D240" s="1910"/>
      <c r="E240" s="2282">
        <v>-1143834</v>
      </c>
      <c r="F240" s="2282">
        <f t="shared" si="8"/>
        <v>-1143834</v>
      </c>
      <c r="G240" s="2282">
        <v>0</v>
      </c>
      <c r="H240" s="2282">
        <v>0</v>
      </c>
      <c r="I240" s="2282">
        <v>0</v>
      </c>
      <c r="J240" s="1854" t="s">
        <v>1308</v>
      </c>
      <c r="K240" s="437"/>
    </row>
    <row r="241" spans="1:11" ht="51">
      <c r="A241" s="1855">
        <v>287605</v>
      </c>
      <c r="B241" s="1856">
        <v>320.20999999999998</v>
      </c>
      <c r="C241" s="1909" t="s">
        <v>586</v>
      </c>
      <c r="D241" s="1910"/>
      <c r="E241" s="2282">
        <v>-11916233</v>
      </c>
      <c r="F241" s="2282">
        <f t="shared" si="8"/>
        <v>-11916233</v>
      </c>
      <c r="G241" s="2282">
        <v>0</v>
      </c>
      <c r="H241" s="2282">
        <v>0</v>
      </c>
      <c r="I241" s="2282">
        <v>0</v>
      </c>
      <c r="J241" s="1854" t="s">
        <v>1303</v>
      </c>
      <c r="K241" s="437"/>
    </row>
    <row r="242" spans="1:11" ht="63.75">
      <c r="A242" s="1855">
        <v>287648</v>
      </c>
      <c r="B242" s="1856">
        <v>100.12</v>
      </c>
      <c r="C242" s="1909" t="s">
        <v>1614</v>
      </c>
      <c r="D242" s="1910"/>
      <c r="E242" s="2282">
        <v>-276749101</v>
      </c>
      <c r="F242" s="2282">
        <f t="shared" si="8"/>
        <v>-276749101</v>
      </c>
      <c r="G242" s="2282">
        <v>0</v>
      </c>
      <c r="H242" s="2282">
        <v>0</v>
      </c>
      <c r="I242" s="2282">
        <v>0</v>
      </c>
      <c r="J242" s="1854" t="s">
        <v>1283</v>
      </c>
      <c r="K242" s="437"/>
    </row>
    <row r="243" spans="1:11" ht="63.75">
      <c r="A243" s="1855">
        <v>287605</v>
      </c>
      <c r="B243" s="1856">
        <v>100.11</v>
      </c>
      <c r="C243" s="1909" t="s">
        <v>1850</v>
      </c>
      <c r="D243" s="1910"/>
      <c r="E243" s="2282">
        <v>-51074</v>
      </c>
      <c r="F243" s="2282">
        <f t="shared" si="8"/>
        <v>-51074</v>
      </c>
      <c r="G243" s="2282">
        <v>0</v>
      </c>
      <c r="H243" s="2282">
        <v>0</v>
      </c>
      <c r="I243" s="2282">
        <v>0</v>
      </c>
      <c r="J243" s="1854" t="s">
        <v>1851</v>
      </c>
      <c r="K243" s="437"/>
    </row>
    <row r="244" spans="1:11" ht="25.5">
      <c r="A244" s="1855">
        <v>287605</v>
      </c>
      <c r="B244" s="1856">
        <v>105.131</v>
      </c>
      <c r="C244" s="1909" t="s">
        <v>587</v>
      </c>
      <c r="D244" s="1910"/>
      <c r="E244" s="2282">
        <v>252151842</v>
      </c>
      <c r="F244" s="2282">
        <f t="shared" si="8"/>
        <v>252151842</v>
      </c>
      <c r="G244" s="2282">
        <v>0</v>
      </c>
      <c r="H244" s="2282">
        <v>0</v>
      </c>
      <c r="I244" s="2282">
        <v>0</v>
      </c>
      <c r="J244" s="1854" t="s">
        <v>1304</v>
      </c>
      <c r="K244" s="437"/>
    </row>
    <row r="245" spans="1:11" ht="51">
      <c r="A245" s="1855">
        <v>287605</v>
      </c>
      <c r="B245" s="1856">
        <v>105.14</v>
      </c>
      <c r="C245" s="1909" t="s">
        <v>581</v>
      </c>
      <c r="D245" s="1910"/>
      <c r="E245" s="2282">
        <v>31275532</v>
      </c>
      <c r="F245" s="2282">
        <f t="shared" si="8"/>
        <v>31275532</v>
      </c>
      <c r="G245" s="2282">
        <v>0</v>
      </c>
      <c r="H245" s="2282">
        <v>0</v>
      </c>
      <c r="I245" s="2282">
        <v>0</v>
      </c>
      <c r="J245" s="1854" t="s">
        <v>1292</v>
      </c>
      <c r="K245" s="437"/>
    </row>
    <row r="246" spans="1:11" ht="38.25">
      <c r="A246" s="1855">
        <v>287605</v>
      </c>
      <c r="B246" s="1856">
        <v>105.122</v>
      </c>
      <c r="C246" s="1909" t="s">
        <v>1615</v>
      </c>
      <c r="D246" s="1910"/>
      <c r="E246" s="2282">
        <v>-350541144</v>
      </c>
      <c r="F246" s="2282">
        <f t="shared" si="8"/>
        <v>-350541144</v>
      </c>
      <c r="G246" s="2282">
        <v>0</v>
      </c>
      <c r="H246" s="2282">
        <v>0</v>
      </c>
      <c r="I246" s="2282">
        <v>0</v>
      </c>
      <c r="J246" s="1854" t="s">
        <v>1285</v>
      </c>
      <c r="K246" s="437"/>
    </row>
    <row r="247" spans="1:11" ht="51">
      <c r="A247" s="1855">
        <v>287221</v>
      </c>
      <c r="B247" s="1856">
        <v>415.93299999999999</v>
      </c>
      <c r="C247" s="1909" t="s">
        <v>1852</v>
      </c>
      <c r="D247" s="1910"/>
      <c r="E247" s="2282">
        <v>-366853</v>
      </c>
      <c r="F247" s="2282">
        <f t="shared" si="8"/>
        <v>-366853</v>
      </c>
      <c r="G247" s="2282">
        <v>0</v>
      </c>
      <c r="H247" s="2282">
        <v>0</v>
      </c>
      <c r="I247" s="2282">
        <v>0</v>
      </c>
      <c r="J247" s="1854" t="s">
        <v>1853</v>
      </c>
      <c r="K247" s="437"/>
    </row>
    <row r="248" spans="1:11" s="1347" customFormat="1" ht="51">
      <c r="A248" s="1855">
        <v>287222</v>
      </c>
      <c r="B248" s="1856">
        <v>415.93400000000003</v>
      </c>
      <c r="C248" s="1909" t="s">
        <v>1854</v>
      </c>
      <c r="D248" s="1910"/>
      <c r="E248" s="2282">
        <v>-2559391</v>
      </c>
      <c r="F248" s="2282">
        <f t="shared" si="8"/>
        <v>-2559391</v>
      </c>
      <c r="G248" s="2282">
        <v>0</v>
      </c>
      <c r="H248" s="2282">
        <v>0</v>
      </c>
      <c r="I248" s="2282">
        <v>0</v>
      </c>
      <c r="J248" s="1854" t="s">
        <v>1855</v>
      </c>
    </row>
    <row r="249" spans="1:11" ht="51">
      <c r="A249" s="1855">
        <v>287223</v>
      </c>
      <c r="B249" s="1856">
        <v>415.935</v>
      </c>
      <c r="C249" s="1909" t="s">
        <v>1856</v>
      </c>
      <c r="D249" s="1910"/>
      <c r="E249" s="2282">
        <v>-933685</v>
      </c>
      <c r="F249" s="2282">
        <f t="shared" si="8"/>
        <v>-933685</v>
      </c>
      <c r="G249" s="2282">
        <v>0</v>
      </c>
      <c r="H249" s="2282">
        <v>0</v>
      </c>
      <c r="I249" s="2282">
        <v>0</v>
      </c>
      <c r="J249" s="1854" t="s">
        <v>1857</v>
      </c>
      <c r="K249" s="437"/>
    </row>
    <row r="250" spans="1:11" ht="12.75">
      <c r="A250" s="1855">
        <v>287313</v>
      </c>
      <c r="B250" s="1856">
        <v>105.45</v>
      </c>
      <c r="C250" s="1909" t="s">
        <v>1616</v>
      </c>
      <c r="D250" s="1910"/>
      <c r="E250" s="2282">
        <v>335205507</v>
      </c>
      <c r="F250" s="2282">
        <f t="shared" si="8"/>
        <v>335205507</v>
      </c>
      <c r="G250" s="2282">
        <v>0</v>
      </c>
      <c r="H250" s="2282">
        <v>0</v>
      </c>
      <c r="I250" s="2282">
        <v>0</v>
      </c>
      <c r="J250" s="1854" t="s">
        <v>1280</v>
      </c>
      <c r="K250" s="437"/>
    </row>
    <row r="251" spans="1:11" ht="25.5">
      <c r="A251" s="1855">
        <v>287605</v>
      </c>
      <c r="B251" s="1856">
        <v>105.13500000000001</v>
      </c>
      <c r="C251" s="1909" t="s">
        <v>1289</v>
      </c>
      <c r="D251" s="1910"/>
      <c r="E251" s="2282">
        <v>248818</v>
      </c>
      <c r="F251" s="2282">
        <f t="shared" si="8"/>
        <v>248818</v>
      </c>
      <c r="G251" s="2282">
        <v>0</v>
      </c>
      <c r="H251" s="2282">
        <v>0</v>
      </c>
      <c r="I251" s="2282">
        <v>0</v>
      </c>
      <c r="J251" s="1854" t="s">
        <v>1290</v>
      </c>
      <c r="K251" s="437"/>
    </row>
    <row r="252" spans="1:11" ht="89.25">
      <c r="A252" s="1855">
        <v>287605</v>
      </c>
      <c r="B252" s="1856">
        <v>105.123</v>
      </c>
      <c r="C252" s="1909" t="s">
        <v>578</v>
      </c>
      <c r="D252" s="1910"/>
      <c r="E252" s="2282">
        <v>-229336182</v>
      </c>
      <c r="F252" s="2282">
        <f t="shared" si="8"/>
        <v>-229336182</v>
      </c>
      <c r="G252" s="2282">
        <v>0</v>
      </c>
      <c r="H252" s="2282">
        <v>0</v>
      </c>
      <c r="I252" s="2282">
        <v>0</v>
      </c>
      <c r="J252" s="1854" t="s">
        <v>1286</v>
      </c>
      <c r="K252" s="437"/>
    </row>
    <row r="253" spans="1:11" ht="51">
      <c r="A253" s="1855">
        <v>287605</v>
      </c>
      <c r="B253" s="1856">
        <v>105.116</v>
      </c>
      <c r="C253" s="1909" t="s">
        <v>1858</v>
      </c>
      <c r="D253" s="1910"/>
      <c r="E253" s="2282">
        <v>-2190</v>
      </c>
      <c r="F253" s="2282">
        <f t="shared" si="8"/>
        <v>-2190</v>
      </c>
      <c r="G253" s="2282">
        <v>0</v>
      </c>
      <c r="H253" s="2282">
        <v>0</v>
      </c>
      <c r="I253" s="2282">
        <v>0</v>
      </c>
      <c r="J253" s="1854" t="s">
        <v>1859</v>
      </c>
      <c r="K253" s="437"/>
    </row>
    <row r="254" spans="1:11" ht="25.5">
      <c r="A254" s="1855">
        <v>287771</v>
      </c>
      <c r="B254" s="1856">
        <v>110.205</v>
      </c>
      <c r="C254" s="1909" t="s">
        <v>590</v>
      </c>
      <c r="D254" s="1910"/>
      <c r="E254" s="2282">
        <v>321959</v>
      </c>
      <c r="F254" s="2282">
        <f t="shared" si="8"/>
        <v>321959</v>
      </c>
      <c r="G254" s="2282">
        <v>0</v>
      </c>
      <c r="H254" s="2282">
        <v>0</v>
      </c>
      <c r="I254" s="2282">
        <v>0</v>
      </c>
      <c r="J254" s="1854" t="s">
        <v>1308</v>
      </c>
      <c r="K254" s="437"/>
    </row>
    <row r="255" spans="1:11" s="1347" customFormat="1" ht="12.75">
      <c r="A255" s="1855">
        <v>287301</v>
      </c>
      <c r="B255" s="1856">
        <v>105.471</v>
      </c>
      <c r="C255" s="1909" t="s">
        <v>1617</v>
      </c>
      <c r="D255" s="1910"/>
      <c r="E255" s="2282">
        <v>13399273</v>
      </c>
      <c r="F255" s="2282">
        <f t="shared" si="8"/>
        <v>13399273</v>
      </c>
      <c r="G255" s="2282">
        <v>0</v>
      </c>
      <c r="H255" s="2282">
        <v>0</v>
      </c>
      <c r="I255" s="2282">
        <v>0</v>
      </c>
      <c r="J255" s="1854" t="s">
        <v>1911</v>
      </c>
    </row>
    <row r="256" spans="1:11" s="1347" customFormat="1" ht="15">
      <c r="A256" s="1888"/>
      <c r="B256" s="1888" t="s">
        <v>439</v>
      </c>
      <c r="C256" s="1904"/>
      <c r="D256" s="1906"/>
      <c r="E256" s="1885">
        <v>1</v>
      </c>
      <c r="F256" s="1885">
        <f t="shared" si="8"/>
        <v>1</v>
      </c>
      <c r="G256" s="1885"/>
      <c r="H256" s="1885"/>
      <c r="I256" s="1885"/>
      <c r="J256" s="1849"/>
    </row>
    <row r="257" spans="1:11" ht="12.75">
      <c r="A257" s="1912" t="s">
        <v>323</v>
      </c>
      <c r="B257" s="1913"/>
      <c r="C257" s="1891"/>
      <c r="D257" s="1892"/>
      <c r="E257" s="1893">
        <f>SUM(E208:E256)</f>
        <v>-4244780923</v>
      </c>
      <c r="F257" s="1893">
        <f>SUM(F208:F256)</f>
        <v>-3103392896</v>
      </c>
      <c r="G257" s="1893">
        <f>SUM(G208:G255)</f>
        <v>-928728614</v>
      </c>
      <c r="H257" s="1893">
        <f>SUM(H208:H255)</f>
        <v>16801252</v>
      </c>
      <c r="I257" s="1893">
        <f>SUM(I208:I255)</f>
        <v>-229460665</v>
      </c>
      <c r="J257" s="1844"/>
      <c r="K257" s="437"/>
    </row>
    <row r="258" spans="1:11" ht="12.75">
      <c r="A258" s="1914" t="s">
        <v>198</v>
      </c>
      <c r="B258" s="1915"/>
      <c r="C258" s="1891"/>
      <c r="D258" s="1892"/>
      <c r="E258" s="1916">
        <f>+E242</f>
        <v>-276749101</v>
      </c>
      <c r="F258" s="1916">
        <f t="shared" ref="F258:I258" si="9">+F242</f>
        <v>-276749101</v>
      </c>
      <c r="G258" s="1916">
        <f t="shared" si="9"/>
        <v>0</v>
      </c>
      <c r="H258" s="1916">
        <f t="shared" si="9"/>
        <v>0</v>
      </c>
      <c r="I258" s="1916">
        <f t="shared" si="9"/>
        <v>0</v>
      </c>
      <c r="J258" s="1869"/>
      <c r="K258" s="437"/>
    </row>
    <row r="259" spans="1:11" ht="12.75">
      <c r="A259" s="1917" t="s">
        <v>199</v>
      </c>
      <c r="B259" s="1918"/>
      <c r="C259" s="1898"/>
      <c r="D259" s="1919"/>
      <c r="E259" s="1916">
        <v>0</v>
      </c>
      <c r="F259" s="1916">
        <v>0</v>
      </c>
      <c r="G259" s="1916">
        <v>0</v>
      </c>
      <c r="H259" s="1916">
        <v>0</v>
      </c>
      <c r="I259" s="1916">
        <v>0</v>
      </c>
      <c r="J259" s="1869"/>
      <c r="K259" s="437"/>
    </row>
    <row r="260" spans="1:11" ht="12.75">
      <c r="A260" s="1894" t="s">
        <v>282</v>
      </c>
      <c r="B260" s="1895"/>
      <c r="C260" s="1891"/>
      <c r="D260" s="1892"/>
      <c r="E260" s="1893">
        <f>+E257-E258-E259</f>
        <v>-3968031822</v>
      </c>
      <c r="F260" s="1893">
        <f>+F257-F258-F259</f>
        <v>-2826643795</v>
      </c>
      <c r="G260" s="1893">
        <f>+G257-G258-G259</f>
        <v>-928728614</v>
      </c>
      <c r="H260" s="1893">
        <f>+H257-H258-H259</f>
        <v>16801252</v>
      </c>
      <c r="I260" s="1893">
        <f>+I257-I258-I259</f>
        <v>-229460665</v>
      </c>
      <c r="J260" s="1869"/>
      <c r="K260" s="437"/>
    </row>
    <row r="261" spans="1:11" ht="15">
      <c r="A261" s="1379"/>
      <c r="B261" s="1379"/>
      <c r="C261" s="1331"/>
      <c r="D261" s="1325"/>
      <c r="E261" s="1920"/>
      <c r="F261" s="1920"/>
      <c r="G261" s="1326"/>
      <c r="H261" s="1326"/>
      <c r="I261" s="1359"/>
      <c r="J261" s="437"/>
      <c r="K261" s="437"/>
    </row>
    <row r="262" spans="1:11">
      <c r="A262" s="1379"/>
      <c r="B262" s="1379"/>
      <c r="C262" s="1897" t="s">
        <v>70</v>
      </c>
      <c r="D262" s="1898"/>
      <c r="E262" s="1899"/>
      <c r="F262" s="1899"/>
      <c r="G262" s="1900"/>
      <c r="H262" s="1901"/>
      <c r="I262" s="1359"/>
      <c r="J262" s="437"/>
      <c r="K262" s="437"/>
    </row>
    <row r="263" spans="1:11" ht="25.5">
      <c r="A263" s="1379"/>
      <c r="B263" s="1379"/>
      <c r="C263" s="2268" t="s">
        <v>132</v>
      </c>
      <c r="D263" s="2269"/>
      <c r="E263" s="2269"/>
      <c r="F263" s="2269"/>
      <c r="G263" s="2269"/>
      <c r="H263" s="2270"/>
      <c r="I263" s="1359"/>
      <c r="J263" s="437"/>
      <c r="K263" s="437"/>
    </row>
    <row r="264" spans="1:11">
      <c r="A264" s="1379"/>
      <c r="B264" s="1379"/>
      <c r="C264" s="1318" t="s">
        <v>133</v>
      </c>
      <c r="D264" s="1313"/>
      <c r="E264" s="1323"/>
      <c r="F264" s="1323"/>
      <c r="G264" s="1315"/>
      <c r="H264" s="1319"/>
      <c r="I264" s="1359"/>
      <c r="J264" s="437"/>
      <c r="K264" s="437"/>
    </row>
    <row r="265" spans="1:11">
      <c r="A265" s="1379"/>
      <c r="B265" s="1379"/>
      <c r="C265" s="1318" t="s">
        <v>262</v>
      </c>
      <c r="D265" s="1313"/>
      <c r="E265" s="1323"/>
      <c r="F265" s="1323"/>
      <c r="G265" s="1315"/>
      <c r="H265" s="1319"/>
      <c r="I265" s="1359"/>
      <c r="J265" s="437"/>
      <c r="K265" s="437"/>
    </row>
    <row r="266" spans="1:11">
      <c r="A266" s="1379"/>
      <c r="B266" s="1379"/>
      <c r="C266" s="1318" t="s">
        <v>264</v>
      </c>
      <c r="D266" s="1313"/>
      <c r="E266" s="1323"/>
      <c r="F266" s="1323"/>
      <c r="G266" s="1315"/>
      <c r="H266" s="1319"/>
      <c r="I266" s="1359"/>
      <c r="J266" s="437"/>
      <c r="K266" s="437"/>
    </row>
    <row r="267" spans="1:11" ht="24.75" customHeight="1">
      <c r="A267" s="1379"/>
      <c r="B267" s="1379"/>
      <c r="C267" s="2552" t="s">
        <v>18</v>
      </c>
      <c r="D267" s="2553"/>
      <c r="E267" s="2553"/>
      <c r="F267" s="2553"/>
      <c r="G267" s="2553"/>
      <c r="H267" s="2554"/>
      <c r="I267" s="1383"/>
      <c r="J267" s="437"/>
      <c r="K267" s="437"/>
    </row>
    <row r="268" spans="1:11" ht="15">
      <c r="A268" s="1379"/>
      <c r="B268" s="1379"/>
      <c r="C268" s="1381"/>
      <c r="D268" s="1313"/>
      <c r="E268" s="1323"/>
      <c r="F268" s="1323"/>
      <c r="G268" s="1315"/>
      <c r="H268" s="1315"/>
      <c r="I268" s="1359"/>
      <c r="J268" s="437"/>
      <c r="K268" s="437"/>
    </row>
    <row r="269" spans="1:11" ht="18">
      <c r="A269" s="1382"/>
      <c r="B269" s="1382"/>
      <c r="C269" s="1383"/>
      <c r="D269" s="1384"/>
      <c r="E269" s="1384"/>
      <c r="F269" s="1384"/>
      <c r="G269" s="1384"/>
      <c r="H269" s="1384"/>
      <c r="I269" s="1383"/>
      <c r="J269" s="437"/>
      <c r="K269" s="437"/>
    </row>
    <row r="270" spans="1:11" ht="15">
      <c r="A270" s="1385" t="s">
        <v>365</v>
      </c>
      <c r="B270" s="1385"/>
      <c r="C270" s="1386"/>
      <c r="D270" s="1315"/>
      <c r="E270" s="1315"/>
      <c r="F270" s="1315"/>
      <c r="G270" s="1315"/>
      <c r="H270" s="1315"/>
      <c r="I270" s="1387"/>
      <c r="J270" s="437"/>
      <c r="K270" s="437"/>
    </row>
    <row r="271" spans="1:11" ht="15">
      <c r="A271" s="1388"/>
      <c r="B271" s="1388"/>
      <c r="C271" s="1388"/>
      <c r="D271" s="1321"/>
      <c r="E271" s="1321"/>
      <c r="F271" s="1321"/>
      <c r="G271" s="1321"/>
      <c r="H271" s="1321"/>
      <c r="I271" s="1388"/>
      <c r="J271" s="437"/>
      <c r="K271" s="437"/>
    </row>
    <row r="272" spans="1:11">
      <c r="A272" s="1369" t="s">
        <v>1806</v>
      </c>
      <c r="B272" s="1379"/>
      <c r="C272" s="1380"/>
      <c r="D272" s="1313"/>
      <c r="E272" s="1323"/>
      <c r="F272" s="1323"/>
      <c r="G272" s="1323"/>
      <c r="H272" s="1921"/>
      <c r="I272" s="1359"/>
      <c r="J272" s="437"/>
      <c r="K272" s="437"/>
    </row>
    <row r="273" spans="1:11" ht="15">
      <c r="A273" s="1307" t="s">
        <v>665</v>
      </c>
      <c r="B273" s="1379"/>
      <c r="C273" s="1380"/>
      <c r="D273" s="1313"/>
      <c r="E273" s="1323"/>
      <c r="F273" s="1323"/>
      <c r="G273" s="1323"/>
      <c r="H273" s="1921"/>
      <c r="I273" s="1359"/>
      <c r="J273" s="437"/>
      <c r="K273" s="437"/>
    </row>
    <row r="274" spans="1:11">
      <c r="A274" s="1379"/>
      <c r="B274" s="1379"/>
      <c r="C274" s="1343" t="s">
        <v>227</v>
      </c>
      <c r="D274" s="1344"/>
      <c r="E274" s="1343" t="s">
        <v>283</v>
      </c>
      <c r="F274" s="1343" t="s">
        <v>215</v>
      </c>
      <c r="G274" s="1343" t="s">
        <v>228</v>
      </c>
      <c r="H274" s="1343" t="s">
        <v>226</v>
      </c>
      <c r="I274" s="1343" t="s">
        <v>107</v>
      </c>
      <c r="J274" s="1343" t="s">
        <v>229</v>
      </c>
      <c r="K274" s="437"/>
    </row>
    <row r="275" spans="1:11" s="437" customFormat="1">
      <c r="A275" s="1379"/>
      <c r="B275" s="1379"/>
      <c r="C275" s="1380"/>
      <c r="E275" s="1834"/>
      <c r="F275" s="830" t="s">
        <v>257</v>
      </c>
      <c r="G275" s="1834"/>
      <c r="H275" s="830"/>
      <c r="I275" s="830"/>
      <c r="J275" s="1296"/>
    </row>
    <row r="276" spans="1:11" s="437" customFormat="1" ht="15">
      <c r="A276" s="1307"/>
      <c r="B276" s="1379"/>
      <c r="C276" s="1331"/>
      <c r="E276" s="830" t="s">
        <v>282</v>
      </c>
      <c r="F276" s="830" t="s">
        <v>258</v>
      </c>
      <c r="G276" s="830" t="s">
        <v>57</v>
      </c>
      <c r="H276" s="830" t="s">
        <v>61</v>
      </c>
      <c r="I276" s="830" t="s">
        <v>63</v>
      </c>
      <c r="J276" s="1296"/>
    </row>
    <row r="277" spans="1:11" s="437" customFormat="1" ht="15">
      <c r="A277" s="1379"/>
      <c r="B277" s="1379"/>
      <c r="C277" s="1380"/>
      <c r="E277" s="830"/>
      <c r="F277" s="830" t="s">
        <v>62</v>
      </c>
      <c r="G277" s="830" t="s">
        <v>62</v>
      </c>
      <c r="H277" s="830" t="s">
        <v>62</v>
      </c>
      <c r="I277" s="830" t="s">
        <v>62</v>
      </c>
      <c r="J277" s="1297" t="s">
        <v>208</v>
      </c>
    </row>
    <row r="278" spans="1:11" ht="15">
      <c r="A278" s="1903" t="s">
        <v>256</v>
      </c>
      <c r="B278" s="1904"/>
      <c r="C278" s="1904"/>
      <c r="D278" s="1922"/>
      <c r="E278" s="1923"/>
      <c r="F278" s="1923"/>
      <c r="G278" s="1923"/>
      <c r="H278" s="1923"/>
      <c r="I278" s="1923"/>
      <c r="J278" s="1908"/>
      <c r="K278" s="437"/>
    </row>
    <row r="279" spans="1:11" ht="15">
      <c r="A279" s="1846" t="s">
        <v>1618</v>
      </c>
      <c r="B279" s="2178"/>
      <c r="C279" s="1904"/>
      <c r="D279" s="1922"/>
      <c r="E279" s="1923"/>
      <c r="F279" s="1923"/>
      <c r="G279" s="1923"/>
      <c r="H279" s="1923"/>
      <c r="I279" s="1923"/>
      <c r="J279" s="1908"/>
      <c r="K279" s="437"/>
    </row>
    <row r="280" spans="1:11" ht="38.25">
      <c r="A280" s="1855">
        <v>287847</v>
      </c>
      <c r="B280" s="1856">
        <v>415.423</v>
      </c>
      <c r="C280" s="1909" t="s">
        <v>1860</v>
      </c>
      <c r="D280" s="1910"/>
      <c r="E280" s="2282">
        <v>37233105</v>
      </c>
      <c r="F280" s="2282">
        <f>E280</f>
        <v>37233105</v>
      </c>
      <c r="G280" s="2282">
        <v>0</v>
      </c>
      <c r="H280" s="2282">
        <v>0</v>
      </c>
      <c r="I280" s="2282">
        <v>0</v>
      </c>
      <c r="J280" s="1854" t="s">
        <v>1933</v>
      </c>
      <c r="K280" s="437"/>
    </row>
    <row r="281" spans="1:11" ht="25.5">
      <c r="A281" s="1855">
        <v>287849</v>
      </c>
      <c r="B281" s="1856">
        <v>415.42399999999998</v>
      </c>
      <c r="C281" s="1909" t="s">
        <v>1861</v>
      </c>
      <c r="D281" s="1910"/>
      <c r="E281" s="2282">
        <v>11602009</v>
      </c>
      <c r="F281" s="2282">
        <f>E281</f>
        <v>11602009</v>
      </c>
      <c r="G281" s="2282">
        <v>0</v>
      </c>
      <c r="H281" s="2282">
        <v>0</v>
      </c>
      <c r="I281" s="2282">
        <v>0</v>
      </c>
      <c r="J281" s="1854" t="s">
        <v>1934</v>
      </c>
      <c r="K281" s="437"/>
    </row>
    <row r="282" spans="1:11" ht="25.5">
      <c r="A282" s="1855">
        <v>287642</v>
      </c>
      <c r="B282" s="1856">
        <v>105.401</v>
      </c>
      <c r="C282" s="1909" t="s">
        <v>1619</v>
      </c>
      <c r="D282" s="1910"/>
      <c r="E282" s="2282">
        <v>-19485662</v>
      </c>
      <c r="F282" s="2282">
        <f t="shared" ref="F282:F337" si="10">E282</f>
        <v>-19485662</v>
      </c>
      <c r="G282" s="2282">
        <v>0</v>
      </c>
      <c r="H282" s="2282">
        <v>0</v>
      </c>
      <c r="I282" s="2282">
        <v>0</v>
      </c>
      <c r="J282" s="1854" t="s">
        <v>1325</v>
      </c>
      <c r="K282" s="437"/>
    </row>
    <row r="283" spans="1:11" ht="51">
      <c r="A283" s="1855">
        <v>137332</v>
      </c>
      <c r="B283" s="1856">
        <v>415.69900000000001</v>
      </c>
      <c r="C283" s="1909" t="s">
        <v>1862</v>
      </c>
      <c r="D283" s="1910"/>
      <c r="E283" s="2282">
        <v>-557322</v>
      </c>
      <c r="F283" s="2282">
        <f>E283</f>
        <v>-557322</v>
      </c>
      <c r="G283" s="2282">
        <v>0</v>
      </c>
      <c r="H283" s="2282">
        <v>0</v>
      </c>
      <c r="I283" s="2282">
        <v>0</v>
      </c>
      <c r="J283" s="1854" t="s">
        <v>1935</v>
      </c>
      <c r="K283" s="437"/>
    </row>
    <row r="284" spans="1:11" ht="51">
      <c r="A284" s="1855">
        <v>137337</v>
      </c>
      <c r="B284" s="1856">
        <v>715.721</v>
      </c>
      <c r="C284" s="1909" t="s">
        <v>1863</v>
      </c>
      <c r="D284" s="1910"/>
      <c r="E284" s="2282">
        <v>-120288</v>
      </c>
      <c r="F284" s="2282">
        <f>E284</f>
        <v>-120288</v>
      </c>
      <c r="G284" s="2282">
        <v>0</v>
      </c>
      <c r="H284" s="2282">
        <v>0</v>
      </c>
      <c r="I284" s="2282">
        <v>0</v>
      </c>
      <c r="J284" s="1854" t="s">
        <v>1936</v>
      </c>
      <c r="K284" s="437"/>
    </row>
    <row r="285" spans="1:11" ht="38.25">
      <c r="A285" s="1855">
        <v>287984</v>
      </c>
      <c r="B285" s="1856">
        <v>415.923</v>
      </c>
      <c r="C285" s="1909" t="s">
        <v>1864</v>
      </c>
      <c r="D285" s="1910"/>
      <c r="E285" s="2282">
        <v>-799389</v>
      </c>
      <c r="F285" s="2282">
        <f>E285</f>
        <v>-799389</v>
      </c>
      <c r="G285" s="2282">
        <v>0</v>
      </c>
      <c r="H285" s="2282">
        <v>0</v>
      </c>
      <c r="I285" s="2282">
        <v>0</v>
      </c>
      <c r="J285" s="1854" t="s">
        <v>1865</v>
      </c>
      <c r="K285" s="437"/>
    </row>
    <row r="286" spans="1:11" ht="38.25">
      <c r="A286" s="1855">
        <v>287985</v>
      </c>
      <c r="B286" s="1856">
        <v>415.92399999999998</v>
      </c>
      <c r="C286" s="1909" t="s">
        <v>1866</v>
      </c>
      <c r="D286" s="1910"/>
      <c r="E286" s="2282">
        <v>-5540548</v>
      </c>
      <c r="F286" s="2282">
        <f>E286</f>
        <v>-5540548</v>
      </c>
      <c r="G286" s="2282">
        <v>0</v>
      </c>
      <c r="H286" s="2282">
        <v>0</v>
      </c>
      <c r="I286" s="2282">
        <v>0</v>
      </c>
      <c r="J286" s="1854" t="s">
        <v>1867</v>
      </c>
      <c r="K286" s="437"/>
    </row>
    <row r="287" spans="1:11" ht="38.25">
      <c r="A287" s="1855">
        <v>287986</v>
      </c>
      <c r="B287" s="1856">
        <v>415.92500000000001</v>
      </c>
      <c r="C287" s="1909" t="s">
        <v>1868</v>
      </c>
      <c r="D287" s="1910"/>
      <c r="E287" s="2282">
        <v>-2022666</v>
      </c>
      <c r="F287" s="2282">
        <f>E287</f>
        <v>-2022666</v>
      </c>
      <c r="G287" s="2282">
        <v>0</v>
      </c>
      <c r="H287" s="2282">
        <v>0</v>
      </c>
      <c r="I287" s="2282">
        <v>0</v>
      </c>
      <c r="J287" s="1854" t="s">
        <v>1869</v>
      </c>
      <c r="K287" s="437"/>
    </row>
    <row r="288" spans="1:11" ht="38.25">
      <c r="A288" s="1855">
        <v>287760</v>
      </c>
      <c r="B288" s="1856">
        <v>415.89600000000002</v>
      </c>
      <c r="C288" s="1909" t="s">
        <v>1620</v>
      </c>
      <c r="D288" s="1910"/>
      <c r="E288" s="2282">
        <v>-1138530</v>
      </c>
      <c r="F288" s="2282">
        <f t="shared" si="10"/>
        <v>-1138530</v>
      </c>
      <c r="G288" s="2282">
        <v>0</v>
      </c>
      <c r="H288" s="2282">
        <v>0</v>
      </c>
      <c r="I288" s="2282">
        <v>0</v>
      </c>
      <c r="J288" s="1854" t="s">
        <v>1330</v>
      </c>
      <c r="K288" s="437"/>
    </row>
    <row r="289" spans="1:11" ht="25.5">
      <c r="A289" s="1855">
        <v>287635</v>
      </c>
      <c r="B289" s="1856">
        <v>415.5</v>
      </c>
      <c r="C289" s="1909" t="s">
        <v>1621</v>
      </c>
      <c r="D289" s="1910"/>
      <c r="E289" s="2282">
        <v>-1100426</v>
      </c>
      <c r="F289" s="2282">
        <f t="shared" si="10"/>
        <v>-1100426</v>
      </c>
      <c r="G289" s="2282">
        <v>0</v>
      </c>
      <c r="H289" s="2282">
        <v>0</v>
      </c>
      <c r="I289" s="2282">
        <v>0</v>
      </c>
      <c r="J289" s="1854" t="s">
        <v>1322</v>
      </c>
      <c r="K289" s="437"/>
    </row>
    <row r="290" spans="1:11" ht="38.25">
      <c r="A290" s="1855">
        <v>287947</v>
      </c>
      <c r="B290" s="1856">
        <v>415.50099999999998</v>
      </c>
      <c r="C290" s="1909" t="s">
        <v>1622</v>
      </c>
      <c r="D290" s="1910"/>
      <c r="E290" s="2282">
        <v>32327</v>
      </c>
      <c r="F290" s="2282">
        <f t="shared" si="10"/>
        <v>32327</v>
      </c>
      <c r="G290" s="2282">
        <v>0</v>
      </c>
      <c r="H290" s="2282">
        <v>0</v>
      </c>
      <c r="I290" s="2282">
        <v>0</v>
      </c>
      <c r="J290" s="1854" t="s">
        <v>1346</v>
      </c>
      <c r="K290" s="437"/>
    </row>
    <row r="291" spans="1:11" ht="38.25">
      <c r="A291" s="1855">
        <v>287948</v>
      </c>
      <c r="B291" s="1856">
        <v>415.50200000000001</v>
      </c>
      <c r="C291" s="1909" t="s">
        <v>1623</v>
      </c>
      <c r="D291" s="1910"/>
      <c r="E291" s="2282">
        <v>52758</v>
      </c>
      <c r="F291" s="2282">
        <f t="shared" si="10"/>
        <v>52758</v>
      </c>
      <c r="G291" s="2282">
        <v>0</v>
      </c>
      <c r="H291" s="2282">
        <v>0</v>
      </c>
      <c r="I291" s="2282">
        <v>0</v>
      </c>
      <c r="J291" s="1854" t="s">
        <v>1347</v>
      </c>
      <c r="K291" s="437"/>
    </row>
    <row r="292" spans="1:11" ht="38.25">
      <c r="A292" s="1855">
        <v>287949</v>
      </c>
      <c r="B292" s="1856">
        <v>415.50299999999999</v>
      </c>
      <c r="C292" s="1909" t="s">
        <v>1624</v>
      </c>
      <c r="D292" s="1910"/>
      <c r="E292" s="2282">
        <v>95105</v>
      </c>
      <c r="F292" s="2282">
        <f t="shared" si="10"/>
        <v>95105</v>
      </c>
      <c r="G292" s="2282">
        <v>0</v>
      </c>
      <c r="H292" s="2282">
        <v>0</v>
      </c>
      <c r="I292" s="2282">
        <v>0</v>
      </c>
      <c r="J292" s="1854" t="s">
        <v>1348</v>
      </c>
      <c r="K292" s="437"/>
    </row>
    <row r="293" spans="1:11" ht="38.25">
      <c r="A293" s="1855">
        <v>287581</v>
      </c>
      <c r="B293" s="1856">
        <v>415.82400000000001</v>
      </c>
      <c r="C293" s="1909" t="s">
        <v>1625</v>
      </c>
      <c r="D293" s="1910"/>
      <c r="E293" s="2282">
        <v>139539</v>
      </c>
      <c r="F293" s="2282">
        <f t="shared" si="10"/>
        <v>139539</v>
      </c>
      <c r="G293" s="2282">
        <v>0</v>
      </c>
      <c r="H293" s="2282">
        <v>0</v>
      </c>
      <c r="I293" s="2282">
        <v>0</v>
      </c>
      <c r="J293" s="1854" t="s">
        <v>1315</v>
      </c>
      <c r="K293" s="437"/>
    </row>
    <row r="294" spans="1:11" ht="38.25">
      <c r="A294" s="1855">
        <v>287577</v>
      </c>
      <c r="B294" s="1856">
        <v>415.82</v>
      </c>
      <c r="C294" s="1909" t="s">
        <v>1626</v>
      </c>
      <c r="D294" s="1910"/>
      <c r="E294" s="2282">
        <v>1540253</v>
      </c>
      <c r="F294" s="2282">
        <f t="shared" si="10"/>
        <v>1540253</v>
      </c>
      <c r="G294" s="2282">
        <v>0</v>
      </c>
      <c r="H294" s="2282">
        <v>0</v>
      </c>
      <c r="I294" s="2282">
        <v>0</v>
      </c>
      <c r="J294" s="1854" t="s">
        <v>1313</v>
      </c>
      <c r="K294" s="437"/>
    </row>
    <row r="295" spans="1:11" ht="25.5">
      <c r="A295" s="1855">
        <v>137201</v>
      </c>
      <c r="B295" s="1856">
        <v>415.86900000000003</v>
      </c>
      <c r="C295" s="1909" t="s">
        <v>1627</v>
      </c>
      <c r="D295" s="1910"/>
      <c r="E295" s="2282">
        <v>-1292091</v>
      </c>
      <c r="F295" s="2282">
        <f t="shared" si="10"/>
        <v>-1292091</v>
      </c>
      <c r="G295" s="2282">
        <v>0</v>
      </c>
      <c r="H295" s="2282">
        <v>0</v>
      </c>
      <c r="I295" s="2282">
        <v>0</v>
      </c>
      <c r="J295" s="2275" t="s">
        <v>1628</v>
      </c>
      <c r="K295" s="437"/>
    </row>
    <row r="296" spans="1:11" ht="25.5">
      <c r="A296" s="1855">
        <v>287781</v>
      </c>
      <c r="B296" s="1856">
        <v>415.87</v>
      </c>
      <c r="C296" s="1909" t="s">
        <v>1629</v>
      </c>
      <c r="D296" s="1910"/>
      <c r="E296" s="2282">
        <v>-1400430</v>
      </c>
      <c r="F296" s="2282">
        <f t="shared" si="10"/>
        <v>-1400430</v>
      </c>
      <c r="G296" s="2282">
        <v>0</v>
      </c>
      <c r="H296" s="2282">
        <v>0</v>
      </c>
      <c r="I296" s="2282">
        <v>0</v>
      </c>
      <c r="J296" s="2275" t="s">
        <v>1630</v>
      </c>
      <c r="K296" s="437"/>
    </row>
    <row r="297" spans="1:11" ht="24.75" customHeight="1">
      <c r="A297" s="1855">
        <v>137302</v>
      </c>
      <c r="B297" s="1856">
        <v>415.88600000000002</v>
      </c>
      <c r="C297" s="1909" t="s">
        <v>1631</v>
      </c>
      <c r="D297" s="1910"/>
      <c r="E297" s="2282">
        <v>-7514841</v>
      </c>
      <c r="F297" s="2282">
        <f t="shared" si="10"/>
        <v>-7514841</v>
      </c>
      <c r="G297" s="2282">
        <v>0</v>
      </c>
      <c r="H297" s="2282">
        <v>0</v>
      </c>
      <c r="I297" s="2282">
        <v>0</v>
      </c>
      <c r="J297" s="2275" t="s">
        <v>1632</v>
      </c>
      <c r="K297" s="437"/>
    </row>
    <row r="298" spans="1:11" ht="24.75" customHeight="1">
      <c r="A298" s="1855">
        <v>287596</v>
      </c>
      <c r="B298" s="1856">
        <v>415.892</v>
      </c>
      <c r="C298" s="1909" t="s">
        <v>1633</v>
      </c>
      <c r="D298" s="1910"/>
      <c r="E298" s="2282">
        <v>-2202838</v>
      </c>
      <c r="F298" s="2282">
        <f t="shared" si="10"/>
        <v>-2202838</v>
      </c>
      <c r="G298" s="2282">
        <v>0</v>
      </c>
      <c r="H298" s="2282">
        <v>0</v>
      </c>
      <c r="I298" s="2282">
        <v>0</v>
      </c>
      <c r="J298" s="2275" t="s">
        <v>1634</v>
      </c>
      <c r="K298" s="437"/>
    </row>
    <row r="299" spans="1:11" ht="24.75" customHeight="1">
      <c r="A299" s="1855">
        <v>137304</v>
      </c>
      <c r="B299" s="1856">
        <v>415.88799999999998</v>
      </c>
      <c r="C299" s="1909" t="s">
        <v>1635</v>
      </c>
      <c r="D299" s="1910"/>
      <c r="E299" s="2282">
        <v>-16126370</v>
      </c>
      <c r="F299" s="2282">
        <f t="shared" si="10"/>
        <v>-16126370</v>
      </c>
      <c r="G299" s="2282">
        <v>0</v>
      </c>
      <c r="H299" s="2282">
        <v>0</v>
      </c>
      <c r="I299" s="2282">
        <v>0</v>
      </c>
      <c r="J299" s="2275" t="s">
        <v>1636</v>
      </c>
      <c r="K299" s="437"/>
    </row>
    <row r="300" spans="1:11" ht="24.75" customHeight="1">
      <c r="A300" s="1855">
        <v>287896</v>
      </c>
      <c r="B300" s="1856">
        <v>415.875</v>
      </c>
      <c r="C300" s="1909" t="s">
        <v>1637</v>
      </c>
      <c r="D300" s="1910"/>
      <c r="E300" s="2282">
        <v>-7814810</v>
      </c>
      <c r="F300" s="2282">
        <f t="shared" si="10"/>
        <v>-7814810</v>
      </c>
      <c r="G300" s="2282">
        <v>0</v>
      </c>
      <c r="H300" s="2282">
        <v>0</v>
      </c>
      <c r="I300" s="2282">
        <v>0</v>
      </c>
      <c r="J300" s="2275" t="s">
        <v>1638</v>
      </c>
      <c r="K300" s="437"/>
    </row>
    <row r="301" spans="1:11" ht="24.75" customHeight="1">
      <c r="A301" s="1855">
        <v>137306</v>
      </c>
      <c r="B301" s="1856">
        <v>415.90100000000001</v>
      </c>
      <c r="C301" s="1909" t="s">
        <v>1639</v>
      </c>
      <c r="D301" s="1910"/>
      <c r="E301" s="2282">
        <v>-8224943</v>
      </c>
      <c r="F301" s="2282">
        <f t="shared" si="10"/>
        <v>-8224943</v>
      </c>
      <c r="G301" s="2282">
        <v>0</v>
      </c>
      <c r="H301" s="2282">
        <v>0</v>
      </c>
      <c r="I301" s="2282">
        <v>0</v>
      </c>
      <c r="J301" s="2275" t="s">
        <v>1640</v>
      </c>
      <c r="K301" s="437"/>
    </row>
    <row r="302" spans="1:11" ht="38.25">
      <c r="A302" s="1855">
        <v>287593</v>
      </c>
      <c r="B302" s="1856">
        <v>415.87400000000002</v>
      </c>
      <c r="C302" s="1909" t="s">
        <v>1641</v>
      </c>
      <c r="D302" s="1910"/>
      <c r="E302" s="2282">
        <v>-1704320</v>
      </c>
      <c r="F302" s="2282">
        <f t="shared" si="10"/>
        <v>-1704320</v>
      </c>
      <c r="G302" s="2282">
        <v>0</v>
      </c>
      <c r="H302" s="2282">
        <v>0</v>
      </c>
      <c r="I302" s="2282">
        <v>0</v>
      </c>
      <c r="J302" s="2275" t="s">
        <v>1642</v>
      </c>
      <c r="K302" s="437"/>
    </row>
    <row r="303" spans="1:11" ht="25.5">
      <c r="A303" s="1855">
        <v>287783</v>
      </c>
      <c r="B303" s="1856">
        <v>415.88</v>
      </c>
      <c r="C303" s="1909" t="s">
        <v>1643</v>
      </c>
      <c r="D303" s="1910"/>
      <c r="E303" s="2282">
        <v>23587</v>
      </c>
      <c r="F303" s="2282">
        <f t="shared" si="10"/>
        <v>23587</v>
      </c>
      <c r="G303" s="2282">
        <v>0</v>
      </c>
      <c r="H303" s="2282">
        <v>0</v>
      </c>
      <c r="I303" s="2282">
        <v>0</v>
      </c>
      <c r="J303" s="1854" t="s">
        <v>1332</v>
      </c>
      <c r="K303" s="437"/>
    </row>
    <row r="304" spans="1:11" ht="25.5">
      <c r="A304" s="1855">
        <v>287570</v>
      </c>
      <c r="B304" s="1856">
        <v>415.70100000000002</v>
      </c>
      <c r="C304" s="1909" t="s">
        <v>1644</v>
      </c>
      <c r="D304" s="1910"/>
      <c r="E304" s="2282">
        <v>-15311</v>
      </c>
      <c r="F304" s="2282">
        <f t="shared" si="10"/>
        <v>-15311</v>
      </c>
      <c r="G304" s="2282">
        <v>0</v>
      </c>
      <c r="H304" s="2282">
        <v>0</v>
      </c>
      <c r="I304" s="2282">
        <v>0</v>
      </c>
      <c r="J304" s="1854" t="s">
        <v>1311</v>
      </c>
      <c r="K304" s="437"/>
    </row>
    <row r="305" spans="1:11" ht="25.5">
      <c r="A305" s="1855">
        <v>287647</v>
      </c>
      <c r="B305" s="1856">
        <v>425.1</v>
      </c>
      <c r="C305" s="1909" t="s">
        <v>1645</v>
      </c>
      <c r="D305" s="1910"/>
      <c r="E305" s="2282">
        <v>-14812</v>
      </c>
      <c r="F305" s="2282">
        <f t="shared" si="10"/>
        <v>-14812</v>
      </c>
      <c r="G305" s="2282">
        <v>0</v>
      </c>
      <c r="H305" s="2282">
        <v>0</v>
      </c>
      <c r="I305" s="2282">
        <v>0</v>
      </c>
      <c r="J305" s="1854" t="s">
        <v>1326</v>
      </c>
      <c r="K305" s="437"/>
    </row>
    <row r="306" spans="1:11" ht="25.5">
      <c r="A306" s="1855">
        <v>287640</v>
      </c>
      <c r="B306" s="1856">
        <v>415.68</v>
      </c>
      <c r="C306" s="1909" t="s">
        <v>1646</v>
      </c>
      <c r="D306" s="1910"/>
      <c r="E306" s="2282">
        <v>-405912</v>
      </c>
      <c r="F306" s="2282">
        <f t="shared" si="10"/>
        <v>-405912</v>
      </c>
      <c r="G306" s="2282">
        <v>0</v>
      </c>
      <c r="H306" s="2282">
        <v>0</v>
      </c>
      <c r="I306" s="2282">
        <v>0</v>
      </c>
      <c r="J306" s="1854" t="s">
        <v>1324</v>
      </c>
      <c r="K306" s="437"/>
    </row>
    <row r="307" spans="1:11" ht="25.5">
      <c r="A307" s="1855">
        <v>287861</v>
      </c>
      <c r="B307" s="1856">
        <v>415.85700000000003</v>
      </c>
      <c r="C307" s="1909" t="s">
        <v>1647</v>
      </c>
      <c r="D307" s="1910"/>
      <c r="E307" s="2282">
        <v>-96403</v>
      </c>
      <c r="F307" s="2282">
        <f t="shared" si="10"/>
        <v>-96403</v>
      </c>
      <c r="G307" s="2282">
        <v>0</v>
      </c>
      <c r="H307" s="2282">
        <v>0</v>
      </c>
      <c r="I307" s="2282">
        <v>0</v>
      </c>
      <c r="J307" s="1854" t="s">
        <v>1333</v>
      </c>
      <c r="K307" s="437"/>
    </row>
    <row r="308" spans="1:11" ht="25.5">
      <c r="A308" s="1855">
        <v>287868</v>
      </c>
      <c r="B308" s="1856">
        <v>415.858</v>
      </c>
      <c r="C308" s="1909" t="s">
        <v>1648</v>
      </c>
      <c r="D308" s="1910"/>
      <c r="E308" s="2282">
        <v>-257060</v>
      </c>
      <c r="F308" s="2282">
        <f t="shared" si="10"/>
        <v>-257060</v>
      </c>
      <c r="G308" s="2282">
        <v>0</v>
      </c>
      <c r="H308" s="2282">
        <v>0</v>
      </c>
      <c r="I308" s="2282">
        <v>0</v>
      </c>
      <c r="J308" s="1854" t="s">
        <v>1336</v>
      </c>
      <c r="K308" s="437"/>
    </row>
    <row r="309" spans="1:11" ht="38.85" customHeight="1">
      <c r="A309" s="1855">
        <v>137200</v>
      </c>
      <c r="B309" s="1856">
        <v>430.11700000000002</v>
      </c>
      <c r="C309" s="1909" t="s">
        <v>1649</v>
      </c>
      <c r="D309" s="1910"/>
      <c r="E309" s="2282">
        <v>-8122990</v>
      </c>
      <c r="F309" s="2282">
        <f t="shared" si="10"/>
        <v>-8122990</v>
      </c>
      <c r="G309" s="2282">
        <v>0</v>
      </c>
      <c r="H309" s="2282">
        <v>0</v>
      </c>
      <c r="I309" s="2282">
        <v>0</v>
      </c>
      <c r="J309" s="2275" t="s">
        <v>1650</v>
      </c>
      <c r="K309" s="437"/>
    </row>
    <row r="310" spans="1:11" ht="38.85" customHeight="1">
      <c r="A310" s="1855">
        <v>287614</v>
      </c>
      <c r="B310" s="1856">
        <v>430.1</v>
      </c>
      <c r="C310" s="1909" t="s">
        <v>1651</v>
      </c>
      <c r="D310" s="1910"/>
      <c r="E310" s="2282">
        <v>-7405486</v>
      </c>
      <c r="F310" s="2282">
        <f t="shared" si="10"/>
        <v>-7405486</v>
      </c>
      <c r="G310" s="2282">
        <v>0</v>
      </c>
      <c r="H310" s="2282">
        <v>0</v>
      </c>
      <c r="I310" s="2282">
        <v>0</v>
      </c>
      <c r="J310" s="2275" t="s">
        <v>1652</v>
      </c>
      <c r="K310" s="437"/>
    </row>
    <row r="311" spans="1:11" ht="38.25">
      <c r="A311" s="1855">
        <v>287981</v>
      </c>
      <c r="B311" s="1856">
        <v>415.92</v>
      </c>
      <c r="C311" s="1909" t="s">
        <v>1870</v>
      </c>
      <c r="D311" s="1910"/>
      <c r="E311" s="2282">
        <v>-603213</v>
      </c>
      <c r="F311" s="2282">
        <f t="shared" si="10"/>
        <v>-603213</v>
      </c>
      <c r="G311" s="2282">
        <v>0</v>
      </c>
      <c r="H311" s="2282">
        <v>0</v>
      </c>
      <c r="I311" s="2282">
        <v>0</v>
      </c>
      <c r="J311" s="2275" t="s">
        <v>1871</v>
      </c>
      <c r="K311" s="437"/>
    </row>
    <row r="312" spans="1:11" ht="38.25">
      <c r="A312" s="1855">
        <v>287982</v>
      </c>
      <c r="B312" s="1856">
        <v>415.92099999999999</v>
      </c>
      <c r="C312" s="1909" t="s">
        <v>1872</v>
      </c>
      <c r="D312" s="1910"/>
      <c r="E312" s="2282">
        <v>-801795</v>
      </c>
      <c r="F312" s="2282">
        <f t="shared" si="10"/>
        <v>-801795</v>
      </c>
      <c r="G312" s="2282">
        <v>0</v>
      </c>
      <c r="H312" s="2282">
        <v>0</v>
      </c>
      <c r="I312" s="2282">
        <v>0</v>
      </c>
      <c r="J312" s="2275" t="s">
        <v>1873</v>
      </c>
      <c r="K312" s="437"/>
    </row>
    <row r="313" spans="1:11" ht="38.25">
      <c r="A313" s="1855">
        <v>287983</v>
      </c>
      <c r="B313" s="1856">
        <v>415.92200000000003</v>
      </c>
      <c r="C313" s="1909" t="s">
        <v>1874</v>
      </c>
      <c r="D313" s="1910"/>
      <c r="E313" s="2282">
        <v>-2768962</v>
      </c>
      <c r="F313" s="2282">
        <f t="shared" si="10"/>
        <v>-2768962</v>
      </c>
      <c r="G313" s="2282">
        <v>0</v>
      </c>
      <c r="H313" s="2282">
        <v>0</v>
      </c>
      <c r="I313" s="2282">
        <v>0</v>
      </c>
      <c r="J313" s="2275" t="s">
        <v>1875</v>
      </c>
      <c r="K313" s="437"/>
    </row>
    <row r="314" spans="1:11" ht="25.5">
      <c r="A314" s="1855">
        <v>287576</v>
      </c>
      <c r="B314" s="1856">
        <v>430.11</v>
      </c>
      <c r="C314" s="1909" t="s">
        <v>1653</v>
      </c>
      <c r="D314" s="1910"/>
      <c r="E314" s="2282">
        <v>7405487</v>
      </c>
      <c r="F314" s="2282">
        <f t="shared" si="10"/>
        <v>7405487</v>
      </c>
      <c r="G314" s="2282">
        <v>0</v>
      </c>
      <c r="H314" s="2282">
        <v>0</v>
      </c>
      <c r="I314" s="2282">
        <v>0</v>
      </c>
      <c r="J314" s="1854" t="s">
        <v>1225</v>
      </c>
      <c r="K314" s="437"/>
    </row>
    <row r="315" spans="1:11" ht="51" customHeight="1">
      <c r="A315" s="1855">
        <v>287648</v>
      </c>
      <c r="B315" s="1856">
        <v>100.12</v>
      </c>
      <c r="C315" s="1909" t="s">
        <v>1654</v>
      </c>
      <c r="D315" s="1910"/>
      <c r="E315" s="2282">
        <v>-169267915</v>
      </c>
      <c r="F315" s="2282">
        <f t="shared" si="10"/>
        <v>-169267915</v>
      </c>
      <c r="G315" s="2282">
        <v>0</v>
      </c>
      <c r="H315" s="2282">
        <v>0</v>
      </c>
      <c r="I315" s="2282">
        <v>0</v>
      </c>
      <c r="J315" s="1854" t="s">
        <v>1283</v>
      </c>
      <c r="K315" s="437"/>
    </row>
    <row r="316" spans="1:11" ht="38.25">
      <c r="A316" s="1855">
        <v>287946</v>
      </c>
      <c r="B316" s="1856">
        <v>100.105</v>
      </c>
      <c r="C316" s="1909" t="s">
        <v>1876</v>
      </c>
      <c r="D316" s="1910"/>
      <c r="E316" s="2282">
        <v>-96685</v>
      </c>
      <c r="F316" s="2282">
        <f t="shared" si="10"/>
        <v>-96685</v>
      </c>
      <c r="G316" s="2282">
        <v>0</v>
      </c>
      <c r="H316" s="2282">
        <v>0</v>
      </c>
      <c r="I316" s="2282">
        <v>0</v>
      </c>
      <c r="J316" s="1854" t="s">
        <v>1877</v>
      </c>
      <c r="K316" s="437"/>
    </row>
    <row r="317" spans="1:11" ht="51">
      <c r="A317" s="1855">
        <v>287840</v>
      </c>
      <c r="B317" s="1856">
        <v>415.41</v>
      </c>
      <c r="C317" s="1909" t="s">
        <v>1878</v>
      </c>
      <c r="D317" s="1910"/>
      <c r="E317" s="2282">
        <v>-85327212</v>
      </c>
      <c r="F317" s="2282">
        <f t="shared" si="10"/>
        <v>-85327212</v>
      </c>
      <c r="G317" s="2282">
        <v>0</v>
      </c>
      <c r="H317" s="2282">
        <v>0</v>
      </c>
      <c r="I317" s="2282">
        <v>0</v>
      </c>
      <c r="J317" s="1854" t="s">
        <v>1879</v>
      </c>
      <c r="K317" s="437"/>
    </row>
    <row r="318" spans="1:11" ht="38.25">
      <c r="A318" s="1855">
        <v>287634</v>
      </c>
      <c r="B318" s="1856">
        <v>415.3</v>
      </c>
      <c r="C318" s="1909" t="s">
        <v>1655</v>
      </c>
      <c r="D318" s="1910"/>
      <c r="E318" s="2282">
        <v>-15746789</v>
      </c>
      <c r="F318" s="2282">
        <f t="shared" si="10"/>
        <v>-15746789</v>
      </c>
      <c r="G318" s="2282">
        <v>0</v>
      </c>
      <c r="H318" s="2282">
        <v>0</v>
      </c>
      <c r="I318" s="2282">
        <v>0</v>
      </c>
      <c r="J318" s="1854" t="s">
        <v>1321</v>
      </c>
      <c r="K318" s="437"/>
    </row>
    <row r="319" spans="1:11" ht="28.5" customHeight="1">
      <c r="A319" s="1855">
        <v>287591</v>
      </c>
      <c r="B319" s="1856">
        <v>415.30099999999999</v>
      </c>
      <c r="C319" s="1909" t="s">
        <v>1656</v>
      </c>
      <c r="D319" s="1910"/>
      <c r="E319" s="2282">
        <v>538348</v>
      </c>
      <c r="F319" s="2282">
        <f t="shared" si="10"/>
        <v>538348</v>
      </c>
      <c r="G319" s="2282">
        <v>0</v>
      </c>
      <c r="H319" s="2282">
        <v>0</v>
      </c>
      <c r="I319" s="2282">
        <v>0</v>
      </c>
      <c r="J319" s="1854" t="s">
        <v>1319</v>
      </c>
      <c r="K319" s="437"/>
    </row>
    <row r="320" spans="1:11" ht="25.5">
      <c r="A320" s="1855">
        <v>287738</v>
      </c>
      <c r="B320" s="1856">
        <v>320.27</v>
      </c>
      <c r="C320" s="1909" t="s">
        <v>1657</v>
      </c>
      <c r="D320" s="1910"/>
      <c r="E320" s="2282">
        <v>-181073140</v>
      </c>
      <c r="F320" s="2282">
        <f t="shared" si="10"/>
        <v>-181073140</v>
      </c>
      <c r="G320" s="2282">
        <v>0</v>
      </c>
      <c r="H320" s="2282">
        <v>0</v>
      </c>
      <c r="I320" s="2282">
        <v>0</v>
      </c>
      <c r="J320" s="1854" t="s">
        <v>1328</v>
      </c>
      <c r="K320" s="437"/>
    </row>
    <row r="321" spans="1:11" ht="25.5">
      <c r="A321" s="1855">
        <v>287739</v>
      </c>
      <c r="B321" s="1856">
        <v>320.27999999999997</v>
      </c>
      <c r="C321" s="1909" t="s">
        <v>1658</v>
      </c>
      <c r="D321" s="1910"/>
      <c r="E321" s="2282">
        <v>-5723001</v>
      </c>
      <c r="F321" s="2282">
        <f t="shared" si="10"/>
        <v>-5723001</v>
      </c>
      <c r="G321" s="2282">
        <v>0</v>
      </c>
      <c r="H321" s="2282">
        <v>0</v>
      </c>
      <c r="I321" s="2282">
        <v>0</v>
      </c>
      <c r="J321" s="1854" t="s">
        <v>1329</v>
      </c>
      <c r="K321" s="437"/>
    </row>
    <row r="322" spans="1:11" ht="63.75">
      <c r="A322" s="1855">
        <v>137328</v>
      </c>
      <c r="B322" s="1856">
        <v>425.10199999999998</v>
      </c>
      <c r="C322" s="1909" t="s">
        <v>1659</v>
      </c>
      <c r="D322" s="1910"/>
      <c r="E322" s="2282">
        <v>-1939547</v>
      </c>
      <c r="F322" s="2282">
        <f t="shared" si="10"/>
        <v>-1939547</v>
      </c>
      <c r="G322" s="2282">
        <v>0</v>
      </c>
      <c r="H322" s="2282">
        <v>0</v>
      </c>
      <c r="I322" s="2282">
        <v>0</v>
      </c>
      <c r="J322" s="2275" t="s">
        <v>1660</v>
      </c>
      <c r="K322" s="437"/>
    </row>
    <row r="323" spans="1:11" ht="24.75" customHeight="1">
      <c r="A323" s="1855">
        <v>287597</v>
      </c>
      <c r="B323" s="1856">
        <v>415.70299999999997</v>
      </c>
      <c r="C323" s="1909" t="s">
        <v>1661</v>
      </c>
      <c r="D323" s="1910"/>
      <c r="E323" s="2282">
        <v>-153227</v>
      </c>
      <c r="F323" s="2282">
        <f t="shared" si="10"/>
        <v>-153227</v>
      </c>
      <c r="G323" s="2282">
        <v>0</v>
      </c>
      <c r="H323" s="2282">
        <v>0</v>
      </c>
      <c r="I323" s="2282">
        <v>0</v>
      </c>
      <c r="J323" s="1854" t="s">
        <v>1320</v>
      </c>
      <c r="K323" s="437"/>
    </row>
    <row r="324" spans="1:11" ht="12.75">
      <c r="A324" s="1855">
        <v>287897</v>
      </c>
      <c r="B324" s="1856">
        <v>425.4</v>
      </c>
      <c r="C324" s="1909" t="s">
        <v>1662</v>
      </c>
      <c r="D324" s="1910"/>
      <c r="E324" s="2282">
        <v>-11070491</v>
      </c>
      <c r="F324" s="2282">
        <f t="shared" si="10"/>
        <v>-11070491</v>
      </c>
      <c r="G324" s="2282">
        <v>0</v>
      </c>
      <c r="H324" s="2282">
        <v>0</v>
      </c>
      <c r="I324" s="2282">
        <v>0</v>
      </c>
      <c r="J324" s="1854" t="s">
        <v>1361</v>
      </c>
      <c r="K324" s="437"/>
    </row>
    <row r="325" spans="1:11" ht="24.75" customHeight="1">
      <c r="A325" s="1855">
        <v>287571</v>
      </c>
      <c r="B325" s="1856">
        <v>415.702</v>
      </c>
      <c r="C325" s="1909" t="s">
        <v>1663</v>
      </c>
      <c r="D325" s="1910"/>
      <c r="E325" s="2282">
        <v>-339693</v>
      </c>
      <c r="F325" s="2282">
        <f t="shared" si="10"/>
        <v>-339693</v>
      </c>
      <c r="G325" s="2282">
        <v>0</v>
      </c>
      <c r="H325" s="2282">
        <v>0</v>
      </c>
      <c r="I325" s="2282">
        <v>0</v>
      </c>
      <c r="J325" s="1854" t="s">
        <v>1312</v>
      </c>
      <c r="K325" s="437"/>
    </row>
    <row r="326" spans="1:11" ht="51">
      <c r="A326" s="1855">
        <v>287903</v>
      </c>
      <c r="B326" s="1856">
        <v>415.87900000000002</v>
      </c>
      <c r="C326" s="1909" t="s">
        <v>1664</v>
      </c>
      <c r="D326" s="1910"/>
      <c r="E326" s="2282">
        <v>-41156</v>
      </c>
      <c r="F326" s="2282">
        <f t="shared" si="10"/>
        <v>-41156</v>
      </c>
      <c r="G326" s="2282">
        <v>0</v>
      </c>
      <c r="H326" s="2282">
        <v>0</v>
      </c>
      <c r="I326" s="2282">
        <v>0</v>
      </c>
      <c r="J326" s="2275" t="s">
        <v>1665</v>
      </c>
      <c r="K326" s="437"/>
    </row>
    <row r="327" spans="1:11" ht="25.5">
      <c r="A327" s="1855">
        <v>287979</v>
      </c>
      <c r="B327" s="1856">
        <v>415.91699999999997</v>
      </c>
      <c r="C327" s="1909" t="s">
        <v>1666</v>
      </c>
      <c r="D327" s="1910"/>
      <c r="E327" s="2282">
        <v>-19363</v>
      </c>
      <c r="F327" s="2282">
        <f t="shared" si="10"/>
        <v>-19363</v>
      </c>
      <c r="G327" s="2282">
        <v>0</v>
      </c>
      <c r="H327" s="2282">
        <v>0</v>
      </c>
      <c r="I327" s="2282">
        <v>0</v>
      </c>
      <c r="J327" s="2275" t="s">
        <v>1667</v>
      </c>
      <c r="K327" s="437"/>
    </row>
    <row r="328" spans="1:11" ht="12.75" customHeight="1">
      <c r="A328" s="1855">
        <v>287974</v>
      </c>
      <c r="B328" s="1856">
        <v>415.916</v>
      </c>
      <c r="C328" s="1909" t="s">
        <v>1668</v>
      </c>
      <c r="D328" s="1910"/>
      <c r="E328" s="2282">
        <v>-90891</v>
      </c>
      <c r="F328" s="2282">
        <f t="shared" si="10"/>
        <v>-90891</v>
      </c>
      <c r="G328" s="2282">
        <v>0</v>
      </c>
      <c r="H328" s="2282">
        <v>0</v>
      </c>
      <c r="I328" s="2282">
        <v>0</v>
      </c>
      <c r="J328" s="1854" t="s">
        <v>1368</v>
      </c>
      <c r="K328" s="437"/>
    </row>
    <row r="329" spans="1:11" ht="12.75" customHeight="1">
      <c r="A329" s="1855">
        <v>287968</v>
      </c>
      <c r="B329" s="1856">
        <v>415.91399999999999</v>
      </c>
      <c r="C329" s="1909" t="s">
        <v>1669</v>
      </c>
      <c r="D329" s="1910"/>
      <c r="E329" s="2282">
        <v>0</v>
      </c>
      <c r="F329" s="2282">
        <f t="shared" si="10"/>
        <v>0</v>
      </c>
      <c r="G329" s="2282">
        <v>0</v>
      </c>
      <c r="H329" s="2282">
        <v>0</v>
      </c>
      <c r="I329" s="2282">
        <v>0</v>
      </c>
      <c r="J329" s="1854" t="s">
        <v>1365</v>
      </c>
      <c r="K329" s="437"/>
    </row>
    <row r="330" spans="1:11" ht="12.75" customHeight="1">
      <c r="A330" s="1855">
        <v>287969</v>
      </c>
      <c r="B330" s="1856">
        <v>415.91500000000002</v>
      </c>
      <c r="C330" s="1909" t="s">
        <v>1670</v>
      </c>
      <c r="D330" s="1910"/>
      <c r="E330" s="2282">
        <v>0</v>
      </c>
      <c r="F330" s="2282">
        <f t="shared" si="10"/>
        <v>0</v>
      </c>
      <c r="G330" s="2282">
        <v>0</v>
      </c>
      <c r="H330" s="2282">
        <v>0</v>
      </c>
      <c r="I330" s="2282">
        <v>0</v>
      </c>
      <c r="J330" s="1854" t="s">
        <v>1366</v>
      </c>
      <c r="K330" s="437"/>
    </row>
    <row r="331" spans="1:11" ht="38.25" customHeight="1">
      <c r="A331" s="1855">
        <v>287977</v>
      </c>
      <c r="B331" s="1856">
        <v>415.88499999999999</v>
      </c>
      <c r="C331" s="1909" t="s">
        <v>1671</v>
      </c>
      <c r="D331" s="1910"/>
      <c r="E331" s="2282">
        <v>-23587</v>
      </c>
      <c r="F331" s="2282">
        <f t="shared" si="10"/>
        <v>-23587</v>
      </c>
      <c r="G331" s="2282">
        <v>0</v>
      </c>
      <c r="H331" s="2282">
        <v>0</v>
      </c>
      <c r="I331" s="2282">
        <v>0</v>
      </c>
      <c r="J331" s="2275" t="s">
        <v>1736</v>
      </c>
      <c r="K331" s="437"/>
    </row>
    <row r="332" spans="1:11" ht="25.5">
      <c r="A332" s="1855">
        <v>137230</v>
      </c>
      <c r="B332" s="1856">
        <v>425.10399999999998</v>
      </c>
      <c r="C332" s="1909" t="s">
        <v>1672</v>
      </c>
      <c r="D332" s="1910"/>
      <c r="E332" s="2282">
        <v>-54038</v>
      </c>
      <c r="F332" s="2282">
        <f t="shared" si="10"/>
        <v>-54038</v>
      </c>
      <c r="G332" s="2282">
        <v>0</v>
      </c>
      <c r="H332" s="2282">
        <v>0</v>
      </c>
      <c r="I332" s="2282">
        <v>0</v>
      </c>
      <c r="J332" s="2275" t="s">
        <v>2123</v>
      </c>
      <c r="K332" s="437"/>
    </row>
    <row r="333" spans="1:11" ht="25.5">
      <c r="A333" s="1855">
        <v>287919</v>
      </c>
      <c r="B333" s="1856">
        <v>425.10500000000002</v>
      </c>
      <c r="C333" s="1909" t="s">
        <v>1673</v>
      </c>
      <c r="D333" s="1910"/>
      <c r="E333" s="2282">
        <v>0</v>
      </c>
      <c r="F333" s="2282">
        <f t="shared" si="10"/>
        <v>0</v>
      </c>
      <c r="G333" s="2282">
        <v>0</v>
      </c>
      <c r="H333" s="2282">
        <v>0</v>
      </c>
      <c r="I333" s="2282">
        <v>0</v>
      </c>
      <c r="J333" s="2275" t="s">
        <v>2127</v>
      </c>
      <c r="K333" s="437"/>
    </row>
    <row r="334" spans="1:11" ht="38.25">
      <c r="A334" s="1855">
        <v>137509</v>
      </c>
      <c r="B334" s="1856">
        <v>415.58499999999998</v>
      </c>
      <c r="C334" s="1909" t="s">
        <v>1880</v>
      </c>
      <c r="D334" s="1910"/>
      <c r="E334" s="2282">
        <v>-4392</v>
      </c>
      <c r="F334" s="2282">
        <f t="shared" si="10"/>
        <v>-4392</v>
      </c>
      <c r="G334" s="2282">
        <v>0</v>
      </c>
      <c r="H334" s="2282">
        <v>0</v>
      </c>
      <c r="I334" s="2282">
        <v>0</v>
      </c>
      <c r="J334" s="2275" t="s">
        <v>1881</v>
      </c>
      <c r="K334" s="437"/>
    </row>
    <row r="335" spans="1:11" ht="38.25">
      <c r="A335" s="1855">
        <v>287904</v>
      </c>
      <c r="B335" s="1856">
        <v>415.84500000000003</v>
      </c>
      <c r="C335" s="1909" t="s">
        <v>1674</v>
      </c>
      <c r="D335" s="1910"/>
      <c r="E335" s="2282">
        <v>139919</v>
      </c>
      <c r="F335" s="2282">
        <f t="shared" si="10"/>
        <v>139919</v>
      </c>
      <c r="G335" s="2282">
        <v>0</v>
      </c>
      <c r="H335" s="2282">
        <v>0</v>
      </c>
      <c r="I335" s="2282">
        <v>0</v>
      </c>
      <c r="J335" s="2275" t="s">
        <v>1675</v>
      </c>
      <c r="K335" s="437"/>
    </row>
    <row r="336" spans="1:11" ht="25.5">
      <c r="A336" s="1855">
        <v>287942</v>
      </c>
      <c r="B336" s="1856">
        <v>430.11200000000002</v>
      </c>
      <c r="C336" s="1909" t="s">
        <v>1676</v>
      </c>
      <c r="D336" s="1910"/>
      <c r="E336" s="2282">
        <v>-320047</v>
      </c>
      <c r="F336" s="2282">
        <f t="shared" si="10"/>
        <v>-320047</v>
      </c>
      <c r="G336" s="2282">
        <v>0</v>
      </c>
      <c r="H336" s="2282">
        <v>0</v>
      </c>
      <c r="I336" s="2282">
        <v>0</v>
      </c>
      <c r="J336" s="1854" t="s">
        <v>1225</v>
      </c>
      <c r="K336" s="437"/>
    </row>
    <row r="337" spans="1:11" ht="38.25">
      <c r="A337" s="1855">
        <v>287579</v>
      </c>
      <c r="B337" s="1856">
        <v>415.822</v>
      </c>
      <c r="C337" s="1909" t="s">
        <v>1677</v>
      </c>
      <c r="D337" s="1910"/>
      <c r="E337" s="2282">
        <v>-322405</v>
      </c>
      <c r="F337" s="2282">
        <f t="shared" si="10"/>
        <v>-322405</v>
      </c>
      <c r="G337" s="2282">
        <v>0</v>
      </c>
      <c r="H337" s="2282">
        <v>0</v>
      </c>
      <c r="I337" s="2282">
        <v>0</v>
      </c>
      <c r="J337" s="1854" t="s">
        <v>1314</v>
      </c>
      <c r="K337" s="437"/>
    </row>
    <row r="338" spans="1:11" ht="25.5">
      <c r="A338" s="1855">
        <v>287972</v>
      </c>
      <c r="B338" s="1856">
        <v>320.28500000000003</v>
      </c>
      <c r="C338" s="1909" t="s">
        <v>1678</v>
      </c>
      <c r="D338" s="1910"/>
      <c r="E338" s="2282">
        <v>-3173252</v>
      </c>
      <c r="F338" s="2282">
        <v>0</v>
      </c>
      <c r="G338" s="2282">
        <v>0</v>
      </c>
      <c r="H338" s="2282">
        <v>0</v>
      </c>
      <c r="I338" s="2282">
        <f>E338</f>
        <v>-3173252</v>
      </c>
      <c r="J338" s="1854" t="s">
        <v>1367</v>
      </c>
      <c r="K338" s="437"/>
    </row>
    <row r="339" spans="1:11" ht="38.25">
      <c r="A339" s="1855">
        <v>287675</v>
      </c>
      <c r="B339" s="1856">
        <v>740.1</v>
      </c>
      <c r="C339" s="1909" t="s">
        <v>1679</v>
      </c>
      <c r="D339" s="1910"/>
      <c r="E339" s="2282">
        <v>-2726402</v>
      </c>
      <c r="F339" s="2282">
        <f t="shared" ref="F339:F371" si="11">E339</f>
        <v>-2726402</v>
      </c>
      <c r="G339" s="2282">
        <v>0</v>
      </c>
      <c r="H339" s="2282">
        <v>0</v>
      </c>
      <c r="I339" s="2282">
        <v>0</v>
      </c>
      <c r="J339" s="1854" t="s">
        <v>1355</v>
      </c>
      <c r="K339" s="437"/>
    </row>
    <row r="340" spans="1:11" ht="38.25">
      <c r="A340" s="1855">
        <v>287588</v>
      </c>
      <c r="B340" s="1856">
        <v>415.83100000000002</v>
      </c>
      <c r="C340" s="1909" t="s">
        <v>1680</v>
      </c>
      <c r="D340" s="1910"/>
      <c r="E340" s="2282">
        <v>-26547</v>
      </c>
      <c r="F340" s="2282">
        <f t="shared" si="11"/>
        <v>-26547</v>
      </c>
      <c r="G340" s="2282">
        <v>0</v>
      </c>
      <c r="H340" s="2282">
        <v>0</v>
      </c>
      <c r="I340" s="2282">
        <v>0</v>
      </c>
      <c r="J340" s="1854" t="s">
        <v>1318</v>
      </c>
      <c r="K340" s="437"/>
    </row>
    <row r="341" spans="1:11" ht="39.75" customHeight="1">
      <c r="A341" s="1855">
        <v>287584</v>
      </c>
      <c r="B341" s="1856">
        <v>415.827</v>
      </c>
      <c r="C341" s="1909" t="s">
        <v>1681</v>
      </c>
      <c r="D341" s="1910"/>
      <c r="E341" s="2282">
        <v>-293034</v>
      </c>
      <c r="F341" s="2282">
        <f t="shared" si="11"/>
        <v>-293034</v>
      </c>
      <c r="G341" s="2282">
        <v>0</v>
      </c>
      <c r="H341" s="2282">
        <v>0</v>
      </c>
      <c r="I341" s="2282">
        <v>0</v>
      </c>
      <c r="J341" s="1854" t="s">
        <v>1316</v>
      </c>
      <c r="K341" s="437"/>
    </row>
    <row r="342" spans="1:11" ht="38.25">
      <c r="A342" s="1855">
        <v>287586</v>
      </c>
      <c r="B342" s="1856">
        <v>415.82900000000001</v>
      </c>
      <c r="C342" s="1909" t="s">
        <v>1682</v>
      </c>
      <c r="D342" s="1910"/>
      <c r="E342" s="2282">
        <v>-317250</v>
      </c>
      <c r="F342" s="2282">
        <f t="shared" si="11"/>
        <v>-317250</v>
      </c>
      <c r="G342" s="2282">
        <v>0</v>
      </c>
      <c r="H342" s="2282">
        <v>0</v>
      </c>
      <c r="I342" s="2282">
        <v>0</v>
      </c>
      <c r="J342" s="1854" t="s">
        <v>1317</v>
      </c>
      <c r="K342" s="437"/>
    </row>
    <row r="343" spans="1:11" ht="50.25" customHeight="1">
      <c r="A343" s="1855">
        <v>287779</v>
      </c>
      <c r="B343" s="1856">
        <v>415.85</v>
      </c>
      <c r="C343" s="1909" t="s">
        <v>1683</v>
      </c>
      <c r="D343" s="1910"/>
      <c r="E343" s="2282">
        <v>-934500</v>
      </c>
      <c r="F343" s="2282">
        <f t="shared" si="11"/>
        <v>-934500</v>
      </c>
      <c r="G343" s="2282">
        <v>0</v>
      </c>
      <c r="H343" s="2282">
        <v>0</v>
      </c>
      <c r="I343" s="2282">
        <v>0</v>
      </c>
      <c r="J343" s="1854" t="s">
        <v>1331</v>
      </c>
      <c r="K343" s="437"/>
    </row>
    <row r="344" spans="1:11" ht="63.75">
      <c r="A344" s="1855">
        <v>287864</v>
      </c>
      <c r="B344" s="1856">
        <v>415.85199999999998</v>
      </c>
      <c r="C344" s="1909" t="s">
        <v>1684</v>
      </c>
      <c r="D344" s="1910"/>
      <c r="E344" s="2282">
        <v>-59342</v>
      </c>
      <c r="F344" s="2282">
        <f t="shared" si="11"/>
        <v>-59342</v>
      </c>
      <c r="G344" s="2282">
        <v>0</v>
      </c>
      <c r="H344" s="2282">
        <v>0</v>
      </c>
      <c r="I344" s="2282">
        <v>0</v>
      </c>
      <c r="J344" s="1854" t="s">
        <v>1334</v>
      </c>
      <c r="K344" s="437"/>
    </row>
    <row r="345" spans="1:11" ht="63.75">
      <c r="A345" s="1855">
        <v>287866</v>
      </c>
      <c r="B345" s="1856">
        <v>415.85399999999998</v>
      </c>
      <c r="C345" s="1909" t="s">
        <v>1685</v>
      </c>
      <c r="D345" s="1910"/>
      <c r="E345" s="2282">
        <v>0</v>
      </c>
      <c r="F345" s="2282">
        <f t="shared" si="11"/>
        <v>0</v>
      </c>
      <c r="G345" s="2282">
        <v>0</v>
      </c>
      <c r="H345" s="2282">
        <v>0</v>
      </c>
      <c r="I345" s="2282">
        <v>0</v>
      </c>
      <c r="J345" s="1854" t="s">
        <v>1335</v>
      </c>
      <c r="K345" s="437"/>
    </row>
    <row r="346" spans="1:11" ht="25.5">
      <c r="A346" s="1855">
        <v>287858</v>
      </c>
      <c r="B346" s="1856">
        <v>415.67599999999999</v>
      </c>
      <c r="C346" s="1909" t="s">
        <v>1882</v>
      </c>
      <c r="D346" s="1910"/>
      <c r="E346" s="2282">
        <v>-99394</v>
      </c>
      <c r="F346" s="2282">
        <f t="shared" si="11"/>
        <v>-99394</v>
      </c>
      <c r="G346" s="2282">
        <v>0</v>
      </c>
      <c r="H346" s="2282">
        <v>0</v>
      </c>
      <c r="I346" s="2282">
        <v>0</v>
      </c>
      <c r="J346" s="1854" t="s">
        <v>1883</v>
      </c>
      <c r="K346" s="437"/>
    </row>
    <row r="347" spans="1:11" ht="25.5">
      <c r="A347" s="1855">
        <v>287996</v>
      </c>
      <c r="B347" s="1856">
        <v>415.67500000000001</v>
      </c>
      <c r="C347" s="1909" t="s">
        <v>1884</v>
      </c>
      <c r="D347" s="1910"/>
      <c r="E347" s="2282">
        <v>-288416</v>
      </c>
      <c r="F347" s="2282">
        <f t="shared" si="11"/>
        <v>-288416</v>
      </c>
      <c r="G347" s="2282">
        <v>0</v>
      </c>
      <c r="H347" s="2282">
        <v>0</v>
      </c>
      <c r="I347" s="2282">
        <v>0</v>
      </c>
      <c r="J347" s="1854" t="s">
        <v>1885</v>
      </c>
      <c r="K347" s="437"/>
    </row>
    <row r="348" spans="1:11" ht="38.25">
      <c r="A348" s="1855">
        <v>137313</v>
      </c>
      <c r="B348" s="1856">
        <v>415.90499999999997</v>
      </c>
      <c r="C348" s="1909" t="s">
        <v>1686</v>
      </c>
      <c r="D348" s="1910"/>
      <c r="E348" s="2282">
        <v>0</v>
      </c>
      <c r="F348" s="2282">
        <f t="shared" si="11"/>
        <v>0</v>
      </c>
      <c r="G348" s="2282">
        <v>0</v>
      </c>
      <c r="H348" s="2282">
        <v>0</v>
      </c>
      <c r="I348" s="2282">
        <v>0</v>
      </c>
      <c r="J348" s="2275" t="s">
        <v>1912</v>
      </c>
      <c r="K348" s="437"/>
    </row>
    <row r="349" spans="1:11" ht="38.25">
      <c r="A349" s="1855">
        <v>287978</v>
      </c>
      <c r="B349" s="1856">
        <v>415.90600000000001</v>
      </c>
      <c r="C349" s="1909" t="s">
        <v>1687</v>
      </c>
      <c r="D349" s="1910"/>
      <c r="E349" s="2282">
        <v>0</v>
      </c>
      <c r="F349" s="2282">
        <f t="shared" si="11"/>
        <v>0</v>
      </c>
      <c r="G349" s="2282">
        <v>0</v>
      </c>
      <c r="H349" s="2282">
        <v>0</v>
      </c>
      <c r="I349" s="2282">
        <v>0</v>
      </c>
      <c r="J349" s="2275" t="s">
        <v>1913</v>
      </c>
      <c r="K349" s="437"/>
    </row>
    <row r="350" spans="1:11" ht="26.25" customHeight="1">
      <c r="A350" s="1855">
        <v>137314</v>
      </c>
      <c r="B350" s="1856">
        <v>415.90199999999999</v>
      </c>
      <c r="C350" s="1909" t="s">
        <v>1688</v>
      </c>
      <c r="D350" s="1910"/>
      <c r="E350" s="2282">
        <v>-2732204</v>
      </c>
      <c r="F350" s="2282">
        <f t="shared" si="11"/>
        <v>-2732204</v>
      </c>
      <c r="G350" s="2282">
        <v>0</v>
      </c>
      <c r="H350" s="2282">
        <v>0</v>
      </c>
      <c r="I350" s="2282">
        <v>0</v>
      </c>
      <c r="J350" s="2275" t="s">
        <v>1737</v>
      </c>
      <c r="K350" s="437"/>
    </row>
    <row r="351" spans="1:11" ht="38.25">
      <c r="A351" s="1855">
        <v>287887</v>
      </c>
      <c r="B351" s="1856">
        <v>415.88099999999997</v>
      </c>
      <c r="C351" s="1909" t="s">
        <v>1689</v>
      </c>
      <c r="D351" s="1910"/>
      <c r="E351" s="2282">
        <v>-4479213</v>
      </c>
      <c r="F351" s="2282">
        <f t="shared" si="11"/>
        <v>-4479213</v>
      </c>
      <c r="G351" s="2282">
        <v>0</v>
      </c>
      <c r="H351" s="2282">
        <v>0</v>
      </c>
      <c r="I351" s="2282">
        <v>0</v>
      </c>
      <c r="J351" s="2275" t="s">
        <v>1738</v>
      </c>
      <c r="K351" s="437"/>
    </row>
    <row r="352" spans="1:11" ht="38.25">
      <c r="A352" s="1855">
        <v>137315</v>
      </c>
      <c r="B352" s="1856">
        <v>415.90300000000002</v>
      </c>
      <c r="C352" s="1909" t="s">
        <v>1886</v>
      </c>
      <c r="D352" s="1910"/>
      <c r="E352" s="2282">
        <v>-699803</v>
      </c>
      <c r="F352" s="2282">
        <f t="shared" si="11"/>
        <v>-699803</v>
      </c>
      <c r="G352" s="2282">
        <v>0</v>
      </c>
      <c r="H352" s="2282">
        <v>0</v>
      </c>
      <c r="I352" s="2282">
        <v>0</v>
      </c>
      <c r="J352" s="2275" t="s">
        <v>2128</v>
      </c>
      <c r="K352" s="437"/>
    </row>
    <row r="353" spans="1:11" ht="38.25">
      <c r="A353" s="1855">
        <v>287888</v>
      </c>
      <c r="B353" s="1856">
        <v>415.88200000000001</v>
      </c>
      <c r="C353" s="1909" t="s">
        <v>1888</v>
      </c>
      <c r="D353" s="1910"/>
      <c r="E353" s="2282">
        <v>-1166338</v>
      </c>
      <c r="F353" s="2282">
        <f t="shared" si="11"/>
        <v>-1166338</v>
      </c>
      <c r="G353" s="2282">
        <v>0</v>
      </c>
      <c r="H353" s="2282">
        <v>0</v>
      </c>
      <c r="I353" s="2282">
        <v>0</v>
      </c>
      <c r="J353" s="2275" t="s">
        <v>1889</v>
      </c>
      <c r="K353" s="437"/>
    </row>
    <row r="354" spans="1:11" ht="38.25">
      <c r="A354" s="1855">
        <v>137316</v>
      </c>
      <c r="B354" s="1856">
        <v>415.904</v>
      </c>
      <c r="C354" s="1909" t="s">
        <v>1690</v>
      </c>
      <c r="D354" s="1910"/>
      <c r="E354" s="2282">
        <v>-834340</v>
      </c>
      <c r="F354" s="2282">
        <f t="shared" si="11"/>
        <v>-834340</v>
      </c>
      <c r="G354" s="2282">
        <v>0</v>
      </c>
      <c r="H354" s="2282">
        <v>0</v>
      </c>
      <c r="I354" s="2282">
        <v>0</v>
      </c>
      <c r="J354" s="2275" t="s">
        <v>1739</v>
      </c>
      <c r="K354" s="437"/>
    </row>
    <row r="355" spans="1:11" ht="38.25">
      <c r="A355" s="1855">
        <v>287889</v>
      </c>
      <c r="B355" s="1856">
        <v>415.88299999999998</v>
      </c>
      <c r="C355" s="1909" t="s">
        <v>1691</v>
      </c>
      <c r="D355" s="1910"/>
      <c r="E355" s="2282">
        <v>-3405</v>
      </c>
      <c r="F355" s="2282">
        <f t="shared" si="11"/>
        <v>-3405</v>
      </c>
      <c r="G355" s="2282">
        <v>0</v>
      </c>
      <c r="H355" s="2282">
        <v>0</v>
      </c>
      <c r="I355" s="2282">
        <v>0</v>
      </c>
      <c r="J355" s="2275" t="s">
        <v>1740</v>
      </c>
      <c r="K355" s="437"/>
    </row>
    <row r="356" spans="1:11" ht="25.5" customHeight="1">
      <c r="A356" s="1855">
        <v>137323</v>
      </c>
      <c r="B356" s="1856">
        <v>415.90800000000002</v>
      </c>
      <c r="C356" s="1909" t="s">
        <v>1692</v>
      </c>
      <c r="D356" s="1910"/>
      <c r="E356" s="2282">
        <v>-1564488</v>
      </c>
      <c r="F356" s="2282">
        <f t="shared" si="11"/>
        <v>-1564488</v>
      </c>
      <c r="G356" s="2282">
        <v>0</v>
      </c>
      <c r="H356" s="2282">
        <v>0</v>
      </c>
      <c r="I356" s="2282">
        <v>0</v>
      </c>
      <c r="J356" s="2275" t="s">
        <v>1693</v>
      </c>
      <c r="K356" s="437"/>
    </row>
    <row r="357" spans="1:11" ht="38.25">
      <c r="A357" s="1855">
        <v>287871</v>
      </c>
      <c r="B357" s="1856">
        <v>415.86599999999999</v>
      </c>
      <c r="C357" s="1909" t="s">
        <v>1694</v>
      </c>
      <c r="D357" s="1910"/>
      <c r="E357" s="2282">
        <v>-341076</v>
      </c>
      <c r="F357" s="2282">
        <f t="shared" si="11"/>
        <v>-341076</v>
      </c>
      <c r="G357" s="2282">
        <v>0</v>
      </c>
      <c r="H357" s="2282">
        <v>0</v>
      </c>
      <c r="I357" s="2282">
        <v>0</v>
      </c>
      <c r="J357" s="2275" t="s">
        <v>1695</v>
      </c>
      <c r="K357" s="437"/>
    </row>
    <row r="358" spans="1:11" ht="51">
      <c r="A358" s="1855">
        <v>287881</v>
      </c>
      <c r="B358" s="1856">
        <v>415.70499999999998</v>
      </c>
      <c r="C358" s="1909" t="s">
        <v>1696</v>
      </c>
      <c r="D358" s="1910"/>
      <c r="E358" s="2282">
        <v>-8364</v>
      </c>
      <c r="F358" s="2282">
        <f t="shared" si="11"/>
        <v>-8364</v>
      </c>
      <c r="G358" s="2282">
        <v>0</v>
      </c>
      <c r="H358" s="2282">
        <v>0</v>
      </c>
      <c r="I358" s="2282">
        <v>0</v>
      </c>
      <c r="J358" s="1854" t="s">
        <v>1344</v>
      </c>
      <c r="K358" s="437"/>
    </row>
    <row r="359" spans="1:11" ht="26.25" customHeight="1">
      <c r="A359" s="1855">
        <v>287899</v>
      </c>
      <c r="B359" s="1856">
        <v>415.87799999999999</v>
      </c>
      <c r="C359" s="1909" t="s">
        <v>1697</v>
      </c>
      <c r="D359" s="1910"/>
      <c r="E359" s="2282">
        <v>-252374</v>
      </c>
      <c r="F359" s="2282">
        <f t="shared" si="11"/>
        <v>-252374</v>
      </c>
      <c r="G359" s="2282">
        <v>0</v>
      </c>
      <c r="H359" s="2282">
        <v>0</v>
      </c>
      <c r="I359" s="2282">
        <v>0</v>
      </c>
      <c r="J359" s="2275" t="s">
        <v>1698</v>
      </c>
      <c r="K359" s="437"/>
    </row>
    <row r="360" spans="1:11" ht="38.25">
      <c r="A360" s="1855">
        <v>287878</v>
      </c>
      <c r="B360" s="1856">
        <v>415.40600000000001</v>
      </c>
      <c r="C360" s="1909" t="s">
        <v>1699</v>
      </c>
      <c r="D360" s="1910"/>
      <c r="E360" s="2282">
        <v>0</v>
      </c>
      <c r="F360" s="2282">
        <f t="shared" si="11"/>
        <v>0</v>
      </c>
      <c r="G360" s="2282">
        <v>0</v>
      </c>
      <c r="H360" s="2282">
        <v>0</v>
      </c>
      <c r="I360" s="2282">
        <v>0</v>
      </c>
      <c r="J360" s="1854" t="s">
        <v>1342</v>
      </c>
      <c r="K360" s="437"/>
    </row>
    <row r="361" spans="1:11" ht="25.5">
      <c r="A361" s="1855">
        <v>287639</v>
      </c>
      <c r="B361" s="1856">
        <v>415.51</v>
      </c>
      <c r="C361" s="1909" t="s">
        <v>1700</v>
      </c>
      <c r="D361" s="1910"/>
      <c r="E361" s="2282">
        <v>-120497</v>
      </c>
      <c r="F361" s="2282">
        <f t="shared" si="11"/>
        <v>-120497</v>
      </c>
      <c r="G361" s="2282">
        <v>0</v>
      </c>
      <c r="H361" s="2282">
        <v>0</v>
      </c>
      <c r="I361" s="2282">
        <v>0</v>
      </c>
      <c r="J361" s="1854" t="s">
        <v>1323</v>
      </c>
      <c r="K361" s="437"/>
    </row>
    <row r="362" spans="1:11" ht="63.75">
      <c r="A362" s="1855">
        <v>287872</v>
      </c>
      <c r="B362" s="1856">
        <v>720.84100000000001</v>
      </c>
      <c r="C362" s="1909" t="s">
        <v>1701</v>
      </c>
      <c r="D362" s="1910"/>
      <c r="E362" s="2282">
        <v>0</v>
      </c>
      <c r="F362" s="2282">
        <f t="shared" si="11"/>
        <v>0</v>
      </c>
      <c r="G362" s="2282">
        <v>0</v>
      </c>
      <c r="H362" s="2282">
        <v>0</v>
      </c>
      <c r="I362" s="2282">
        <v>0</v>
      </c>
      <c r="J362" s="1854" t="s">
        <v>1337</v>
      </c>
      <c r="K362" s="437"/>
    </row>
    <row r="363" spans="1:11" ht="63.75">
      <c r="A363" s="1855">
        <v>287873</v>
      </c>
      <c r="B363" s="1856">
        <v>720.84199999999998</v>
      </c>
      <c r="C363" s="1909" t="s">
        <v>1702</v>
      </c>
      <c r="D363" s="1910"/>
      <c r="E363" s="2282">
        <v>0</v>
      </c>
      <c r="F363" s="2282">
        <f t="shared" si="11"/>
        <v>0</v>
      </c>
      <c r="G363" s="2282">
        <v>0</v>
      </c>
      <c r="H363" s="2282">
        <v>0</v>
      </c>
      <c r="I363" s="2282">
        <v>0</v>
      </c>
      <c r="J363" s="1854" t="s">
        <v>1338</v>
      </c>
      <c r="K363" s="437"/>
    </row>
    <row r="364" spans="1:11" ht="63.75">
      <c r="A364" s="1855">
        <v>287874</v>
      </c>
      <c r="B364" s="1856">
        <v>720.84299999999996</v>
      </c>
      <c r="C364" s="1909" t="s">
        <v>1703</v>
      </c>
      <c r="D364" s="1910"/>
      <c r="E364" s="2282">
        <v>-1018220</v>
      </c>
      <c r="F364" s="2282">
        <f t="shared" si="11"/>
        <v>-1018220</v>
      </c>
      <c r="G364" s="2282">
        <v>0</v>
      </c>
      <c r="H364" s="2282">
        <v>0</v>
      </c>
      <c r="I364" s="2282">
        <v>0</v>
      </c>
      <c r="J364" s="1854" t="s">
        <v>1339</v>
      </c>
      <c r="K364" s="437"/>
    </row>
    <row r="365" spans="1:11" ht="63.75">
      <c r="A365" s="1855">
        <v>287875</v>
      </c>
      <c r="B365" s="1856">
        <v>720.84400000000005</v>
      </c>
      <c r="C365" s="1909" t="s">
        <v>1704</v>
      </c>
      <c r="D365" s="1910"/>
      <c r="E365" s="2282">
        <v>0</v>
      </c>
      <c r="F365" s="2282">
        <f t="shared" si="11"/>
        <v>0</v>
      </c>
      <c r="G365" s="2282">
        <v>0</v>
      </c>
      <c r="H365" s="2282">
        <v>0</v>
      </c>
      <c r="I365" s="2282">
        <v>0</v>
      </c>
      <c r="J365" s="1854" t="s">
        <v>1340</v>
      </c>
      <c r="K365" s="437"/>
    </row>
    <row r="366" spans="1:11" ht="63.75">
      <c r="A366" s="1855">
        <v>287877</v>
      </c>
      <c r="B366" s="1856">
        <v>720.846</v>
      </c>
      <c r="C366" s="1909" t="s">
        <v>1705</v>
      </c>
      <c r="D366" s="1910"/>
      <c r="E366" s="2282">
        <v>0</v>
      </c>
      <c r="F366" s="2282">
        <f t="shared" si="11"/>
        <v>0</v>
      </c>
      <c r="G366" s="2282">
        <v>0</v>
      </c>
      <c r="H366" s="2282">
        <v>0</v>
      </c>
      <c r="I366" s="2282">
        <v>0</v>
      </c>
      <c r="J366" s="1854" t="s">
        <v>1341</v>
      </c>
      <c r="K366" s="437"/>
    </row>
    <row r="367" spans="1:11" ht="25.5">
      <c r="A367" s="1855">
        <v>287918</v>
      </c>
      <c r="B367" s="1856">
        <v>705.4</v>
      </c>
      <c r="C367" s="1909" t="s">
        <v>1706</v>
      </c>
      <c r="D367" s="1910"/>
      <c r="E367" s="2282">
        <v>0</v>
      </c>
      <c r="F367" s="2282">
        <f t="shared" si="11"/>
        <v>0</v>
      </c>
      <c r="G367" s="2282">
        <v>0</v>
      </c>
      <c r="H367" s="2282">
        <v>0</v>
      </c>
      <c r="I367" s="2282">
        <v>0</v>
      </c>
      <c r="J367" s="1854" t="s">
        <v>1219</v>
      </c>
      <c r="K367" s="437"/>
    </row>
    <row r="368" spans="1:11" ht="24.75" customHeight="1">
      <c r="A368" s="1855">
        <v>287917</v>
      </c>
      <c r="B368" s="1856">
        <v>705.45100000000002</v>
      </c>
      <c r="C368" s="1909" t="s">
        <v>1707</v>
      </c>
      <c r="D368" s="1910"/>
      <c r="E368" s="2282">
        <v>0</v>
      </c>
      <c r="F368" s="2282">
        <f t="shared" si="11"/>
        <v>0</v>
      </c>
      <c r="G368" s="2282">
        <v>0</v>
      </c>
      <c r="H368" s="2282">
        <v>0</v>
      </c>
      <c r="I368" s="2282">
        <v>0</v>
      </c>
      <c r="J368" s="1854" t="s">
        <v>1220</v>
      </c>
      <c r="K368" s="437"/>
    </row>
    <row r="369" spans="1:11" ht="24.75" customHeight="1">
      <c r="A369" s="1855">
        <v>287916</v>
      </c>
      <c r="B369" s="1856">
        <v>705.45500000000004</v>
      </c>
      <c r="C369" s="1909" t="s">
        <v>1708</v>
      </c>
      <c r="D369" s="1910"/>
      <c r="E369" s="2282">
        <v>-178699</v>
      </c>
      <c r="F369" s="2282">
        <f t="shared" si="11"/>
        <v>-178699</v>
      </c>
      <c r="G369" s="2282">
        <v>0</v>
      </c>
      <c r="H369" s="2282">
        <v>0</v>
      </c>
      <c r="I369" s="2282">
        <v>0</v>
      </c>
      <c r="J369" s="1854" t="s">
        <v>1223</v>
      </c>
      <c r="K369" s="437"/>
    </row>
    <row r="370" spans="1:11" ht="38.25">
      <c r="A370" s="1855">
        <v>287649</v>
      </c>
      <c r="B370" s="1856">
        <v>730.17</v>
      </c>
      <c r="C370" s="1909" t="s">
        <v>1709</v>
      </c>
      <c r="D370" s="1910"/>
      <c r="E370" s="2282">
        <v>-32416108</v>
      </c>
      <c r="F370" s="2282">
        <f t="shared" si="11"/>
        <v>-32416108</v>
      </c>
      <c r="G370" s="2282">
        <v>0</v>
      </c>
      <c r="H370" s="2282">
        <v>0</v>
      </c>
      <c r="I370" s="2282">
        <v>0</v>
      </c>
      <c r="J370" s="1854" t="s">
        <v>1327</v>
      </c>
      <c r="K370" s="437"/>
    </row>
    <row r="371" spans="1:11" ht="25.5">
      <c r="A371" s="1855">
        <v>287886</v>
      </c>
      <c r="B371" s="1856">
        <v>415.83699999999999</v>
      </c>
      <c r="C371" s="1909" t="s">
        <v>1710</v>
      </c>
      <c r="D371" s="1910"/>
      <c r="E371" s="2282">
        <v>-46685346</v>
      </c>
      <c r="F371" s="2282">
        <f t="shared" si="11"/>
        <v>-46685346</v>
      </c>
      <c r="G371" s="2282">
        <v>0</v>
      </c>
      <c r="H371" s="2282">
        <v>0</v>
      </c>
      <c r="I371" s="2282">
        <v>0</v>
      </c>
      <c r="J371" s="1854" t="s">
        <v>1345</v>
      </c>
      <c r="K371" s="437"/>
    </row>
    <row r="372" spans="1:11" ht="12.75">
      <c r="A372" s="2280" t="s">
        <v>1711</v>
      </c>
      <c r="B372" s="1856"/>
      <c r="C372" s="1909"/>
      <c r="D372" s="1910"/>
      <c r="E372" s="2282"/>
      <c r="F372" s="2284"/>
      <c r="G372" s="2284"/>
      <c r="H372" s="2284"/>
      <c r="I372" s="2284"/>
      <c r="J372" s="1854"/>
      <c r="K372" s="437"/>
    </row>
    <row r="373" spans="1:11" ht="38.25">
      <c r="A373" s="1886">
        <v>287995</v>
      </c>
      <c r="B373" s="1856">
        <v>720.55</v>
      </c>
      <c r="C373" s="1909" t="s">
        <v>557</v>
      </c>
      <c r="D373" s="1910"/>
      <c r="E373" s="2282">
        <v>-9806</v>
      </c>
      <c r="F373" s="2282">
        <v>0</v>
      </c>
      <c r="G373" s="2282">
        <v>0</v>
      </c>
      <c r="H373" s="2282">
        <v>0</v>
      </c>
      <c r="I373" s="2282">
        <f>E373</f>
        <v>-9806</v>
      </c>
      <c r="J373" s="1854" t="s">
        <v>1890</v>
      </c>
      <c r="K373" s="437"/>
    </row>
    <row r="374" spans="1:11" ht="24.75" customHeight="1">
      <c r="A374" s="1855">
        <v>287891</v>
      </c>
      <c r="B374" s="1856">
        <v>505.18</v>
      </c>
      <c r="C374" s="1909" t="s">
        <v>573</v>
      </c>
      <c r="D374" s="1910"/>
      <c r="E374" s="2282">
        <v>-129991</v>
      </c>
      <c r="F374" s="2282">
        <f t="shared" ref="F374:F380" si="12">E374</f>
        <v>-129991</v>
      </c>
      <c r="G374" s="2282">
        <v>0</v>
      </c>
      <c r="H374" s="2282">
        <v>0</v>
      </c>
      <c r="I374" s="2282">
        <v>0</v>
      </c>
      <c r="J374" s="1854" t="s">
        <v>1891</v>
      </c>
      <c r="K374" s="437"/>
    </row>
    <row r="375" spans="1:11" ht="25.5">
      <c r="A375" s="1855">
        <v>287650</v>
      </c>
      <c r="B375" s="1856">
        <v>205.1</v>
      </c>
      <c r="C375" s="1909" t="s">
        <v>572</v>
      </c>
      <c r="D375" s="1910"/>
      <c r="E375" s="2282">
        <v>-3062782</v>
      </c>
      <c r="F375" s="2282">
        <f t="shared" si="12"/>
        <v>-3062782</v>
      </c>
      <c r="G375" s="2282">
        <v>0</v>
      </c>
      <c r="H375" s="2282">
        <v>0</v>
      </c>
      <c r="I375" s="2282">
        <v>0</v>
      </c>
      <c r="J375" s="1854" t="s">
        <v>1914</v>
      </c>
      <c r="K375" s="437"/>
    </row>
    <row r="376" spans="1:11" ht="38.25">
      <c r="A376" s="1855">
        <v>287879</v>
      </c>
      <c r="B376" s="1856">
        <v>415.89800000000002</v>
      </c>
      <c r="C376" s="1909" t="s">
        <v>591</v>
      </c>
      <c r="D376" s="1910"/>
      <c r="E376" s="2282">
        <v>-1044529</v>
      </c>
      <c r="F376" s="2282">
        <f t="shared" si="12"/>
        <v>-1044529</v>
      </c>
      <c r="G376" s="2282">
        <v>0</v>
      </c>
      <c r="H376" s="2282">
        <v>0</v>
      </c>
      <c r="I376" s="2282">
        <v>0</v>
      </c>
      <c r="J376" s="1854" t="s">
        <v>1343</v>
      </c>
      <c r="K376" s="437"/>
    </row>
    <row r="377" spans="1:11" ht="12.75">
      <c r="A377" s="1855">
        <v>287460</v>
      </c>
      <c r="B377" s="1856">
        <v>720.8</v>
      </c>
      <c r="C377" s="1909" t="s">
        <v>558</v>
      </c>
      <c r="D377" s="1910"/>
      <c r="E377" s="2282">
        <v>0</v>
      </c>
      <c r="F377" s="2282">
        <f t="shared" si="12"/>
        <v>0</v>
      </c>
      <c r="G377" s="2282">
        <v>0</v>
      </c>
      <c r="H377" s="2282">
        <v>0</v>
      </c>
      <c r="I377" s="2282">
        <v>0</v>
      </c>
      <c r="J377" s="1854" t="s">
        <v>1214</v>
      </c>
      <c r="K377" s="437"/>
    </row>
    <row r="378" spans="1:11" ht="51">
      <c r="A378" s="1855">
        <v>287661</v>
      </c>
      <c r="B378" s="1856">
        <v>425.36</v>
      </c>
      <c r="C378" s="1909" t="s">
        <v>594</v>
      </c>
      <c r="D378" s="1910"/>
      <c r="E378" s="2282">
        <v>-1406355</v>
      </c>
      <c r="F378" s="2282">
        <f t="shared" si="12"/>
        <v>-1406355</v>
      </c>
      <c r="G378" s="2282">
        <v>0</v>
      </c>
      <c r="H378" s="2282">
        <v>0</v>
      </c>
      <c r="I378" s="2282">
        <v>0</v>
      </c>
      <c r="J378" s="1854" t="s">
        <v>1350</v>
      </c>
      <c r="K378" s="437"/>
    </row>
    <row r="379" spans="1:11" ht="27.75" customHeight="1">
      <c r="A379" s="1855">
        <v>287750</v>
      </c>
      <c r="B379" s="1856">
        <v>425.31</v>
      </c>
      <c r="C379" s="1909" t="s">
        <v>1357</v>
      </c>
      <c r="D379" s="1910"/>
      <c r="E379" s="2282">
        <v>0</v>
      </c>
      <c r="F379" s="2282">
        <f t="shared" si="12"/>
        <v>0</v>
      </c>
      <c r="G379" s="2282">
        <v>0</v>
      </c>
      <c r="H379" s="2282">
        <v>0</v>
      </c>
      <c r="I379" s="2282">
        <v>0</v>
      </c>
      <c r="J379" s="1854" t="s">
        <v>1892</v>
      </c>
      <c r="K379" s="437"/>
    </row>
    <row r="380" spans="1:11" ht="39.75" customHeight="1">
      <c r="A380" s="1855">
        <v>287656</v>
      </c>
      <c r="B380" s="1856">
        <v>425.28</v>
      </c>
      <c r="C380" s="1909" t="s">
        <v>593</v>
      </c>
      <c r="D380" s="1910"/>
      <c r="E380" s="2282">
        <v>-160757</v>
      </c>
      <c r="F380" s="2282">
        <f t="shared" si="12"/>
        <v>-160757</v>
      </c>
      <c r="G380" s="2282">
        <v>0</v>
      </c>
      <c r="H380" s="2282">
        <v>0</v>
      </c>
      <c r="I380" s="2282">
        <v>0</v>
      </c>
      <c r="J380" s="1854" t="s">
        <v>1349</v>
      </c>
      <c r="K380" s="437"/>
    </row>
    <row r="381" spans="1:11" ht="25.5">
      <c r="A381" s="1855">
        <v>287967</v>
      </c>
      <c r="B381" s="1856">
        <v>320.29000000000002</v>
      </c>
      <c r="C381" s="1909" t="s">
        <v>1712</v>
      </c>
      <c r="D381" s="1910"/>
      <c r="E381" s="2282">
        <v>-223117</v>
      </c>
      <c r="F381" s="2282">
        <v>0</v>
      </c>
      <c r="G381" s="2282">
        <v>0</v>
      </c>
      <c r="H381" s="2282">
        <v>0</v>
      </c>
      <c r="I381" s="2282">
        <f>E381</f>
        <v>-223117</v>
      </c>
      <c r="J381" s="1854" t="s">
        <v>1364</v>
      </c>
      <c r="K381" s="437"/>
    </row>
    <row r="382" spans="1:11" ht="38.25">
      <c r="A382" s="1855">
        <v>287609</v>
      </c>
      <c r="B382" s="1856">
        <v>105.241</v>
      </c>
      <c r="C382" s="1909" t="s">
        <v>1713</v>
      </c>
      <c r="D382" s="1910"/>
      <c r="E382" s="2282">
        <v>0</v>
      </c>
      <c r="F382" s="2282">
        <f t="shared" ref="F382:F388" si="13">E382</f>
        <v>0</v>
      </c>
      <c r="G382" s="2282">
        <v>0</v>
      </c>
      <c r="H382" s="2282">
        <v>0</v>
      </c>
      <c r="I382" s="2282">
        <v>0</v>
      </c>
      <c r="J382" s="1854" t="s">
        <v>1360</v>
      </c>
      <c r="K382" s="437"/>
    </row>
    <row r="383" spans="1:11" ht="25.5">
      <c r="A383" s="1855">
        <v>137507</v>
      </c>
      <c r="B383" s="1856">
        <v>210.185</v>
      </c>
      <c r="C383" s="1909" t="s">
        <v>1714</v>
      </c>
      <c r="D383" s="1910"/>
      <c r="E383" s="2282">
        <v>-4031</v>
      </c>
      <c r="F383" s="2282">
        <f t="shared" si="13"/>
        <v>-4031</v>
      </c>
      <c r="G383" s="2282">
        <v>0</v>
      </c>
      <c r="H383" s="2282">
        <v>0</v>
      </c>
      <c r="I383" s="2282">
        <v>0</v>
      </c>
      <c r="J383" s="1859" t="s">
        <v>1715</v>
      </c>
      <c r="K383" s="437"/>
    </row>
    <row r="384" spans="1:11" ht="25.5">
      <c r="A384" s="1855">
        <v>137512</v>
      </c>
      <c r="B384" s="1856">
        <v>320.291</v>
      </c>
      <c r="C384" s="1909" t="s">
        <v>1893</v>
      </c>
      <c r="D384" s="1910"/>
      <c r="E384" s="2282">
        <v>-1593942</v>
      </c>
      <c r="F384" s="2282">
        <v>0</v>
      </c>
      <c r="G384" s="2282">
        <v>0</v>
      </c>
      <c r="H384" s="2282">
        <v>0</v>
      </c>
      <c r="I384" s="2282">
        <f>E384</f>
        <v>-1593942</v>
      </c>
      <c r="J384" s="2275" t="s">
        <v>1894</v>
      </c>
      <c r="K384" s="437"/>
    </row>
    <row r="385" spans="1:11" ht="25.5">
      <c r="A385" s="1855">
        <v>287669</v>
      </c>
      <c r="B385" s="1856">
        <v>210.18</v>
      </c>
      <c r="C385" s="1909" t="s">
        <v>598</v>
      </c>
      <c r="D385" s="1910"/>
      <c r="E385" s="2282">
        <v>-2273169</v>
      </c>
      <c r="F385" s="2282">
        <f t="shared" si="13"/>
        <v>-2273169</v>
      </c>
      <c r="G385" s="2282">
        <v>0</v>
      </c>
      <c r="H385" s="2282">
        <v>0</v>
      </c>
      <c r="I385" s="2282">
        <v>0</v>
      </c>
      <c r="J385" s="1854" t="s">
        <v>1354</v>
      </c>
      <c r="K385" s="437"/>
    </row>
    <row r="386" spans="1:11" ht="27" customHeight="1">
      <c r="A386" s="1855">
        <v>137513</v>
      </c>
      <c r="B386" s="1856">
        <v>210.19499999999999</v>
      </c>
      <c r="C386" s="1909" t="s">
        <v>1484</v>
      </c>
      <c r="D386" s="1910"/>
      <c r="E386" s="2282">
        <v>-60245</v>
      </c>
      <c r="F386" s="2282">
        <f t="shared" si="13"/>
        <v>-60245</v>
      </c>
      <c r="G386" s="2282">
        <v>0</v>
      </c>
      <c r="H386" s="2282">
        <v>0</v>
      </c>
      <c r="I386" s="2282">
        <v>0</v>
      </c>
      <c r="J386" s="1854" t="s">
        <v>2129</v>
      </c>
      <c r="K386" s="437"/>
    </row>
    <row r="387" spans="1:11" ht="25.5">
      <c r="A387" s="1855">
        <v>287665</v>
      </c>
      <c r="B387" s="1856">
        <v>210.13</v>
      </c>
      <c r="C387" s="1909" t="s">
        <v>597</v>
      </c>
      <c r="D387" s="1910"/>
      <c r="E387" s="2282">
        <v>-131155</v>
      </c>
      <c r="F387" s="2282">
        <f t="shared" si="13"/>
        <v>-131155</v>
      </c>
      <c r="G387" s="2282">
        <v>0</v>
      </c>
      <c r="H387" s="2282">
        <v>0</v>
      </c>
      <c r="I387" s="2282">
        <v>0</v>
      </c>
      <c r="J387" s="1854" t="s">
        <v>1353</v>
      </c>
      <c r="K387" s="437"/>
    </row>
    <row r="388" spans="1:11" ht="25.5">
      <c r="A388" s="1855">
        <v>287662</v>
      </c>
      <c r="B388" s="1856">
        <v>210.1</v>
      </c>
      <c r="C388" s="1909" t="s">
        <v>595</v>
      </c>
      <c r="D388" s="1910"/>
      <c r="E388" s="2282">
        <v>-327126</v>
      </c>
      <c r="F388" s="2282">
        <f t="shared" si="13"/>
        <v>-327126</v>
      </c>
      <c r="G388" s="2282">
        <v>0</v>
      </c>
      <c r="H388" s="2282">
        <v>0</v>
      </c>
      <c r="I388" s="2282">
        <v>0</v>
      </c>
      <c r="J388" s="1854" t="s">
        <v>1351</v>
      </c>
      <c r="K388" s="437"/>
    </row>
    <row r="389" spans="1:11" ht="25.5">
      <c r="A389" s="1855">
        <v>287708</v>
      </c>
      <c r="B389" s="1856">
        <v>210.2</v>
      </c>
      <c r="C389" s="1909" t="s">
        <v>599</v>
      </c>
      <c r="D389" s="1910"/>
      <c r="E389" s="2282">
        <v>-8301728</v>
      </c>
      <c r="F389" s="2282">
        <v>0</v>
      </c>
      <c r="G389" s="2282">
        <v>0</v>
      </c>
      <c r="H389" s="2282">
        <f>E389</f>
        <v>-8301728</v>
      </c>
      <c r="I389" s="2282">
        <v>0</v>
      </c>
      <c r="J389" s="1854" t="s">
        <v>1356</v>
      </c>
      <c r="K389" s="437"/>
    </row>
    <row r="390" spans="1:11" ht="25.5">
      <c r="A390" s="1855">
        <v>287664</v>
      </c>
      <c r="B390" s="1856">
        <v>210.12</v>
      </c>
      <c r="C390" s="1909" t="s">
        <v>596</v>
      </c>
      <c r="D390" s="1910"/>
      <c r="E390" s="2282">
        <v>-1013763</v>
      </c>
      <c r="F390" s="2282">
        <f>E390</f>
        <v>-1013763</v>
      </c>
      <c r="G390" s="2282">
        <v>0</v>
      </c>
      <c r="H390" s="2282">
        <v>0</v>
      </c>
      <c r="I390" s="2282">
        <v>0</v>
      </c>
      <c r="J390" s="1854" t="s">
        <v>1352</v>
      </c>
      <c r="K390" s="437"/>
    </row>
    <row r="391" spans="1:11" ht="12.75">
      <c r="A391" s="1855">
        <v>137511</v>
      </c>
      <c r="B391" s="1856">
        <v>210.19</v>
      </c>
      <c r="C391" s="1909" t="s">
        <v>1895</v>
      </c>
      <c r="D391" s="1910"/>
      <c r="E391" s="2282">
        <v>-261694</v>
      </c>
      <c r="F391" s="2282">
        <f>E391</f>
        <v>-261694</v>
      </c>
      <c r="G391" s="2282">
        <v>0</v>
      </c>
      <c r="H391" s="2282">
        <v>0</v>
      </c>
      <c r="I391" s="2282">
        <v>0</v>
      </c>
      <c r="J391" s="1854" t="s">
        <v>1896</v>
      </c>
      <c r="K391" s="437"/>
    </row>
    <row r="392" spans="1:11" ht="63.75">
      <c r="A392" s="1855">
        <v>287927</v>
      </c>
      <c r="B392" s="1856">
        <v>100.11</v>
      </c>
      <c r="C392" s="1909" t="s">
        <v>1897</v>
      </c>
      <c r="D392" s="1910"/>
      <c r="E392" s="2282">
        <v>-31239</v>
      </c>
      <c r="F392" s="2282">
        <f>E392</f>
        <v>-31239</v>
      </c>
      <c r="G392" s="2282">
        <v>0</v>
      </c>
      <c r="H392" s="2282">
        <v>0</v>
      </c>
      <c r="I392" s="2282">
        <v>0</v>
      </c>
      <c r="J392" s="1854" t="s">
        <v>2130</v>
      </c>
      <c r="K392" s="437"/>
    </row>
    <row r="393" spans="1:11" ht="38.25" customHeight="1">
      <c r="A393" s="1855">
        <v>287653</v>
      </c>
      <c r="B393" s="1856">
        <v>425.25</v>
      </c>
      <c r="C393" s="1909" t="s">
        <v>592</v>
      </c>
      <c r="D393" s="1910"/>
      <c r="E393" s="2282">
        <v>-29852</v>
      </c>
      <c r="F393" s="2282">
        <f>E393</f>
        <v>-29852</v>
      </c>
      <c r="G393" s="2282">
        <v>0</v>
      </c>
      <c r="H393" s="2282">
        <v>0</v>
      </c>
      <c r="I393" s="2282">
        <v>0</v>
      </c>
      <c r="J393" s="1854" t="s">
        <v>1349</v>
      </c>
      <c r="K393" s="437"/>
    </row>
    <row r="394" spans="1:11" ht="25.5">
      <c r="A394" s="1855">
        <v>287770</v>
      </c>
      <c r="B394" s="1856">
        <v>120.205</v>
      </c>
      <c r="C394" s="1909" t="s">
        <v>600</v>
      </c>
      <c r="D394" s="1910"/>
      <c r="E394" s="2282">
        <v>-1557524</v>
      </c>
      <c r="F394" s="2282">
        <f>E394</f>
        <v>-1557524</v>
      </c>
      <c r="G394" s="2282">
        <v>0</v>
      </c>
      <c r="H394" s="2282">
        <v>0</v>
      </c>
      <c r="I394" s="2282">
        <v>0</v>
      </c>
      <c r="J394" s="1854" t="s">
        <v>1358</v>
      </c>
      <c r="K394" s="437"/>
    </row>
    <row r="395" spans="1:11" ht="25.5">
      <c r="A395" s="1855">
        <v>287859</v>
      </c>
      <c r="B395" s="1856">
        <v>910.93499999999995</v>
      </c>
      <c r="C395" s="1909" t="s">
        <v>601</v>
      </c>
      <c r="D395" s="1910"/>
      <c r="E395" s="2282">
        <v>-509935</v>
      </c>
      <c r="F395" s="2282">
        <v>0</v>
      </c>
      <c r="G395" s="2282">
        <v>0</v>
      </c>
      <c r="H395" s="2282">
        <v>0</v>
      </c>
      <c r="I395" s="2282">
        <f>E395</f>
        <v>-509935</v>
      </c>
      <c r="J395" s="1854" t="s">
        <v>1359</v>
      </c>
      <c r="K395" s="437"/>
    </row>
    <row r="396" spans="1:11" ht="25.5">
      <c r="A396" s="1855">
        <v>287965</v>
      </c>
      <c r="B396" s="1856">
        <v>415.83600000000001</v>
      </c>
      <c r="C396" s="1909" t="s">
        <v>1362</v>
      </c>
      <c r="D396" s="1910"/>
      <c r="E396" s="2282">
        <v>-68559</v>
      </c>
      <c r="F396" s="2282">
        <f>E396</f>
        <v>-68559</v>
      </c>
      <c r="G396" s="2282">
        <v>0</v>
      </c>
      <c r="H396" s="2282">
        <v>0</v>
      </c>
      <c r="I396" s="2282">
        <v>0</v>
      </c>
      <c r="J396" s="1854" t="s">
        <v>1363</v>
      </c>
      <c r="K396" s="437"/>
    </row>
    <row r="397" spans="1:11" ht="25.5">
      <c r="A397" s="1855">
        <v>287966</v>
      </c>
      <c r="B397" s="1856">
        <v>415.834</v>
      </c>
      <c r="C397" s="1909" t="s">
        <v>1716</v>
      </c>
      <c r="D397" s="1910"/>
      <c r="E397" s="2282">
        <v>-49948</v>
      </c>
      <c r="F397" s="2282">
        <f>E397</f>
        <v>-49948</v>
      </c>
      <c r="G397" s="2282">
        <v>0</v>
      </c>
      <c r="H397" s="2282">
        <v>0</v>
      </c>
      <c r="I397" s="2282">
        <v>0</v>
      </c>
      <c r="J397" s="1854" t="s">
        <v>1363</v>
      </c>
      <c r="K397" s="437"/>
    </row>
    <row r="398" spans="1:11" ht="25.5">
      <c r="A398" s="1855">
        <v>287492</v>
      </c>
      <c r="B398" s="1856" t="s">
        <v>565</v>
      </c>
      <c r="C398" s="1909" t="s">
        <v>1717</v>
      </c>
      <c r="D398" s="1910"/>
      <c r="E398" s="2282">
        <v>-293220</v>
      </c>
      <c r="F398" s="2282">
        <f>E398</f>
        <v>-293220</v>
      </c>
      <c r="G398" s="2282">
        <v>0</v>
      </c>
      <c r="H398" s="2282">
        <v>0</v>
      </c>
      <c r="I398" s="2282">
        <v>0</v>
      </c>
      <c r="J398" s="1859" t="s">
        <v>1741</v>
      </c>
      <c r="K398" s="437"/>
    </row>
    <row r="399" spans="1:11" s="1347" customFormat="1" ht="12.75">
      <c r="A399" s="2558" t="s">
        <v>439</v>
      </c>
      <c r="B399" s="2559"/>
      <c r="C399" s="2559"/>
      <c r="D399" s="1928"/>
      <c r="E399" s="1885">
        <v>-5</v>
      </c>
      <c r="F399" s="1885">
        <v>-5</v>
      </c>
      <c r="G399" s="1885"/>
      <c r="H399" s="1885"/>
      <c r="I399" s="1885"/>
      <c r="J399" s="1929"/>
    </row>
    <row r="400" spans="1:11" s="1390" customFormat="1" ht="12.75">
      <c r="A400" s="1866" t="s">
        <v>322</v>
      </c>
      <c r="B400" s="1867"/>
      <c r="C400" s="1891"/>
      <c r="D400" s="1892"/>
      <c r="E400" s="1893">
        <f>SUBTOTAL(9,E280:E399)</f>
        <v>-633311644</v>
      </c>
      <c r="F400" s="1893">
        <f>SUBTOTAL(9,F280:F399)</f>
        <v>-619499864</v>
      </c>
      <c r="G400" s="1893">
        <f>SUBTOTAL(9,G280:G399)</f>
        <v>0</v>
      </c>
      <c r="H400" s="1893">
        <f>SUBTOTAL(9,H280:H399)</f>
        <v>-8301728</v>
      </c>
      <c r="I400" s="1893">
        <f>SUBTOTAL(9,I280:I399)</f>
        <v>-5510052</v>
      </c>
      <c r="J400" s="1869"/>
      <c r="K400" s="1389"/>
    </row>
    <row r="401" spans="1:11" s="1390" customFormat="1" ht="12.75">
      <c r="A401" s="1894" t="s">
        <v>198</v>
      </c>
      <c r="B401" s="1895"/>
      <c r="C401" s="1891"/>
      <c r="D401" s="1892"/>
      <c r="E401" s="1930">
        <f>E315+E392</f>
        <v>-169299154</v>
      </c>
      <c r="F401" s="1930">
        <f t="shared" ref="F401:I401" si="14">F315+F392</f>
        <v>-169299154</v>
      </c>
      <c r="G401" s="1930">
        <f t="shared" si="14"/>
        <v>0</v>
      </c>
      <c r="H401" s="1930">
        <f t="shared" si="14"/>
        <v>0</v>
      </c>
      <c r="I401" s="1930">
        <f t="shared" si="14"/>
        <v>0</v>
      </c>
      <c r="J401" s="1869"/>
      <c r="K401" s="1389"/>
    </row>
    <row r="402" spans="1:11" s="1390" customFormat="1" ht="12.75">
      <c r="A402" s="1894" t="s">
        <v>199</v>
      </c>
      <c r="B402" s="1895"/>
      <c r="C402" s="1891"/>
      <c r="D402" s="1892"/>
      <c r="E402" s="1930">
        <v>0</v>
      </c>
      <c r="F402" s="1930">
        <v>0</v>
      </c>
      <c r="G402" s="1930">
        <v>0</v>
      </c>
      <c r="H402" s="1930">
        <v>0</v>
      </c>
      <c r="I402" s="1930">
        <v>0</v>
      </c>
      <c r="J402" s="1869"/>
      <c r="K402" s="1389"/>
    </row>
    <row r="403" spans="1:11" s="1390" customFormat="1" ht="12.75">
      <c r="A403" s="1327" t="s">
        <v>282</v>
      </c>
      <c r="B403" s="1328"/>
      <c r="C403" s="1391"/>
      <c r="D403" s="1311"/>
      <c r="E403" s="1931">
        <f>SUM(E400-E401-E402)</f>
        <v>-464012490</v>
      </c>
      <c r="F403" s="1931">
        <f>SUM(F400-F401-F402)</f>
        <v>-450200710</v>
      </c>
      <c r="G403" s="1931">
        <f>SUM(G400-G401-G402)</f>
        <v>0</v>
      </c>
      <c r="H403" s="1931">
        <f>SUM(H400-H401-H402)</f>
        <v>-8301728</v>
      </c>
      <c r="I403" s="1931">
        <f>SUM(I400-I401-I402)</f>
        <v>-5510052</v>
      </c>
      <c r="J403" s="1869"/>
      <c r="K403" s="1389"/>
    </row>
    <row r="404" spans="1:11" s="1390" customFormat="1" ht="12.75">
      <c r="A404" s="1312"/>
      <c r="B404" s="1312"/>
      <c r="C404" s="1324"/>
      <c r="D404" s="1314"/>
      <c r="E404" s="1932"/>
      <c r="F404" s="1932"/>
      <c r="G404" s="1932"/>
      <c r="H404" s="1932"/>
      <c r="I404" s="1316"/>
      <c r="J404" s="1389"/>
      <c r="K404" s="1389"/>
    </row>
    <row r="405" spans="1:11" s="1390" customFormat="1" ht="12.75">
      <c r="A405" s="1312"/>
      <c r="B405" s="1312"/>
      <c r="C405" s="1897" t="s">
        <v>65</v>
      </c>
      <c r="D405" s="1898"/>
      <c r="E405" s="1899"/>
      <c r="F405" s="1899"/>
      <c r="G405" s="1900"/>
      <c r="H405" s="1901"/>
      <c r="I405" s="1316"/>
      <c r="J405" s="1389"/>
      <c r="K405" s="1389"/>
    </row>
    <row r="406" spans="1:11" s="1390" customFormat="1" ht="25.5">
      <c r="A406" s="1312"/>
      <c r="B406" s="1312"/>
      <c r="C406" s="1392" t="s">
        <v>132</v>
      </c>
      <c r="D406" s="1393"/>
      <c r="E406" s="1316"/>
      <c r="F406" s="1316"/>
      <c r="G406" s="1316"/>
      <c r="H406" s="1933"/>
      <c r="I406" s="1316"/>
      <c r="J406" s="1389"/>
      <c r="K406" s="1389"/>
    </row>
    <row r="407" spans="1:11" s="1390" customFormat="1" ht="12.75">
      <c r="A407" s="1312"/>
      <c r="B407" s="1312"/>
      <c r="C407" s="1318" t="s">
        <v>133</v>
      </c>
      <c r="D407" s="1313"/>
      <c r="E407" s="1323"/>
      <c r="F407" s="1323"/>
      <c r="G407" s="1315"/>
      <c r="H407" s="1319"/>
      <c r="I407" s="1316"/>
      <c r="J407" s="1389"/>
      <c r="K407" s="1389"/>
    </row>
    <row r="408" spans="1:11" s="1390" customFormat="1" ht="12.75">
      <c r="A408" s="1312"/>
      <c r="B408" s="1312"/>
      <c r="C408" s="1318" t="s">
        <v>262</v>
      </c>
      <c r="D408" s="1313"/>
      <c r="E408" s="1323"/>
      <c r="F408" s="1323"/>
      <c r="G408" s="1315"/>
      <c r="H408" s="1319"/>
      <c r="I408" s="1316"/>
      <c r="J408" s="1389"/>
      <c r="K408" s="1389"/>
    </row>
    <row r="409" spans="1:11" s="1390" customFormat="1" ht="12.75">
      <c r="A409" s="1312"/>
      <c r="B409" s="1312"/>
      <c r="C409" s="1318" t="s">
        <v>264</v>
      </c>
      <c r="D409" s="1313"/>
      <c r="E409" s="1323"/>
      <c r="F409" s="1323"/>
      <c r="G409" s="1323"/>
      <c r="H409" s="1354"/>
      <c r="I409" s="1320"/>
      <c r="J409" s="1389"/>
      <c r="K409" s="1389"/>
    </row>
    <row r="410" spans="1:11" s="1390" customFormat="1" ht="24.75" customHeight="1">
      <c r="A410" s="1312"/>
      <c r="B410" s="1312"/>
      <c r="C410" s="2552" t="s">
        <v>18</v>
      </c>
      <c r="D410" s="2553"/>
      <c r="E410" s="2553"/>
      <c r="F410" s="2553"/>
      <c r="G410" s="2553"/>
      <c r="H410" s="2554"/>
      <c r="I410" s="1316"/>
      <c r="J410" s="1389"/>
      <c r="K410" s="1389"/>
    </row>
    <row r="411" spans="1:11">
      <c r="A411" s="1379"/>
      <c r="B411" s="1379"/>
      <c r="C411" s="1380"/>
      <c r="D411" s="1309"/>
      <c r="E411" s="1330"/>
      <c r="F411" s="1330"/>
      <c r="G411" s="1330"/>
      <c r="H411" s="1330"/>
      <c r="I411" s="1383"/>
    </row>
    <row r="412" spans="1:11" ht="15">
      <c r="A412" s="1382"/>
      <c r="B412" s="1382"/>
      <c r="C412" s="1387"/>
      <c r="D412" s="1329"/>
      <c r="E412" s="1329"/>
      <c r="F412" s="1329"/>
      <c r="G412" s="1329"/>
      <c r="H412" s="1329"/>
      <c r="I412" s="1387"/>
    </row>
    <row r="413" spans="1:11" ht="15">
      <c r="A413" s="1382"/>
      <c r="B413" s="1382"/>
      <c r="C413" s="1382"/>
      <c r="D413" s="831"/>
      <c r="E413" s="831"/>
      <c r="F413" s="831"/>
      <c r="G413" s="831"/>
      <c r="H413" s="831"/>
      <c r="I413" s="1382"/>
    </row>
    <row r="414" spans="1:11">
      <c r="A414" s="1380"/>
      <c r="B414" s="1380"/>
      <c r="C414" s="1380"/>
      <c r="D414" s="1309"/>
      <c r="E414" s="1330"/>
      <c r="F414" s="1330"/>
      <c r="G414" s="1330"/>
      <c r="H414" s="1330"/>
      <c r="I414" s="1383"/>
    </row>
    <row r="415" spans="1:11">
      <c r="A415" s="1380"/>
      <c r="B415" s="1380"/>
      <c r="C415" s="1380"/>
      <c r="D415" s="1309"/>
      <c r="E415" s="1330"/>
      <c r="F415" s="1330"/>
      <c r="G415" s="1330"/>
      <c r="H415" s="1330"/>
      <c r="I415" s="1383"/>
    </row>
    <row r="416" spans="1:11">
      <c r="A416" s="1380"/>
      <c r="B416" s="1380"/>
      <c r="C416" s="1380"/>
      <c r="D416" s="1309"/>
      <c r="E416" s="1330"/>
      <c r="F416" s="1330"/>
      <c r="G416" s="1330"/>
      <c r="H416" s="1330"/>
      <c r="I416" s="1383"/>
    </row>
    <row r="417" spans="1:9" ht="15">
      <c r="A417" s="1331"/>
      <c r="B417" s="1331"/>
      <c r="C417" s="1380"/>
      <c r="D417" s="1309"/>
      <c r="E417" s="1332"/>
      <c r="F417" s="1332"/>
      <c r="G417" s="1332"/>
      <c r="H417" s="1332"/>
      <c r="I417" s="1394"/>
    </row>
    <row r="418" spans="1:9" ht="15">
      <c r="A418" s="1331"/>
      <c r="B418" s="1331"/>
      <c r="C418" s="1380"/>
      <c r="D418" s="1309"/>
      <c r="E418" s="1332"/>
      <c r="F418" s="1332"/>
      <c r="G418" s="1332"/>
      <c r="H418" s="1332"/>
      <c r="I418" s="1394"/>
    </row>
    <row r="419" spans="1:9">
      <c r="A419" s="1379"/>
      <c r="B419" s="1379"/>
      <c r="C419" s="1380"/>
      <c r="D419" s="1309"/>
      <c r="E419" s="1329"/>
      <c r="F419" s="1329"/>
      <c r="G419" s="1330"/>
      <c r="H419" s="1330"/>
      <c r="I419" s="1383"/>
    </row>
    <row r="420" spans="1:9">
      <c r="A420" s="1379"/>
      <c r="B420" s="1379"/>
      <c r="C420" s="1379"/>
      <c r="D420" s="1309"/>
      <c r="E420" s="1934"/>
      <c r="F420" s="1934"/>
      <c r="G420" s="1330"/>
      <c r="H420" s="1330"/>
      <c r="I420" s="1383"/>
    </row>
    <row r="421" spans="1:9">
      <c r="A421" s="1379"/>
      <c r="B421" s="1379"/>
      <c r="C421" s="1380"/>
      <c r="D421" s="1309"/>
      <c r="E421" s="1934"/>
      <c r="F421" s="1934"/>
      <c r="G421" s="1330"/>
      <c r="H421" s="1330"/>
      <c r="I421" s="1383"/>
    </row>
    <row r="422" spans="1:9">
      <c r="A422" s="1379"/>
      <c r="B422" s="1379"/>
      <c r="C422" s="1380"/>
      <c r="D422" s="1309"/>
      <c r="E422" s="1934"/>
      <c r="F422" s="1934"/>
      <c r="G422" s="1330"/>
      <c r="H422" s="1330"/>
      <c r="I422" s="1383"/>
    </row>
    <row r="423" spans="1:9">
      <c r="A423" s="1379"/>
      <c r="B423" s="1379"/>
      <c r="C423" s="1380"/>
      <c r="D423" s="1309"/>
      <c r="E423" s="1934"/>
      <c r="F423" s="1934"/>
      <c r="G423" s="1330"/>
      <c r="H423" s="1330"/>
      <c r="I423" s="1383"/>
    </row>
    <row r="424" spans="1:9">
      <c r="A424" s="1379"/>
      <c r="B424" s="1379"/>
      <c r="C424" s="1380"/>
      <c r="D424" s="1309"/>
      <c r="E424" s="1934"/>
      <c r="F424" s="1934"/>
      <c r="G424" s="1330"/>
      <c r="H424" s="1330"/>
      <c r="I424" s="1383"/>
    </row>
    <row r="425" spans="1:9">
      <c r="A425" s="1379"/>
      <c r="B425" s="1379"/>
      <c r="C425" s="1380"/>
      <c r="D425" s="1309"/>
      <c r="E425" s="1934"/>
      <c r="F425" s="1934"/>
      <c r="G425" s="1330"/>
      <c r="H425" s="1330"/>
      <c r="I425" s="1383"/>
    </row>
    <row r="426" spans="1:9">
      <c r="A426" s="1379"/>
      <c r="B426" s="1379"/>
      <c r="C426" s="1380"/>
      <c r="D426" s="1309"/>
      <c r="E426" s="1934"/>
      <c r="F426" s="1934"/>
      <c r="G426" s="1330"/>
      <c r="H426" s="1330"/>
      <c r="I426" s="1383"/>
    </row>
    <row r="427" spans="1:9">
      <c r="A427" s="1379"/>
      <c r="B427" s="1379"/>
      <c r="C427" s="1380"/>
      <c r="D427" s="1309"/>
      <c r="E427" s="1934"/>
      <c r="F427" s="1934"/>
      <c r="G427" s="1330"/>
      <c r="H427" s="1330"/>
      <c r="I427" s="1383"/>
    </row>
    <row r="428" spans="1:9">
      <c r="A428" s="1379"/>
      <c r="B428" s="1379"/>
      <c r="C428" s="1380"/>
      <c r="D428" s="1309"/>
      <c r="E428" s="1934"/>
      <c r="F428" s="1934"/>
      <c r="G428" s="1330"/>
      <c r="H428" s="1330"/>
      <c r="I428" s="1383"/>
    </row>
    <row r="429" spans="1:9">
      <c r="A429" s="1379"/>
      <c r="B429" s="1379"/>
      <c r="C429" s="1380"/>
      <c r="D429" s="1309"/>
      <c r="E429" s="1934"/>
      <c r="F429" s="1934"/>
      <c r="G429" s="1330"/>
      <c r="H429" s="1330"/>
      <c r="I429" s="1383"/>
    </row>
    <row r="430" spans="1:9">
      <c r="A430" s="1380"/>
      <c r="B430" s="1380"/>
      <c r="C430" s="1380"/>
      <c r="D430" s="1309"/>
      <c r="E430" s="1934"/>
      <c r="F430" s="1934"/>
      <c r="G430" s="1330"/>
      <c r="H430" s="1330"/>
      <c r="I430" s="1383"/>
    </row>
    <row r="431" spans="1:9">
      <c r="A431" s="1379"/>
      <c r="B431" s="1379"/>
      <c r="C431" s="1380"/>
      <c r="D431" s="1309"/>
      <c r="E431" s="1934"/>
      <c r="F431" s="1934"/>
      <c r="G431" s="1330"/>
      <c r="H431" s="1330"/>
      <c r="I431" s="1383"/>
    </row>
    <row r="432" spans="1:9">
      <c r="A432" s="1380"/>
      <c r="B432" s="1380"/>
      <c r="C432" s="1380"/>
      <c r="D432" s="1309"/>
      <c r="E432" s="1934"/>
      <c r="F432" s="1934"/>
      <c r="G432" s="1330"/>
      <c r="H432" s="1330"/>
      <c r="I432" s="1383"/>
    </row>
    <row r="433" spans="1:9">
      <c r="A433" s="1379"/>
      <c r="B433" s="1379"/>
      <c r="C433" s="1380"/>
      <c r="D433" s="1309"/>
      <c r="E433" s="1330"/>
      <c r="F433" s="1330"/>
      <c r="G433" s="1330"/>
      <c r="H433" s="1330"/>
      <c r="I433" s="1383"/>
    </row>
    <row r="434" spans="1:9">
      <c r="A434" s="1379"/>
      <c r="B434" s="1379"/>
      <c r="C434" s="1380"/>
      <c r="D434" s="1309"/>
      <c r="E434" s="1330"/>
      <c r="F434" s="1330"/>
      <c r="G434" s="1330"/>
      <c r="H434" s="1330"/>
      <c r="I434" s="1383"/>
    </row>
    <row r="435" spans="1:9">
      <c r="A435" s="1379"/>
      <c r="B435" s="1379"/>
      <c r="C435" s="1380"/>
      <c r="D435" s="1309"/>
      <c r="E435" s="1330"/>
      <c r="F435" s="1330"/>
      <c r="G435" s="1330"/>
      <c r="H435" s="1330"/>
      <c r="I435" s="1383"/>
    </row>
    <row r="436" spans="1:9">
      <c r="A436" s="1379"/>
      <c r="B436" s="1379"/>
      <c r="C436" s="1380"/>
      <c r="D436" s="1309"/>
      <c r="E436" s="1330"/>
      <c r="F436" s="1330"/>
      <c r="G436" s="1330"/>
      <c r="H436" s="1330"/>
      <c r="I436" s="1383"/>
    </row>
    <row r="437" spans="1:9">
      <c r="A437" s="1379"/>
      <c r="B437" s="1379"/>
      <c r="C437" s="1380"/>
      <c r="D437" s="1309"/>
      <c r="E437" s="1330"/>
      <c r="F437" s="1330"/>
      <c r="G437" s="1330"/>
      <c r="H437" s="1330"/>
      <c r="I437" s="1383"/>
    </row>
    <row r="438" spans="1:9">
      <c r="A438" s="1379"/>
      <c r="B438" s="1379"/>
      <c r="C438" s="1380"/>
      <c r="D438" s="1309"/>
      <c r="E438" s="1330"/>
      <c r="F438" s="1330"/>
      <c r="G438" s="1330"/>
      <c r="H438" s="1330"/>
      <c r="I438" s="1383"/>
    </row>
    <row r="439" spans="1:9">
      <c r="A439" s="1379"/>
      <c r="B439" s="1379"/>
      <c r="C439" s="1380"/>
      <c r="D439" s="1309"/>
      <c r="E439" s="1330"/>
      <c r="F439" s="1330"/>
      <c r="G439" s="1330"/>
      <c r="H439" s="1330"/>
      <c r="I439" s="1383"/>
    </row>
    <row r="440" spans="1:9">
      <c r="A440" s="1379"/>
      <c r="B440" s="1379"/>
      <c r="C440" s="1380"/>
      <c r="D440" s="1309"/>
      <c r="E440" s="1330"/>
      <c r="F440" s="1330"/>
      <c r="G440" s="1330"/>
      <c r="H440" s="1330"/>
      <c r="I440" s="1383"/>
    </row>
    <row r="441" spans="1:9">
      <c r="A441" s="1379"/>
      <c r="B441" s="1379"/>
      <c r="C441" s="1380"/>
      <c r="D441" s="1309"/>
      <c r="E441" s="1330"/>
      <c r="F441" s="1330"/>
      <c r="G441" s="1330"/>
      <c r="H441" s="1330"/>
      <c r="I441" s="1383"/>
    </row>
    <row r="442" spans="1:9">
      <c r="A442" s="1379"/>
      <c r="B442" s="1379"/>
      <c r="C442" s="1380"/>
      <c r="D442" s="1309"/>
      <c r="E442" s="1330"/>
      <c r="F442" s="1330"/>
      <c r="G442" s="1330"/>
      <c r="H442" s="1330"/>
      <c r="I442" s="1383"/>
    </row>
    <row r="443" spans="1:9">
      <c r="A443" s="1379"/>
      <c r="B443" s="1379"/>
      <c r="C443" s="1380"/>
      <c r="D443" s="1309"/>
      <c r="E443" s="1330"/>
      <c r="F443" s="1330"/>
      <c r="G443" s="1330"/>
      <c r="H443" s="1330"/>
      <c r="I443" s="1383"/>
    </row>
    <row r="444" spans="1:9">
      <c r="A444" s="1379"/>
      <c r="B444" s="1379"/>
      <c r="C444" s="1380"/>
      <c r="D444" s="1309"/>
      <c r="E444" s="1330"/>
      <c r="F444" s="1330"/>
      <c r="G444" s="1330"/>
      <c r="H444" s="1330"/>
      <c r="I444" s="1383"/>
    </row>
    <row r="445" spans="1:9">
      <c r="A445" s="1379"/>
      <c r="B445" s="1379"/>
      <c r="C445" s="1380"/>
      <c r="D445" s="1309"/>
      <c r="E445" s="1330"/>
      <c r="F445" s="1330"/>
      <c r="G445" s="1330"/>
      <c r="H445" s="1330"/>
      <c r="I445" s="1383"/>
    </row>
    <row r="446" spans="1:9">
      <c r="A446" s="1379"/>
      <c r="B446" s="1379"/>
      <c r="C446" s="1380"/>
      <c r="D446" s="1309"/>
      <c r="E446" s="1330"/>
      <c r="F446" s="1330"/>
      <c r="G446" s="1330"/>
      <c r="H446" s="1330"/>
      <c r="I446" s="1383"/>
    </row>
    <row r="447" spans="1:9">
      <c r="A447" s="1379"/>
      <c r="B447" s="1379"/>
      <c r="C447" s="1380"/>
      <c r="D447" s="1309"/>
      <c r="E447" s="1330"/>
      <c r="F447" s="1330"/>
      <c r="G447" s="1330"/>
      <c r="H447" s="1330"/>
      <c r="I447" s="1383"/>
    </row>
    <row r="448" spans="1:9">
      <c r="A448" s="1379"/>
      <c r="B448" s="1379"/>
      <c r="C448" s="1380"/>
      <c r="D448" s="1309"/>
      <c r="E448" s="1330"/>
      <c r="F448" s="1330"/>
      <c r="G448" s="1330"/>
      <c r="H448" s="1330"/>
      <c r="I448" s="1383"/>
    </row>
    <row r="449" spans="1:9">
      <c r="A449" s="1379"/>
      <c r="B449" s="1379"/>
      <c r="C449" s="1380"/>
      <c r="D449" s="1309"/>
      <c r="E449" s="1330"/>
      <c r="F449" s="1330"/>
      <c r="G449" s="1330"/>
      <c r="H449" s="1330"/>
      <c r="I449" s="1383"/>
    </row>
    <row r="450" spans="1:9">
      <c r="A450" s="1379"/>
      <c r="B450" s="1379"/>
      <c r="C450" s="1380"/>
      <c r="D450" s="1309"/>
      <c r="E450" s="1330"/>
      <c r="F450" s="1330"/>
      <c r="G450" s="1330"/>
      <c r="H450" s="1330"/>
      <c r="I450" s="1383"/>
    </row>
    <row r="451" spans="1:9">
      <c r="A451" s="1379"/>
      <c r="B451" s="1379"/>
      <c r="C451" s="1380"/>
      <c r="D451" s="1309"/>
      <c r="E451" s="1330"/>
      <c r="F451" s="1330"/>
      <c r="G451" s="1330"/>
      <c r="H451" s="1330"/>
      <c r="I451" s="1383"/>
    </row>
    <row r="452" spans="1:9">
      <c r="A452" s="1379"/>
      <c r="B452" s="1379"/>
      <c r="C452" s="1380"/>
      <c r="D452" s="1309"/>
      <c r="E452" s="1330"/>
      <c r="F452" s="1330"/>
      <c r="G452" s="1330"/>
      <c r="H452" s="1330"/>
      <c r="I452" s="1383"/>
    </row>
    <row r="453" spans="1:9">
      <c r="A453" s="1379"/>
      <c r="B453" s="1379"/>
      <c r="C453" s="1380"/>
      <c r="D453" s="1309"/>
      <c r="E453" s="1330"/>
      <c r="F453" s="1330"/>
      <c r="G453" s="1330"/>
      <c r="H453" s="1330"/>
      <c r="I453" s="1383"/>
    </row>
    <row r="454" spans="1:9">
      <c r="A454" s="1379"/>
      <c r="B454" s="1379"/>
      <c r="C454" s="1380"/>
      <c r="D454" s="1309"/>
      <c r="E454" s="1330"/>
      <c r="F454" s="1330"/>
      <c r="G454" s="1330"/>
      <c r="H454" s="1330"/>
      <c r="I454" s="1383"/>
    </row>
    <row r="455" spans="1:9">
      <c r="A455" s="1379"/>
      <c r="B455" s="1379"/>
      <c r="C455" s="1380"/>
      <c r="D455" s="1309"/>
      <c r="E455" s="1330"/>
      <c r="F455" s="1330"/>
      <c r="G455" s="1330"/>
      <c r="H455" s="1330"/>
      <c r="I455" s="1383"/>
    </row>
    <row r="456" spans="1:9">
      <c r="A456" s="1379"/>
      <c r="B456" s="1379"/>
      <c r="C456" s="1380"/>
      <c r="D456" s="1309"/>
      <c r="E456" s="1330"/>
      <c r="F456" s="1330"/>
      <c r="G456" s="1330"/>
      <c r="H456" s="1330"/>
      <c r="I456" s="1383"/>
    </row>
    <row r="457" spans="1:9">
      <c r="A457" s="1379"/>
      <c r="B457" s="1379"/>
      <c r="C457" s="1380"/>
      <c r="D457" s="1309"/>
      <c r="E457" s="1330"/>
      <c r="F457" s="1330"/>
      <c r="G457" s="1330"/>
      <c r="H457" s="1330"/>
      <c r="I457" s="1383"/>
    </row>
    <row r="458" spans="1:9">
      <c r="A458" s="1379"/>
      <c r="B458" s="1379"/>
      <c r="C458" s="1380"/>
      <c r="D458" s="1309"/>
      <c r="E458" s="1330"/>
      <c r="F458" s="1330"/>
      <c r="G458" s="1330"/>
      <c r="H458" s="1330"/>
      <c r="I458" s="1383"/>
    </row>
    <row r="459" spans="1:9">
      <c r="A459" s="1379"/>
      <c r="B459" s="1379"/>
      <c r="C459" s="1380"/>
      <c r="D459" s="1309"/>
      <c r="E459" s="1330"/>
      <c r="F459" s="1330"/>
      <c r="G459" s="1330"/>
      <c r="H459" s="1330"/>
      <c r="I459" s="1383"/>
    </row>
    <row r="460" spans="1:9">
      <c r="A460" s="1379"/>
      <c r="B460" s="1379"/>
      <c r="C460" s="1380"/>
      <c r="D460" s="1309"/>
      <c r="E460" s="1330"/>
      <c r="F460" s="1330"/>
      <c r="G460" s="1330"/>
      <c r="H460" s="1330"/>
      <c r="I460" s="1383"/>
    </row>
    <row r="461" spans="1:9">
      <c r="A461" s="1379"/>
      <c r="B461" s="1379"/>
      <c r="C461" s="1380"/>
      <c r="D461" s="1309"/>
      <c r="E461" s="1330"/>
      <c r="F461" s="1330"/>
      <c r="G461" s="1330"/>
      <c r="H461" s="1330"/>
      <c r="I461" s="1383"/>
    </row>
    <row r="462" spans="1:9">
      <c r="A462" s="1379"/>
      <c r="B462" s="1379"/>
      <c r="C462" s="1380"/>
      <c r="D462" s="1309"/>
      <c r="E462" s="1330"/>
      <c r="F462" s="1330"/>
      <c r="G462" s="1330"/>
      <c r="H462" s="1330"/>
      <c r="I462" s="1383"/>
    </row>
    <row r="463" spans="1:9">
      <c r="A463" s="1379"/>
      <c r="B463" s="1379"/>
      <c r="C463" s="1380"/>
      <c r="D463" s="1309"/>
      <c r="E463" s="1330"/>
      <c r="F463" s="1330"/>
      <c r="G463" s="1330"/>
      <c r="H463" s="1330"/>
      <c r="I463" s="1383"/>
    </row>
    <row r="464" spans="1:9">
      <c r="A464" s="1379"/>
      <c r="B464" s="1379"/>
      <c r="C464" s="1380"/>
      <c r="D464" s="1309"/>
      <c r="E464" s="1330"/>
      <c r="F464" s="1330"/>
      <c r="G464" s="1330"/>
      <c r="H464" s="1330"/>
      <c r="I464" s="1383"/>
    </row>
    <row r="465" spans="1:9">
      <c r="A465" s="1379"/>
      <c r="B465" s="1379"/>
      <c r="C465" s="1380"/>
      <c r="D465" s="1309"/>
      <c r="E465" s="1330"/>
      <c r="F465" s="1330"/>
      <c r="G465" s="1330"/>
      <c r="H465" s="1330"/>
      <c r="I465" s="1383"/>
    </row>
    <row r="466" spans="1:9">
      <c r="A466" s="1379"/>
      <c r="B466" s="1379"/>
      <c r="C466" s="1380"/>
      <c r="D466" s="1309"/>
      <c r="E466" s="1330"/>
      <c r="F466" s="1330"/>
      <c r="G466" s="1330"/>
      <c r="H466" s="1330"/>
      <c r="I466" s="1383"/>
    </row>
    <row r="467" spans="1:9">
      <c r="A467" s="1379"/>
      <c r="B467" s="1379"/>
      <c r="C467" s="1380"/>
      <c r="D467" s="1309"/>
      <c r="E467" s="1330"/>
      <c r="F467" s="1330"/>
      <c r="G467" s="1330"/>
      <c r="H467" s="1330"/>
      <c r="I467" s="1383"/>
    </row>
    <row r="468" spans="1:9">
      <c r="A468" s="1379"/>
      <c r="B468" s="1379"/>
      <c r="C468" s="1380"/>
      <c r="D468" s="1309"/>
      <c r="E468" s="1330"/>
      <c r="F468" s="1330"/>
      <c r="G468" s="1330"/>
      <c r="H468" s="1330"/>
      <c r="I468" s="1383"/>
    </row>
    <row r="469" spans="1:9">
      <c r="A469" s="1379"/>
      <c r="B469" s="1379"/>
      <c r="C469" s="1380"/>
      <c r="D469" s="1309"/>
      <c r="E469" s="1330"/>
      <c r="F469" s="1330"/>
      <c r="G469" s="1330"/>
      <c r="H469" s="1330"/>
      <c r="I469" s="1383"/>
    </row>
    <row r="470" spans="1:9">
      <c r="A470" s="1379"/>
      <c r="B470" s="1379"/>
      <c r="C470" s="1380"/>
      <c r="D470" s="1309"/>
      <c r="E470" s="1330"/>
      <c r="F470" s="1330"/>
      <c r="G470" s="1330"/>
      <c r="H470" s="1330"/>
      <c r="I470" s="1383"/>
    </row>
    <row r="471" spans="1:9">
      <c r="A471" s="1379"/>
      <c r="B471" s="1379"/>
      <c r="C471" s="1380"/>
      <c r="D471" s="1309"/>
      <c r="E471" s="1330"/>
      <c r="F471" s="1330"/>
      <c r="G471" s="1330"/>
      <c r="H471" s="1330"/>
      <c r="I471" s="1383"/>
    </row>
    <row r="472" spans="1:9">
      <c r="A472" s="1379"/>
      <c r="B472" s="1379"/>
      <c r="C472" s="1380"/>
      <c r="D472" s="1309"/>
      <c r="E472" s="1330"/>
      <c r="F472" s="1330"/>
      <c r="G472" s="1330"/>
      <c r="H472" s="1330"/>
      <c r="I472" s="1383"/>
    </row>
    <row r="473" spans="1:9">
      <c r="A473" s="1379"/>
      <c r="B473" s="1379"/>
      <c r="C473" s="1380"/>
      <c r="D473" s="1309"/>
      <c r="E473" s="1330"/>
      <c r="F473" s="1330"/>
      <c r="G473" s="1330"/>
      <c r="H473" s="1330"/>
      <c r="I473" s="1383"/>
    </row>
    <row r="474" spans="1:9">
      <c r="A474" s="1379"/>
      <c r="B474" s="1379"/>
      <c r="C474" s="1380"/>
      <c r="D474" s="1309"/>
      <c r="E474" s="1330"/>
      <c r="F474" s="1330"/>
      <c r="G474" s="1330"/>
      <c r="H474" s="1330"/>
      <c r="I474" s="1383"/>
    </row>
    <row r="475" spans="1:9">
      <c r="A475" s="1379"/>
      <c r="B475" s="1379"/>
      <c r="C475" s="1380"/>
      <c r="D475" s="1309"/>
      <c r="E475" s="1330"/>
      <c r="F475" s="1330"/>
      <c r="G475" s="1330"/>
      <c r="H475" s="1330"/>
      <c r="I475" s="1383"/>
    </row>
    <row r="476" spans="1:9">
      <c r="A476" s="1379"/>
      <c r="B476" s="1379"/>
      <c r="C476" s="1380"/>
      <c r="D476" s="1309"/>
      <c r="E476" s="1330"/>
      <c r="F476" s="1330"/>
      <c r="G476" s="1330"/>
      <c r="H476" s="1330"/>
      <c r="I476" s="1383"/>
    </row>
    <row r="477" spans="1:9">
      <c r="A477" s="1379"/>
      <c r="B477" s="1379"/>
      <c r="C477" s="1380"/>
      <c r="D477" s="1309"/>
      <c r="E477" s="1330"/>
      <c r="F477" s="1330"/>
      <c r="G477" s="1330"/>
      <c r="H477" s="1330"/>
      <c r="I477" s="1383"/>
    </row>
    <row r="478" spans="1:9">
      <c r="A478" s="1379"/>
      <c r="B478" s="1379"/>
      <c r="C478" s="1380"/>
      <c r="D478" s="1309"/>
      <c r="E478" s="1330"/>
      <c r="F478" s="1330"/>
      <c r="G478" s="1330"/>
      <c r="H478" s="1330"/>
      <c r="I478" s="1383"/>
    </row>
    <row r="479" spans="1:9">
      <c r="A479" s="1379"/>
      <c r="B479" s="1379"/>
      <c r="C479" s="1380"/>
      <c r="D479" s="1309"/>
      <c r="E479" s="1330"/>
      <c r="F479" s="1330"/>
      <c r="G479" s="1330"/>
      <c r="H479" s="1330"/>
      <c r="I479" s="1383"/>
    </row>
    <row r="480" spans="1:9">
      <c r="A480" s="1379"/>
      <c r="B480" s="1379"/>
      <c r="C480" s="1380"/>
      <c r="D480" s="1309"/>
      <c r="E480" s="1330"/>
      <c r="F480" s="1330"/>
      <c r="G480" s="1330"/>
      <c r="H480" s="1330"/>
      <c r="I480" s="1383"/>
    </row>
    <row r="481" spans="1:9">
      <c r="A481" s="1379"/>
      <c r="B481" s="1379"/>
      <c r="C481" s="1380"/>
      <c r="D481" s="1309"/>
      <c r="E481" s="1330"/>
      <c r="F481" s="1330"/>
      <c r="G481" s="1330"/>
      <c r="H481" s="1330"/>
      <c r="I481" s="1383"/>
    </row>
    <row r="482" spans="1:9">
      <c r="A482" s="1379"/>
      <c r="B482" s="1379"/>
      <c r="C482" s="1380"/>
      <c r="D482" s="1309"/>
      <c r="E482" s="1330"/>
      <c r="F482" s="1330"/>
      <c r="G482" s="1330"/>
      <c r="H482" s="1330"/>
      <c r="I482" s="1383"/>
    </row>
    <row r="483" spans="1:9">
      <c r="A483" s="1379"/>
      <c r="B483" s="1379"/>
      <c r="C483" s="1380"/>
      <c r="D483" s="1309"/>
      <c r="E483" s="1330"/>
      <c r="F483" s="1330"/>
      <c r="G483" s="1330"/>
      <c r="H483" s="1330"/>
      <c r="I483" s="1383"/>
    </row>
    <row r="484" spans="1:9">
      <c r="A484" s="1379"/>
      <c r="B484" s="1379"/>
      <c r="C484" s="1380"/>
      <c r="D484" s="1309"/>
      <c r="E484" s="1330"/>
      <c r="F484" s="1330"/>
      <c r="G484" s="1330"/>
      <c r="H484" s="1330"/>
      <c r="I484" s="1383"/>
    </row>
    <row r="485" spans="1:9">
      <c r="A485" s="1379"/>
      <c r="B485" s="1379"/>
      <c r="C485" s="1380"/>
      <c r="D485" s="1309"/>
      <c r="E485" s="1330"/>
      <c r="F485" s="1330"/>
      <c r="G485" s="1330"/>
      <c r="H485" s="1330"/>
      <c r="I485" s="1383"/>
    </row>
    <row r="486" spans="1:9">
      <c r="A486" s="1379"/>
      <c r="B486" s="1379"/>
      <c r="C486" s="1380"/>
      <c r="D486" s="1309"/>
      <c r="E486" s="1330"/>
      <c r="F486" s="1330"/>
      <c r="G486" s="1330"/>
      <c r="H486" s="1330"/>
      <c r="I486" s="1383"/>
    </row>
    <row r="487" spans="1:9">
      <c r="A487" s="1379"/>
      <c r="B487" s="1379"/>
      <c r="C487" s="1380"/>
      <c r="D487" s="1309"/>
      <c r="E487" s="1330"/>
      <c r="F487" s="1330"/>
      <c r="G487" s="1330"/>
      <c r="H487" s="1330"/>
      <c r="I487" s="1383"/>
    </row>
    <row r="488" spans="1:9">
      <c r="A488" s="1379"/>
      <c r="B488" s="1379"/>
      <c r="C488" s="1380"/>
      <c r="D488" s="1309"/>
      <c r="E488" s="1330"/>
      <c r="F488" s="1330"/>
      <c r="G488" s="1330"/>
      <c r="H488" s="1330"/>
      <c r="I488" s="1383"/>
    </row>
    <row r="489" spans="1:9">
      <c r="A489" s="1379"/>
      <c r="B489" s="1379"/>
      <c r="C489" s="1380"/>
      <c r="D489" s="1309"/>
      <c r="E489" s="1330"/>
      <c r="F489" s="1330"/>
      <c r="G489" s="1330"/>
      <c r="H489" s="1330"/>
      <c r="I489" s="1383"/>
    </row>
    <row r="490" spans="1:9">
      <c r="A490" s="1379"/>
      <c r="B490" s="1379"/>
      <c r="C490" s="1380"/>
      <c r="D490" s="1309"/>
      <c r="E490" s="1330"/>
      <c r="F490" s="1330"/>
      <c r="G490" s="1330"/>
      <c r="H490" s="1330"/>
      <c r="I490" s="1383"/>
    </row>
    <row r="491" spans="1:9">
      <c r="A491" s="1379"/>
      <c r="B491" s="1379"/>
      <c r="C491" s="1380"/>
      <c r="D491" s="1309"/>
      <c r="E491" s="1330"/>
      <c r="F491" s="1330"/>
      <c r="G491" s="1330"/>
      <c r="H491" s="1330"/>
      <c r="I491" s="1383"/>
    </row>
    <row r="492" spans="1:9">
      <c r="A492" s="1379"/>
      <c r="B492" s="1379"/>
      <c r="C492" s="1380"/>
      <c r="D492" s="1309"/>
      <c r="E492" s="1330"/>
      <c r="F492" s="1330"/>
      <c r="G492" s="1330"/>
      <c r="H492" s="1330"/>
      <c r="I492" s="1383"/>
    </row>
    <row r="493" spans="1:9">
      <c r="A493" s="1379"/>
      <c r="B493" s="1379"/>
      <c r="C493" s="1380"/>
      <c r="D493" s="1309"/>
      <c r="E493" s="1330"/>
      <c r="F493" s="1330"/>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sheetData>
  <mergeCells count="6">
    <mergeCell ref="C410:H410"/>
    <mergeCell ref="C170:H170"/>
    <mergeCell ref="C192:H192"/>
    <mergeCell ref="C196:H196"/>
    <mergeCell ref="C267:H267"/>
    <mergeCell ref="A399:C399"/>
  </mergeCells>
  <pageMargins left="0.25" right="0.28000000000000003" top="0.7" bottom="0.185" header="0.37" footer="0.18"/>
  <pageSetup scale="50" fitToHeight="0" orientation="landscape" r:id="rId1"/>
  <headerFooter alignWithMargins="0"/>
  <rowBreaks count="9" manualBreakCount="9">
    <brk id="59" max="9" man="1"/>
    <brk id="90" max="9" man="1"/>
    <brk id="138" max="9" man="1"/>
    <brk id="196" max="9" man="1"/>
    <brk id="237" max="9" man="1"/>
    <brk id="267" max="9" man="1"/>
    <brk id="307" max="9" man="1"/>
    <brk id="341" max="9" man="1"/>
    <brk id="36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zoomScale="85" zoomScaleNormal="85" workbookViewId="0">
      <selection activeCell="O10" sqref="O10"/>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663</v>
      </c>
      <c r="B2" s="1335"/>
      <c r="C2" s="1289"/>
      <c r="D2" s="1336"/>
      <c r="E2" s="1336"/>
      <c r="F2" s="1336"/>
      <c r="G2" s="1336"/>
      <c r="H2" s="1336"/>
      <c r="I2" s="1336"/>
      <c r="J2" s="1336"/>
      <c r="K2" s="1289"/>
    </row>
    <row r="3" spans="1:11">
      <c r="A3" s="1290" t="s">
        <v>1041</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E299</f>
        <v>-4143593907</v>
      </c>
      <c r="F10" s="1339">
        <f>F299</f>
        <v>-2899531284</v>
      </c>
      <c r="G10" s="1339">
        <f>+G299</f>
        <v>-1025162012</v>
      </c>
      <c r="H10" s="1339">
        <f>+H299</f>
        <v>15033214</v>
      </c>
      <c r="I10" s="1339">
        <f>+I299</f>
        <v>-233933825</v>
      </c>
      <c r="J10" s="1300"/>
      <c r="K10" s="1296"/>
    </row>
    <row r="11" spans="1:11">
      <c r="A11" s="1301">
        <f t="shared" ref="A11:A19" si="0">A10+1</f>
        <v>2</v>
      </c>
      <c r="B11" s="1301"/>
      <c r="C11" s="1296" t="s">
        <v>602</v>
      </c>
      <c r="D11" s="1299" t="s">
        <v>603</v>
      </c>
      <c r="E11" s="1339">
        <f>E224</f>
        <v>-285986998</v>
      </c>
      <c r="F11" s="1339">
        <f>F224</f>
        <v>-285986998</v>
      </c>
      <c r="G11" s="1339">
        <v>0</v>
      </c>
      <c r="H11" s="1339">
        <f>H224</f>
        <v>0</v>
      </c>
      <c r="I11" s="1339">
        <v>0</v>
      </c>
      <c r="J11" s="1300"/>
      <c r="K11" s="1296"/>
    </row>
    <row r="12" spans="1:11">
      <c r="A12" s="1301">
        <f t="shared" si="0"/>
        <v>3</v>
      </c>
      <c r="B12" s="1301"/>
      <c r="C12" s="1296" t="s">
        <v>59</v>
      </c>
      <c r="D12" s="1299" t="s">
        <v>535</v>
      </c>
      <c r="E12" s="1339">
        <f>E464</f>
        <v>-491700316</v>
      </c>
      <c r="F12" s="1339">
        <f>F464</f>
        <v>-481476388</v>
      </c>
      <c r="G12" s="1339">
        <f>+G464</f>
        <v>0</v>
      </c>
      <c r="H12" s="1339">
        <f>+H464</f>
        <v>-8370903</v>
      </c>
      <c r="I12" s="1339">
        <f>+I464</f>
        <v>-1853025</v>
      </c>
      <c r="J12" s="1300"/>
      <c r="K12" s="1296"/>
    </row>
    <row r="13" spans="1:11">
      <c r="A13" s="1301">
        <f t="shared" si="0"/>
        <v>4</v>
      </c>
      <c r="B13" s="1301"/>
      <c r="C13" s="1296" t="s">
        <v>58</v>
      </c>
      <c r="D13" s="1299" t="s">
        <v>536</v>
      </c>
      <c r="E13" s="1835">
        <f>E199</f>
        <v>590565251</v>
      </c>
      <c r="F13" s="1835">
        <f>F199</f>
        <v>559970912</v>
      </c>
      <c r="G13" s="1835">
        <f>G199</f>
        <v>88912</v>
      </c>
      <c r="H13" s="1835">
        <f>H199</f>
        <v>0</v>
      </c>
      <c r="I13" s="1835">
        <f>I199</f>
        <v>30505427</v>
      </c>
      <c r="J13" s="1300"/>
      <c r="K13" s="1296"/>
    </row>
    <row r="14" spans="1:11">
      <c r="A14" s="1301">
        <f t="shared" si="0"/>
        <v>5</v>
      </c>
      <c r="B14" s="1301"/>
      <c r="C14" s="1296" t="s">
        <v>540</v>
      </c>
      <c r="D14" s="1300" t="s">
        <v>608</v>
      </c>
      <c r="E14" s="1339">
        <f>SUM(E10:E13)</f>
        <v>-4330715970</v>
      </c>
      <c r="F14" s="1339">
        <f>SUM(F10:F13)</f>
        <v>-3107023758</v>
      </c>
      <c r="G14" s="1339">
        <f>SUM(G10:G13)</f>
        <v>-1025073100</v>
      </c>
      <c r="H14" s="1339">
        <f>SUM(H10:H13)</f>
        <v>6662311</v>
      </c>
      <c r="I14" s="1339">
        <f>SUM(I10:I13)</f>
        <v>-205281423</v>
      </c>
      <c r="J14" s="1300"/>
      <c r="K14" s="1302"/>
    </row>
    <row r="15" spans="1:11">
      <c r="A15" s="1301">
        <f t="shared" si="0"/>
        <v>6</v>
      </c>
      <c r="B15" s="1301"/>
      <c r="C15" s="1296" t="s">
        <v>1058</v>
      </c>
      <c r="D15" s="1299" t="s">
        <v>335</v>
      </c>
      <c r="E15" s="1834"/>
      <c r="F15" s="1834"/>
      <c r="G15" s="1836">
        <v>1</v>
      </c>
      <c r="H15" s="1836">
        <f>Allocator.net.plant</f>
        <v>0.26273925856404062</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-1025073100</v>
      </c>
      <c r="H16" s="1339">
        <f>H15*H14</f>
        <v>1750450.652463052</v>
      </c>
      <c r="I16" s="1339">
        <f>I15*I14</f>
        <v>-16179366.636203488</v>
      </c>
      <c r="J16" s="1340"/>
      <c r="K16" s="1304"/>
    </row>
    <row r="17" spans="1:11">
      <c r="A17" s="1301">
        <f t="shared" si="0"/>
        <v>8</v>
      </c>
      <c r="B17" s="1301"/>
      <c r="C17" s="1296" t="s">
        <v>669</v>
      </c>
      <c r="D17" s="1299" t="s">
        <v>1060</v>
      </c>
      <c r="E17" s="1299"/>
      <c r="F17" s="1299"/>
      <c r="G17" s="1339"/>
      <c r="H17" s="1339"/>
      <c r="I17" s="1339"/>
      <c r="J17" s="1838">
        <f>SUM(G16:I16)</f>
        <v>-1039502015.9837404</v>
      </c>
      <c r="K17" s="1305"/>
    </row>
    <row r="18" spans="1:11">
      <c r="A18" s="1301">
        <f t="shared" si="0"/>
        <v>9</v>
      </c>
      <c r="B18" s="1291"/>
      <c r="C18" s="1296" t="s">
        <v>668</v>
      </c>
      <c r="D18" s="833"/>
      <c r="E18" s="1834"/>
      <c r="F18" s="1834"/>
      <c r="G18" s="1056">
        <f>'Att 1 - ADIT'!G16</f>
        <v>-928379017</v>
      </c>
      <c r="H18" s="1056">
        <f>'Att 1 - ADIT'!H16</f>
        <v>2233158.6339072688</v>
      </c>
      <c r="I18" s="1056">
        <f>'Att 1 - ADIT'!I16</f>
        <v>-16037225.485759849</v>
      </c>
      <c r="J18" s="1056">
        <f>'Att 1 - ADIT'!J19</f>
        <v>-942183083.85185254</v>
      </c>
      <c r="K18" s="1296"/>
    </row>
    <row r="19" spans="1:11" ht="15">
      <c r="A19" s="1301">
        <f t="shared" si="0"/>
        <v>10</v>
      </c>
      <c r="B19" s="1296"/>
      <c r="C19" s="1292" t="s">
        <v>1496</v>
      </c>
      <c r="D19" s="833" t="str">
        <f>"Line "&amp;A17&amp;" for Projection and average of Lines "&amp;A17&amp;" &amp; "&amp;A18&amp;" for True-Up"</f>
        <v>Line 8 for Projection and average of Lines 8 &amp; 9 for True-Up</v>
      </c>
      <c r="E19" s="1834"/>
      <c r="F19" s="1834"/>
      <c r="G19" s="1339"/>
      <c r="H19" s="1339"/>
      <c r="I19" s="1339"/>
      <c r="J19" s="1341">
        <f>IF(Toggle=Projection,J17,IF(Toggle=True_up,AVERAGE(J17:J18),"Set Toggle!"))</f>
        <v>-1039502015.9837404</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2465" t="s">
        <v>254</v>
      </c>
      <c r="B31" s="2452"/>
      <c r="C31" s="2452"/>
      <c r="D31" s="2453"/>
      <c r="E31" s="2426"/>
      <c r="F31" s="2426"/>
      <c r="G31" s="2426"/>
      <c r="H31" s="2426"/>
      <c r="I31" s="2426"/>
      <c r="J31" s="2454"/>
      <c r="K31" s="437"/>
    </row>
    <row r="32" spans="1:11" ht="12.75">
      <c r="A32" s="2435" t="s">
        <v>347</v>
      </c>
      <c r="B32" s="2466"/>
      <c r="C32" s="2416"/>
      <c r="D32" s="2409"/>
      <c r="E32" s="2455"/>
      <c r="F32" s="2455"/>
      <c r="G32" s="2455"/>
      <c r="H32" s="2455"/>
      <c r="I32" s="2455"/>
      <c r="J32" s="2456"/>
    </row>
    <row r="33" spans="1:10" ht="12.75">
      <c r="A33" s="2411">
        <v>137426</v>
      </c>
      <c r="B33" s="2412">
        <v>720.5</v>
      </c>
      <c r="C33" s="2457" t="s">
        <v>1497</v>
      </c>
      <c r="D33" s="2409"/>
      <c r="E33" s="2458">
        <v>0</v>
      </c>
      <c r="F33" s="2458">
        <v>0</v>
      </c>
      <c r="G33" s="2458">
        <v>0</v>
      </c>
      <c r="H33" s="2458">
        <v>0</v>
      </c>
      <c r="I33" s="2458">
        <f t="shared" ref="I33:I42" si="1">E33</f>
        <v>0</v>
      </c>
      <c r="J33" s="2404" t="s">
        <v>1210</v>
      </c>
    </row>
    <row r="34" spans="1:10" ht="25.5">
      <c r="A34" s="2411">
        <v>137414</v>
      </c>
      <c r="B34" s="2412">
        <v>505.4</v>
      </c>
      <c r="C34" s="2457" t="s">
        <v>1498</v>
      </c>
      <c r="D34" s="2409"/>
      <c r="E34" s="2458">
        <v>0</v>
      </c>
      <c r="F34" s="2458">
        <v>0</v>
      </c>
      <c r="G34" s="2458">
        <v>0</v>
      </c>
      <c r="H34" s="2458">
        <v>0</v>
      </c>
      <c r="I34" s="2458">
        <f t="shared" si="1"/>
        <v>0</v>
      </c>
      <c r="J34" s="2404" t="s">
        <v>1208</v>
      </c>
    </row>
    <row r="35" spans="1:10" ht="25.5">
      <c r="A35" s="2411">
        <v>137415</v>
      </c>
      <c r="B35" s="2412">
        <v>505.6</v>
      </c>
      <c r="C35" s="2457" t="s">
        <v>1499</v>
      </c>
      <c r="D35" s="2409"/>
      <c r="E35" s="2458">
        <v>0</v>
      </c>
      <c r="F35" s="2458">
        <v>0</v>
      </c>
      <c r="G35" s="2458">
        <v>0</v>
      </c>
      <c r="H35" s="2458">
        <v>0</v>
      </c>
      <c r="I35" s="2458">
        <f t="shared" si="1"/>
        <v>0</v>
      </c>
      <c r="J35" s="2404" t="s">
        <v>1212</v>
      </c>
    </row>
    <row r="36" spans="1:10" ht="25.5">
      <c r="A36" s="2411">
        <v>287220</v>
      </c>
      <c r="B36" s="2412">
        <v>720.56</v>
      </c>
      <c r="C36" s="2457" t="s">
        <v>1831</v>
      </c>
      <c r="D36" s="2409"/>
      <c r="E36" s="2458">
        <v>42004416</v>
      </c>
      <c r="F36" s="2458">
        <f>E36</f>
        <v>42004416</v>
      </c>
      <c r="G36" s="2458">
        <v>0</v>
      </c>
      <c r="H36" s="2458">
        <v>0</v>
      </c>
      <c r="I36" s="2458">
        <v>0</v>
      </c>
      <c r="J36" s="1854" t="s">
        <v>1832</v>
      </c>
    </row>
    <row r="37" spans="1:10" ht="25.5">
      <c r="A37" s="2411">
        <v>287300</v>
      </c>
      <c r="B37" s="2412">
        <v>920.18200000000002</v>
      </c>
      <c r="C37" s="2457" t="s">
        <v>1833</v>
      </c>
      <c r="D37" s="2409"/>
      <c r="E37" s="2458">
        <v>3220027</v>
      </c>
      <c r="F37" s="2458">
        <v>0</v>
      </c>
      <c r="G37" s="2458">
        <v>0</v>
      </c>
      <c r="H37" s="2458">
        <v>0</v>
      </c>
      <c r="I37" s="2458">
        <f t="shared" si="1"/>
        <v>3220027</v>
      </c>
      <c r="J37" s="2404" t="s">
        <v>1834</v>
      </c>
    </row>
    <row r="38" spans="1:10" ht="38.25">
      <c r="A38" s="2411">
        <v>287323</v>
      </c>
      <c r="B38" s="2412">
        <v>505.4</v>
      </c>
      <c r="C38" s="2457" t="s">
        <v>2114</v>
      </c>
      <c r="D38" s="2409"/>
      <c r="E38" s="2458">
        <v>3921</v>
      </c>
      <c r="F38" s="2458"/>
      <c r="G38" s="2458"/>
      <c r="H38" s="2458"/>
      <c r="I38" s="2458">
        <f t="shared" si="1"/>
        <v>3921</v>
      </c>
      <c r="J38" s="2405" t="s">
        <v>2113</v>
      </c>
    </row>
    <row r="39" spans="1:10" ht="12.75">
      <c r="A39" s="2411">
        <v>287324</v>
      </c>
      <c r="B39" s="2412">
        <v>720.2</v>
      </c>
      <c r="C39" s="2457" t="s">
        <v>1500</v>
      </c>
      <c r="D39" s="2409"/>
      <c r="E39" s="2458">
        <v>3670279</v>
      </c>
      <c r="F39" s="2458">
        <v>0</v>
      </c>
      <c r="G39" s="2458">
        <v>0</v>
      </c>
      <c r="H39" s="2458">
        <v>0</v>
      </c>
      <c r="I39" s="2458">
        <f t="shared" si="1"/>
        <v>3670279</v>
      </c>
      <c r="J39" s="2404" t="s">
        <v>1209</v>
      </c>
    </row>
    <row r="40" spans="1:10" ht="39.75" customHeight="1">
      <c r="A40" s="2411">
        <v>287326</v>
      </c>
      <c r="B40" s="2412">
        <v>720.5</v>
      </c>
      <c r="C40" s="2457" t="s">
        <v>2112</v>
      </c>
      <c r="D40" s="2409"/>
      <c r="E40" s="2458">
        <v>442834</v>
      </c>
      <c r="F40" s="2458"/>
      <c r="G40" s="2458"/>
      <c r="H40" s="2458"/>
      <c r="I40" s="2458">
        <f t="shared" si="1"/>
        <v>442834</v>
      </c>
      <c r="J40" s="2405" t="s">
        <v>2111</v>
      </c>
    </row>
    <row r="41" spans="1:10" ht="38.25">
      <c r="A41" s="2411">
        <v>287327</v>
      </c>
      <c r="B41" s="2412">
        <v>720.3</v>
      </c>
      <c r="C41" s="2457" t="s">
        <v>1501</v>
      </c>
      <c r="D41" s="2409"/>
      <c r="E41" s="2458">
        <v>831362</v>
      </c>
      <c r="F41" s="2458">
        <f>E41</f>
        <v>831362</v>
      </c>
      <c r="G41" s="2458">
        <v>0</v>
      </c>
      <c r="H41" s="2458">
        <v>0</v>
      </c>
      <c r="I41" s="2458">
        <v>0</v>
      </c>
      <c r="J41" s="2404" t="s">
        <v>1211</v>
      </c>
    </row>
    <row r="42" spans="1:10" ht="25.5" customHeight="1">
      <c r="A42" s="2411">
        <v>287332</v>
      </c>
      <c r="B42" s="2412">
        <v>505.6</v>
      </c>
      <c r="C42" s="2457" t="s">
        <v>2110</v>
      </c>
      <c r="D42" s="2409"/>
      <c r="E42" s="2458">
        <v>9948038</v>
      </c>
      <c r="F42" s="2458"/>
      <c r="G42" s="2458"/>
      <c r="H42" s="2458"/>
      <c r="I42" s="2458">
        <f t="shared" si="1"/>
        <v>9948038</v>
      </c>
      <c r="J42" s="2405" t="s">
        <v>2109</v>
      </c>
    </row>
    <row r="43" spans="1:10" ht="38.25">
      <c r="A43" s="2411">
        <v>287373</v>
      </c>
      <c r="B43" s="2412">
        <v>910.58</v>
      </c>
      <c r="C43" s="2457" t="s">
        <v>1502</v>
      </c>
      <c r="D43" s="2409"/>
      <c r="E43" s="2458">
        <v>1178955</v>
      </c>
      <c r="F43" s="2458">
        <v>0</v>
      </c>
      <c r="G43" s="2458">
        <v>0</v>
      </c>
      <c r="H43" s="2458">
        <v>0</v>
      </c>
      <c r="I43" s="2458">
        <f>E43</f>
        <v>1178955</v>
      </c>
      <c r="J43" s="2404" t="s">
        <v>1264</v>
      </c>
    </row>
    <row r="44" spans="1:10" ht="25.5">
      <c r="A44" s="2411">
        <v>287399</v>
      </c>
      <c r="B44" s="2412">
        <v>920.15</v>
      </c>
      <c r="C44" s="2457" t="s">
        <v>1503</v>
      </c>
      <c r="D44" s="2409"/>
      <c r="E44" s="2458">
        <v>12011447</v>
      </c>
      <c r="F44" s="2458">
        <v>0</v>
      </c>
      <c r="G44" s="2458">
        <v>0</v>
      </c>
      <c r="H44" s="2458">
        <v>0</v>
      </c>
      <c r="I44" s="2458">
        <f>E44</f>
        <v>12011447</v>
      </c>
      <c r="J44" s="2404" t="s">
        <v>1267</v>
      </c>
    </row>
    <row r="45" spans="1:10" ht="25.5">
      <c r="A45" s="2411">
        <v>287413</v>
      </c>
      <c r="B45" s="2412">
        <v>720.55</v>
      </c>
      <c r="C45" s="2457" t="s">
        <v>557</v>
      </c>
      <c r="D45" s="2409"/>
      <c r="E45" s="2458">
        <v>0</v>
      </c>
      <c r="F45" s="2458">
        <v>0</v>
      </c>
      <c r="G45" s="2458">
        <v>0</v>
      </c>
      <c r="H45" s="2458">
        <v>0</v>
      </c>
      <c r="I45" s="2458">
        <f>E45</f>
        <v>0</v>
      </c>
      <c r="J45" s="2404" t="s">
        <v>1213</v>
      </c>
    </row>
    <row r="46" spans="1:10" ht="51.75" customHeight="1">
      <c r="A46" s="2411">
        <v>287447</v>
      </c>
      <c r="B46" s="2412">
        <v>720.83</v>
      </c>
      <c r="C46" s="2457" t="s">
        <v>1504</v>
      </c>
      <c r="D46" s="2409"/>
      <c r="E46" s="2458">
        <v>4474803</v>
      </c>
      <c r="F46" s="2458">
        <v>0</v>
      </c>
      <c r="G46" s="2458">
        <v>0</v>
      </c>
      <c r="H46" s="2458">
        <v>0</v>
      </c>
      <c r="I46" s="2458">
        <f>E46</f>
        <v>4474803</v>
      </c>
      <c r="J46" s="2404" t="s">
        <v>1272</v>
      </c>
    </row>
    <row r="47" spans="1:10" ht="12.75">
      <c r="A47" s="2411">
        <v>287460</v>
      </c>
      <c r="B47" s="2412">
        <v>720.8</v>
      </c>
      <c r="C47" s="2413" t="s">
        <v>558</v>
      </c>
      <c r="D47" s="2409"/>
      <c r="E47" s="2458">
        <v>70991353</v>
      </c>
      <c r="F47" s="2458">
        <f>E47</f>
        <v>70991353</v>
      </c>
      <c r="G47" s="2458">
        <v>0</v>
      </c>
      <c r="H47" s="2458"/>
      <c r="I47" s="2458">
        <v>0</v>
      </c>
      <c r="J47" s="2404" t="s">
        <v>1214</v>
      </c>
    </row>
    <row r="48" spans="1:10" ht="25.5">
      <c r="A48" s="2411">
        <v>287461</v>
      </c>
      <c r="B48" s="2412">
        <v>720.81</v>
      </c>
      <c r="C48" s="2457" t="s">
        <v>559</v>
      </c>
      <c r="D48" s="2409"/>
      <c r="E48" s="2458">
        <v>22957226</v>
      </c>
      <c r="F48" s="2458">
        <f>E48</f>
        <v>22957226</v>
      </c>
      <c r="G48" s="2458">
        <v>0</v>
      </c>
      <c r="H48" s="2458">
        <v>0</v>
      </c>
      <c r="I48" s="2458">
        <v>0</v>
      </c>
      <c r="J48" s="2404" t="s">
        <v>1215</v>
      </c>
    </row>
    <row r="49" spans="1:10" ht="25.5">
      <c r="A49" s="2411">
        <v>287462</v>
      </c>
      <c r="B49" s="2412">
        <v>720.82</v>
      </c>
      <c r="C49" s="2457" t="s">
        <v>560</v>
      </c>
      <c r="D49" s="2409"/>
      <c r="E49" s="2458">
        <v>22496865</v>
      </c>
      <c r="F49" s="2458">
        <f>E49</f>
        <v>22496865</v>
      </c>
      <c r="G49" s="2458">
        <v>0</v>
      </c>
      <c r="H49" s="2458">
        <v>0</v>
      </c>
      <c r="I49" s="2458">
        <v>0</v>
      </c>
      <c r="J49" s="2404" t="s">
        <v>1216</v>
      </c>
    </row>
    <row r="50" spans="1:10" ht="12.75">
      <c r="A50" s="2411"/>
      <c r="B50" s="2412"/>
      <c r="C50" s="2416"/>
      <c r="D50" s="2409"/>
      <c r="E50" s="2459"/>
      <c r="F50" s="2459"/>
      <c r="G50" s="2459"/>
      <c r="H50" s="2279"/>
      <c r="I50" s="2459"/>
      <c r="J50" s="2404"/>
    </row>
    <row r="51" spans="1:10" ht="12.75">
      <c r="A51" s="2435" t="s">
        <v>437</v>
      </c>
      <c r="B51" s="2466"/>
      <c r="C51" s="2416"/>
      <c r="D51" s="2409"/>
      <c r="E51" s="2414"/>
      <c r="F51" s="2414"/>
      <c r="G51" s="2414"/>
      <c r="H51" s="2414"/>
      <c r="I51" s="2414"/>
      <c r="J51" s="2404"/>
    </row>
    <row r="52" spans="1:10" ht="38.25">
      <c r="A52" s="2411">
        <v>137238</v>
      </c>
      <c r="B52" s="2412">
        <v>730.11</v>
      </c>
      <c r="C52" s="2457" t="s">
        <v>561</v>
      </c>
      <c r="D52" s="2409"/>
      <c r="E52" s="2414">
        <v>0</v>
      </c>
      <c r="F52" s="2458">
        <f>E52</f>
        <v>0</v>
      </c>
      <c r="G52" s="2458">
        <v>0</v>
      </c>
      <c r="H52" s="2458">
        <v>0</v>
      </c>
      <c r="I52" s="2458">
        <v>0</v>
      </c>
      <c r="J52" s="2404" t="s">
        <v>1217</v>
      </c>
    </row>
    <row r="53" spans="1:10" ht="25.5">
      <c r="A53" s="2411">
        <v>137233</v>
      </c>
      <c r="B53" s="2412">
        <v>415.83800000000002</v>
      </c>
      <c r="C53" s="2457" t="s">
        <v>1505</v>
      </c>
      <c r="D53" s="2409"/>
      <c r="E53" s="2414">
        <v>0</v>
      </c>
      <c r="F53" s="2458">
        <f>E53</f>
        <v>0</v>
      </c>
      <c r="G53" s="2458">
        <v>0</v>
      </c>
      <c r="H53" s="2458">
        <v>0</v>
      </c>
      <c r="I53" s="2458">
        <v>0</v>
      </c>
      <c r="J53" s="2404" t="s">
        <v>1244</v>
      </c>
    </row>
    <row r="54" spans="1:10" ht="38.25">
      <c r="A54" s="2411">
        <v>287336</v>
      </c>
      <c r="B54" s="2412">
        <v>730.12</v>
      </c>
      <c r="C54" s="2416" t="s">
        <v>1506</v>
      </c>
      <c r="D54" s="2409"/>
      <c r="E54" s="2414">
        <v>51737911</v>
      </c>
      <c r="F54" s="2458">
        <f>E54</f>
        <v>51737911</v>
      </c>
      <c r="G54" s="2458">
        <v>0</v>
      </c>
      <c r="H54" s="2458">
        <v>0</v>
      </c>
      <c r="I54" s="2458">
        <v>0</v>
      </c>
      <c r="J54" s="2404" t="s">
        <v>1217</v>
      </c>
    </row>
    <row r="55" spans="1:10" ht="25.5">
      <c r="A55" s="2411">
        <v>287249</v>
      </c>
      <c r="B55" s="2412">
        <v>415.839</v>
      </c>
      <c r="C55" s="2416" t="s">
        <v>1507</v>
      </c>
      <c r="D55" s="2409"/>
      <c r="E55" s="2414">
        <v>41823354</v>
      </c>
      <c r="F55" s="2458">
        <f>E55</f>
        <v>41823354</v>
      </c>
      <c r="G55" s="2458">
        <v>0</v>
      </c>
      <c r="H55" s="2458">
        <v>0</v>
      </c>
      <c r="I55" s="2458">
        <v>0</v>
      </c>
      <c r="J55" s="2404" t="s">
        <v>1245</v>
      </c>
    </row>
    <row r="56" spans="1:10" ht="12.75">
      <c r="A56" s="2435" t="s">
        <v>562</v>
      </c>
      <c r="B56" s="2466"/>
      <c r="C56" s="2416"/>
      <c r="D56" s="2409"/>
      <c r="E56" s="2414"/>
      <c r="F56" s="2414"/>
      <c r="G56" s="2414"/>
      <c r="H56" s="2414"/>
      <c r="I56" s="2414"/>
      <c r="J56" s="2404"/>
    </row>
    <row r="57" spans="1:10" ht="12.75">
      <c r="A57" s="2411">
        <v>137203</v>
      </c>
      <c r="B57" s="2412">
        <v>705.51400000000001</v>
      </c>
      <c r="C57" s="2457" t="s">
        <v>1508</v>
      </c>
      <c r="D57" s="2409"/>
      <c r="E57" s="2414">
        <v>0</v>
      </c>
      <c r="F57" s="2458">
        <f t="shared" ref="F57:F132" si="2">E57</f>
        <v>0</v>
      </c>
      <c r="G57" s="2414"/>
      <c r="H57" s="2414"/>
      <c r="I57" s="2414"/>
      <c r="J57" s="2407" t="s">
        <v>1915</v>
      </c>
    </row>
    <row r="58" spans="1:10" ht="12.75">
      <c r="A58" s="2411">
        <v>137205</v>
      </c>
      <c r="B58" s="2412">
        <v>705.51800000000003</v>
      </c>
      <c r="C58" s="2457" t="s">
        <v>1509</v>
      </c>
      <c r="D58" s="2409"/>
      <c r="E58" s="2414">
        <v>0</v>
      </c>
      <c r="F58" s="2458">
        <f t="shared" si="2"/>
        <v>0</v>
      </c>
      <c r="G58" s="2414">
        <v>0</v>
      </c>
      <c r="H58" s="2414">
        <v>0</v>
      </c>
      <c r="I58" s="2414">
        <v>0</v>
      </c>
      <c r="J58" s="2407" t="s">
        <v>1916</v>
      </c>
    </row>
    <row r="59" spans="1:10" ht="12.75">
      <c r="A59" s="2411">
        <v>137213</v>
      </c>
      <c r="B59" s="2412">
        <v>705.52499999999998</v>
      </c>
      <c r="C59" s="2457" t="s">
        <v>1835</v>
      </c>
      <c r="D59" s="2409"/>
      <c r="E59" s="2414">
        <v>0</v>
      </c>
      <c r="F59" s="2458">
        <f t="shared" si="2"/>
        <v>0</v>
      </c>
      <c r="G59" s="2414">
        <v>0</v>
      </c>
      <c r="H59" s="2414">
        <v>0</v>
      </c>
      <c r="I59" s="2414">
        <v>0</v>
      </c>
      <c r="J59" s="2407" t="s">
        <v>1930</v>
      </c>
    </row>
    <row r="60" spans="1:10" ht="12.75">
      <c r="A60" s="2411">
        <v>137214</v>
      </c>
      <c r="B60" s="2412">
        <v>705.52200000000005</v>
      </c>
      <c r="C60" s="2457" t="s">
        <v>1510</v>
      </c>
      <c r="D60" s="2409"/>
      <c r="E60" s="2414">
        <v>0</v>
      </c>
      <c r="F60" s="2458">
        <f t="shared" si="2"/>
        <v>0</v>
      </c>
      <c r="G60" s="2414">
        <v>0</v>
      </c>
      <c r="H60" s="2414">
        <v>0</v>
      </c>
      <c r="I60" s="2414">
        <v>0</v>
      </c>
      <c r="J60" s="2407" t="s">
        <v>1931</v>
      </c>
    </row>
    <row r="61" spans="1:10" ht="12.75">
      <c r="A61" s="2411">
        <v>137215</v>
      </c>
      <c r="B61" s="2412">
        <v>705.52300000000002</v>
      </c>
      <c r="C61" s="2457" t="s">
        <v>1511</v>
      </c>
      <c r="D61" s="2409"/>
      <c r="E61" s="2414">
        <v>0</v>
      </c>
      <c r="F61" s="2458">
        <f t="shared" si="2"/>
        <v>0</v>
      </c>
      <c r="G61" s="2414">
        <v>0</v>
      </c>
      <c r="H61" s="2414">
        <v>0</v>
      </c>
      <c r="I61" s="2414">
        <v>0</v>
      </c>
      <c r="J61" s="2407" t="s">
        <v>1932</v>
      </c>
    </row>
    <row r="62" spans="1:10" ht="25.5">
      <c r="A62" s="2411">
        <v>137221</v>
      </c>
      <c r="B62" s="2412">
        <v>705.52599999999995</v>
      </c>
      <c r="C62" s="2457" t="s">
        <v>1512</v>
      </c>
      <c r="D62" s="2409"/>
      <c r="E62" s="2414">
        <v>0</v>
      </c>
      <c r="F62" s="2458">
        <f t="shared" si="2"/>
        <v>0</v>
      </c>
      <c r="G62" s="2414">
        <v>0</v>
      </c>
      <c r="H62" s="2414">
        <v>0</v>
      </c>
      <c r="I62" s="2414">
        <v>0</v>
      </c>
      <c r="J62" s="2407" t="s">
        <v>1919</v>
      </c>
    </row>
    <row r="63" spans="1:10" ht="25.5">
      <c r="A63" s="2411">
        <v>137224</v>
      </c>
      <c r="B63" s="2412">
        <v>705.53</v>
      </c>
      <c r="C63" s="2457" t="s">
        <v>1513</v>
      </c>
      <c r="D63" s="2409"/>
      <c r="E63" s="2414">
        <v>0</v>
      </c>
      <c r="F63" s="2458">
        <f t="shared" si="2"/>
        <v>0</v>
      </c>
      <c r="G63" s="2414">
        <v>0</v>
      </c>
      <c r="H63" s="2414">
        <v>0</v>
      </c>
      <c r="I63" s="2414">
        <v>0</v>
      </c>
      <c r="J63" s="2407" t="s">
        <v>1918</v>
      </c>
    </row>
    <row r="64" spans="1:10" ht="40.5" customHeight="1">
      <c r="A64" s="2411">
        <v>137228</v>
      </c>
      <c r="B64" s="2412">
        <v>705.53599999999994</v>
      </c>
      <c r="C64" s="2457" t="s">
        <v>1514</v>
      </c>
      <c r="D64" s="2409"/>
      <c r="E64" s="2414">
        <v>0</v>
      </c>
      <c r="F64" s="2458">
        <f t="shared" si="2"/>
        <v>0</v>
      </c>
      <c r="G64" s="2414">
        <v>0</v>
      </c>
      <c r="H64" s="2414">
        <v>0</v>
      </c>
      <c r="I64" s="2414">
        <v>0</v>
      </c>
      <c r="J64" s="2407" t="s">
        <v>2120</v>
      </c>
    </row>
    <row r="65" spans="1:10" ht="25.5">
      <c r="A65" s="2411">
        <v>137229</v>
      </c>
      <c r="B65" s="2412">
        <v>705.53700000000003</v>
      </c>
      <c r="C65" s="2457" t="s">
        <v>1516</v>
      </c>
      <c r="D65" s="2409"/>
      <c r="E65" s="2414">
        <v>0</v>
      </c>
      <c r="F65" s="2458">
        <f t="shared" si="2"/>
        <v>0</v>
      </c>
      <c r="G65" s="2414">
        <v>0</v>
      </c>
      <c r="H65" s="2414">
        <v>0</v>
      </c>
      <c r="I65" s="2414">
        <v>0</v>
      </c>
      <c r="J65" s="2407" t="s">
        <v>1917</v>
      </c>
    </row>
    <row r="66" spans="1:10" ht="51">
      <c r="A66" s="2411">
        <v>137232</v>
      </c>
      <c r="B66" s="2412">
        <v>415.7</v>
      </c>
      <c r="C66" s="2457" t="s">
        <v>1517</v>
      </c>
      <c r="D66" s="2409"/>
      <c r="E66" s="2414">
        <v>0</v>
      </c>
      <c r="F66" s="2458">
        <f t="shared" si="2"/>
        <v>0</v>
      </c>
      <c r="G66" s="2414">
        <v>0</v>
      </c>
      <c r="H66" s="2414">
        <v>0</v>
      </c>
      <c r="I66" s="2414">
        <v>0</v>
      </c>
      <c r="J66" s="2407" t="s">
        <v>1230</v>
      </c>
    </row>
    <row r="67" spans="1:10" ht="51">
      <c r="A67" s="2411">
        <v>137234</v>
      </c>
      <c r="B67" s="2412">
        <v>425.38099999999997</v>
      </c>
      <c r="C67" s="2457" t="s">
        <v>1518</v>
      </c>
      <c r="D67" s="2409"/>
      <c r="E67" s="2414">
        <v>0</v>
      </c>
      <c r="F67" s="2458">
        <f t="shared" si="2"/>
        <v>0</v>
      </c>
      <c r="G67" s="2414">
        <v>0</v>
      </c>
      <c r="H67" s="2414">
        <v>0</v>
      </c>
      <c r="I67" s="2414">
        <v>0</v>
      </c>
      <c r="J67" s="2407" t="s">
        <v>1898</v>
      </c>
    </row>
    <row r="68" spans="1:10" ht="51">
      <c r="A68" s="2411">
        <v>137237</v>
      </c>
      <c r="B68" s="2412">
        <v>715.72</v>
      </c>
      <c r="C68" s="2457" t="s">
        <v>1519</v>
      </c>
      <c r="D68" s="2409"/>
      <c r="E68" s="2414">
        <v>0</v>
      </c>
      <c r="F68" s="2458">
        <f t="shared" si="2"/>
        <v>0</v>
      </c>
      <c r="G68" s="2414">
        <v>0</v>
      </c>
      <c r="H68" s="2414">
        <v>0</v>
      </c>
      <c r="I68" s="2414">
        <v>0</v>
      </c>
      <c r="J68" s="2407" t="s">
        <v>1899</v>
      </c>
    </row>
    <row r="69" spans="1:10" ht="40.5" customHeight="1">
      <c r="A69" s="2411">
        <v>137241</v>
      </c>
      <c r="B69" s="2412">
        <v>705.24099999999999</v>
      </c>
      <c r="C69" s="2457" t="s">
        <v>1520</v>
      </c>
      <c r="D69" s="2409"/>
      <c r="E69" s="2414">
        <v>0</v>
      </c>
      <c r="F69" s="2458">
        <f t="shared" si="2"/>
        <v>0</v>
      </c>
      <c r="G69" s="2414">
        <v>0</v>
      </c>
      <c r="H69" s="2414">
        <v>0</v>
      </c>
      <c r="I69" s="2414">
        <v>0</v>
      </c>
      <c r="J69" s="2407" t="s">
        <v>2121</v>
      </c>
    </row>
    <row r="70" spans="1:10" ht="39" customHeight="1">
      <c r="A70" s="2411">
        <v>137300</v>
      </c>
      <c r="B70" s="2412">
        <v>610.14400000000001</v>
      </c>
      <c r="C70" s="2457" t="s">
        <v>1521</v>
      </c>
      <c r="D70" s="2409"/>
      <c r="E70" s="2414">
        <v>0</v>
      </c>
      <c r="F70" s="2458">
        <f t="shared" si="2"/>
        <v>0</v>
      </c>
      <c r="G70" s="2414">
        <v>0</v>
      </c>
      <c r="H70" s="2414">
        <v>0</v>
      </c>
      <c r="I70" s="2414">
        <v>0</v>
      </c>
      <c r="J70" s="2407" t="s">
        <v>1522</v>
      </c>
    </row>
    <row r="71" spans="1:10" ht="38.25">
      <c r="A71" s="2411">
        <v>137416</v>
      </c>
      <c r="B71" s="2412">
        <v>610.14200000000005</v>
      </c>
      <c r="C71" s="2457" t="s">
        <v>1523</v>
      </c>
      <c r="D71" s="2409"/>
      <c r="E71" s="2414">
        <v>0</v>
      </c>
      <c r="F71" s="2458">
        <f t="shared" si="2"/>
        <v>0</v>
      </c>
      <c r="G71" s="2414">
        <v>0</v>
      </c>
      <c r="H71" s="2414">
        <v>0</v>
      </c>
      <c r="I71" s="2414">
        <v>0</v>
      </c>
      <c r="J71" s="2404" t="s">
        <v>1238</v>
      </c>
    </row>
    <row r="72" spans="1:10" ht="38.25">
      <c r="A72" s="2411">
        <v>137417</v>
      </c>
      <c r="B72" s="2412">
        <v>610.14300000000003</v>
      </c>
      <c r="C72" s="2457" t="s">
        <v>1524</v>
      </c>
      <c r="D72" s="2409"/>
      <c r="E72" s="2414">
        <v>0</v>
      </c>
      <c r="F72" s="2458">
        <f t="shared" si="2"/>
        <v>0</v>
      </c>
      <c r="G72" s="2414">
        <v>0</v>
      </c>
      <c r="H72" s="2414">
        <v>0</v>
      </c>
      <c r="I72" s="2414">
        <v>0</v>
      </c>
      <c r="J72" s="2404" t="s">
        <v>1238</v>
      </c>
    </row>
    <row r="73" spans="1:10" ht="52.5" customHeight="1">
      <c r="A73" s="2411">
        <v>137418</v>
      </c>
      <c r="B73" s="2412">
        <v>705.26499999999999</v>
      </c>
      <c r="C73" s="2457" t="s">
        <v>1525</v>
      </c>
      <c r="D73" s="2409"/>
      <c r="E73" s="2414">
        <v>0</v>
      </c>
      <c r="F73" s="2458">
        <f t="shared" si="2"/>
        <v>0</v>
      </c>
      <c r="G73" s="2414">
        <v>0</v>
      </c>
      <c r="H73" s="2414">
        <v>0</v>
      </c>
      <c r="I73" s="2414">
        <v>0</v>
      </c>
      <c r="J73" s="2404" t="s">
        <v>1227</v>
      </c>
    </row>
    <row r="74" spans="1:10" ht="39.75" customHeight="1">
      <c r="A74" s="2411">
        <v>137419</v>
      </c>
      <c r="B74" s="2412">
        <v>705.27</v>
      </c>
      <c r="C74" s="2457" t="s">
        <v>1526</v>
      </c>
      <c r="D74" s="2409"/>
      <c r="E74" s="2414">
        <v>0</v>
      </c>
      <c r="F74" s="2458">
        <f t="shared" si="2"/>
        <v>0</v>
      </c>
      <c r="G74" s="2414">
        <v>0</v>
      </c>
      <c r="H74" s="2414">
        <v>0</v>
      </c>
      <c r="I74" s="2414">
        <v>0</v>
      </c>
      <c r="J74" s="2404" t="s">
        <v>1239</v>
      </c>
    </row>
    <row r="75" spans="1:10" ht="40.5" customHeight="1">
      <c r="A75" s="2411">
        <v>137420</v>
      </c>
      <c r="B75" s="2412">
        <v>705.27099999999996</v>
      </c>
      <c r="C75" s="2457" t="s">
        <v>1527</v>
      </c>
      <c r="D75" s="2409"/>
      <c r="E75" s="2414">
        <v>0</v>
      </c>
      <c r="F75" s="2458">
        <f t="shared" si="2"/>
        <v>0</v>
      </c>
      <c r="G75" s="2414">
        <v>0</v>
      </c>
      <c r="H75" s="2414">
        <v>0</v>
      </c>
      <c r="I75" s="2414">
        <v>0</v>
      </c>
      <c r="J75" s="2404" t="s">
        <v>1239</v>
      </c>
    </row>
    <row r="76" spans="1:10" ht="40.5" customHeight="1">
      <c r="A76" s="2411">
        <v>137421</v>
      </c>
      <c r="B76" s="2412">
        <v>705.27200000000005</v>
      </c>
      <c r="C76" s="2457" t="s">
        <v>1528</v>
      </c>
      <c r="D76" s="2409"/>
      <c r="E76" s="2414">
        <v>0</v>
      </c>
      <c r="F76" s="2458">
        <f t="shared" si="2"/>
        <v>0</v>
      </c>
      <c r="G76" s="2414">
        <v>0</v>
      </c>
      <c r="H76" s="2414">
        <v>0</v>
      </c>
      <c r="I76" s="2414">
        <v>0</v>
      </c>
      <c r="J76" s="2404" t="s">
        <v>1239</v>
      </c>
    </row>
    <row r="77" spans="1:10" ht="40.5" customHeight="1">
      <c r="A77" s="2411">
        <v>137422</v>
      </c>
      <c r="B77" s="2412">
        <v>705.27300000000002</v>
      </c>
      <c r="C77" s="2457" t="s">
        <v>1529</v>
      </c>
      <c r="D77" s="2409"/>
      <c r="E77" s="2414">
        <v>0</v>
      </c>
      <c r="F77" s="2458">
        <f t="shared" si="2"/>
        <v>0</v>
      </c>
      <c r="G77" s="2414">
        <v>0</v>
      </c>
      <c r="H77" s="2414">
        <v>0</v>
      </c>
      <c r="I77" s="2414">
        <v>0</v>
      </c>
      <c r="J77" s="2404" t="s">
        <v>1239</v>
      </c>
    </row>
    <row r="78" spans="1:10" ht="38.25" customHeight="1">
      <c r="A78" s="2411">
        <v>137423</v>
      </c>
      <c r="B78" s="2412">
        <v>705.274</v>
      </c>
      <c r="C78" s="2457" t="s">
        <v>1530</v>
      </c>
      <c r="D78" s="2409"/>
      <c r="E78" s="2414">
        <v>0</v>
      </c>
      <c r="F78" s="2458">
        <f t="shared" si="2"/>
        <v>0</v>
      </c>
      <c r="G78" s="2414">
        <v>0</v>
      </c>
      <c r="H78" s="2414">
        <v>0</v>
      </c>
      <c r="I78" s="2414">
        <v>0</v>
      </c>
      <c r="J78" s="2404" t="s">
        <v>1239</v>
      </c>
    </row>
    <row r="79" spans="1:10" ht="39.75" customHeight="1">
      <c r="A79" s="2411">
        <v>137424</v>
      </c>
      <c r="B79" s="2412">
        <v>705.27499999999998</v>
      </c>
      <c r="C79" s="2457" t="s">
        <v>1531</v>
      </c>
      <c r="D79" s="2409"/>
      <c r="E79" s="2414">
        <v>0</v>
      </c>
      <c r="F79" s="2458">
        <f t="shared" si="2"/>
        <v>0</v>
      </c>
      <c r="G79" s="2414">
        <v>0</v>
      </c>
      <c r="H79" s="2414">
        <v>0</v>
      </c>
      <c r="I79" s="2414">
        <v>0</v>
      </c>
      <c r="J79" s="2404" t="s">
        <v>1239</v>
      </c>
    </row>
    <row r="80" spans="1:10" ht="25.5">
      <c r="A80" s="2411">
        <v>137425</v>
      </c>
      <c r="B80" s="2412">
        <v>705.6</v>
      </c>
      <c r="C80" s="2457" t="s">
        <v>1532</v>
      </c>
      <c r="D80" s="2409"/>
      <c r="E80" s="2414">
        <v>0</v>
      </c>
      <c r="F80" s="2458">
        <f t="shared" si="2"/>
        <v>0</v>
      </c>
      <c r="G80" s="2414">
        <v>0</v>
      </c>
      <c r="H80" s="2414">
        <v>0</v>
      </c>
      <c r="I80" s="2414">
        <v>0</v>
      </c>
      <c r="J80" s="2404" t="s">
        <v>1218</v>
      </c>
    </row>
    <row r="81" spans="1:10" ht="51" customHeight="1">
      <c r="A81" s="2411">
        <v>287213</v>
      </c>
      <c r="B81" s="2412">
        <v>425.38099999999997</v>
      </c>
      <c r="C81" s="2457" t="s">
        <v>2108</v>
      </c>
      <c r="D81" s="2409"/>
      <c r="E81" s="2414">
        <v>1382645</v>
      </c>
      <c r="F81" s="2458">
        <f t="shared" si="2"/>
        <v>1382645</v>
      </c>
      <c r="G81" s="2414">
        <v>0</v>
      </c>
      <c r="H81" s="2414">
        <v>0</v>
      </c>
      <c r="I81" s="2414">
        <v>0</v>
      </c>
      <c r="J81" s="2407" t="s">
        <v>1898</v>
      </c>
    </row>
    <row r="82" spans="1:10" ht="90.75" customHeight="1">
      <c r="A82" s="2411">
        <v>287225</v>
      </c>
      <c r="B82" s="2412">
        <v>605.10299999999995</v>
      </c>
      <c r="C82" s="2457" t="s">
        <v>1533</v>
      </c>
      <c r="D82" s="2409"/>
      <c r="E82" s="2414">
        <v>-101882</v>
      </c>
      <c r="F82" s="2458">
        <f t="shared" si="2"/>
        <v>-101882</v>
      </c>
      <c r="G82" s="2414">
        <v>0</v>
      </c>
      <c r="H82" s="2414">
        <v>0</v>
      </c>
      <c r="I82" s="2414">
        <v>0</v>
      </c>
      <c r="J82" s="2407" t="s">
        <v>1534</v>
      </c>
    </row>
    <row r="83" spans="1:10" ht="15.75" customHeight="1">
      <c r="A83" s="2411">
        <v>287227</v>
      </c>
      <c r="B83" s="2412">
        <v>705.53099999999995</v>
      </c>
      <c r="C83" s="2457" t="s">
        <v>2107</v>
      </c>
      <c r="D83" s="2409"/>
      <c r="E83" s="2414">
        <v>5250566</v>
      </c>
      <c r="F83" s="2458">
        <f t="shared" si="2"/>
        <v>5250566</v>
      </c>
      <c r="G83" s="2414">
        <v>0</v>
      </c>
      <c r="H83" s="2414">
        <v>0</v>
      </c>
      <c r="I83" s="2414">
        <v>0</v>
      </c>
      <c r="J83" s="2407" t="s">
        <v>2115</v>
      </c>
    </row>
    <row r="84" spans="1:10" ht="15.75" customHeight="1">
      <c r="A84" s="2411">
        <v>287229</v>
      </c>
      <c r="B84" s="2412">
        <v>705.52700000000004</v>
      </c>
      <c r="C84" s="2457" t="s">
        <v>2106</v>
      </c>
      <c r="D84" s="2409"/>
      <c r="E84" s="2414">
        <v>580673</v>
      </c>
      <c r="F84" s="2458">
        <f t="shared" si="2"/>
        <v>580673</v>
      </c>
      <c r="G84" s="2414">
        <v>0</v>
      </c>
      <c r="H84" s="2414">
        <v>0</v>
      </c>
      <c r="I84" s="2414">
        <v>0</v>
      </c>
      <c r="J84" s="2407" t="s">
        <v>2116</v>
      </c>
    </row>
    <row r="85" spans="1:10" ht="13.5" customHeight="1">
      <c r="A85" s="2411">
        <v>287231</v>
      </c>
      <c r="B85" s="2412">
        <v>705.51900000000001</v>
      </c>
      <c r="C85" s="2457" t="s">
        <v>2105</v>
      </c>
      <c r="D85" s="2409"/>
      <c r="E85" s="2414">
        <v>50161</v>
      </c>
      <c r="F85" s="2458">
        <f t="shared" si="2"/>
        <v>50161</v>
      </c>
      <c r="G85" s="2414">
        <v>0</v>
      </c>
      <c r="H85" s="2414">
        <v>0</v>
      </c>
      <c r="I85" s="2414">
        <v>0</v>
      </c>
      <c r="J85" s="2407" t="s">
        <v>2104</v>
      </c>
    </row>
    <row r="86" spans="1:10" ht="38.25" customHeight="1">
      <c r="A86" s="2411">
        <v>287233</v>
      </c>
      <c r="B86" s="2412">
        <v>705.51499999999999</v>
      </c>
      <c r="C86" s="2457" t="s">
        <v>1836</v>
      </c>
      <c r="D86" s="2409"/>
      <c r="E86" s="2414">
        <v>4477257</v>
      </c>
      <c r="F86" s="2458">
        <f t="shared" si="2"/>
        <v>4477257</v>
      </c>
      <c r="G86" s="2414">
        <v>0</v>
      </c>
      <c r="H86" s="2414">
        <v>0</v>
      </c>
      <c r="I86" s="2414">
        <v>0</v>
      </c>
      <c r="J86" s="2407" t="s">
        <v>1837</v>
      </c>
    </row>
    <row r="87" spans="1:10" ht="51">
      <c r="A87" s="2411">
        <v>287237</v>
      </c>
      <c r="B87" s="2412">
        <v>705.755</v>
      </c>
      <c r="C87" s="2457" t="s">
        <v>1535</v>
      </c>
      <c r="D87" s="2409"/>
      <c r="E87" s="2414">
        <v>0</v>
      </c>
      <c r="F87" s="2458">
        <f t="shared" si="2"/>
        <v>0</v>
      </c>
      <c r="G87" s="2414">
        <v>0</v>
      </c>
      <c r="H87" s="2414">
        <v>0</v>
      </c>
      <c r="I87" s="2414">
        <v>0</v>
      </c>
      <c r="J87" s="2407" t="s">
        <v>1900</v>
      </c>
    </row>
    <row r="88" spans="1:10" ht="27" customHeight="1">
      <c r="A88" s="2411">
        <v>287238</v>
      </c>
      <c r="B88" s="2412">
        <v>705.42</v>
      </c>
      <c r="C88" s="2457" t="s">
        <v>2103</v>
      </c>
      <c r="D88" s="2409"/>
      <c r="E88" s="2414">
        <v>272633</v>
      </c>
      <c r="F88" s="2458">
        <f t="shared" si="2"/>
        <v>272633</v>
      </c>
      <c r="G88" s="2414">
        <v>0</v>
      </c>
      <c r="H88" s="2414">
        <v>0</v>
      </c>
      <c r="I88" s="2414">
        <v>0</v>
      </c>
      <c r="J88" s="2407" t="s">
        <v>2122</v>
      </c>
    </row>
    <row r="89" spans="1:10" ht="25.5">
      <c r="A89" s="2411">
        <v>287239</v>
      </c>
      <c r="B89" s="2412">
        <v>705.6</v>
      </c>
      <c r="C89" s="2457" t="s">
        <v>1532</v>
      </c>
      <c r="D89" s="2409"/>
      <c r="E89" s="2414">
        <v>0</v>
      </c>
      <c r="F89" s="2458">
        <f t="shared" si="2"/>
        <v>0</v>
      </c>
      <c r="G89" s="2414">
        <v>0</v>
      </c>
      <c r="H89" s="2414">
        <v>0</v>
      </c>
      <c r="I89" s="2414">
        <v>0</v>
      </c>
      <c r="J89" s="2404" t="s">
        <v>1218</v>
      </c>
    </row>
    <row r="90" spans="1:10" ht="25.5">
      <c r="A90" s="2411">
        <v>287253</v>
      </c>
      <c r="B90" s="2412">
        <v>705.4</v>
      </c>
      <c r="C90" s="2457" t="s">
        <v>1838</v>
      </c>
      <c r="D90" s="2409"/>
      <c r="E90" s="2414">
        <v>1981034</v>
      </c>
      <c r="F90" s="2458">
        <f t="shared" si="2"/>
        <v>1981034</v>
      </c>
      <c r="G90" s="2414"/>
      <c r="H90" s="2414"/>
      <c r="I90" s="2414"/>
      <c r="J90" s="2404" t="s">
        <v>1219</v>
      </c>
    </row>
    <row r="91" spans="1:10" ht="25.5" customHeight="1">
      <c r="A91" s="2411">
        <v>287255</v>
      </c>
      <c r="B91" s="2412">
        <v>705.45100000000002</v>
      </c>
      <c r="C91" s="2416" t="s">
        <v>1536</v>
      </c>
      <c r="D91" s="2409"/>
      <c r="E91" s="2414">
        <v>0</v>
      </c>
      <c r="F91" s="2458">
        <f t="shared" si="2"/>
        <v>0</v>
      </c>
      <c r="G91" s="2414">
        <v>0</v>
      </c>
      <c r="H91" s="2414">
        <v>0</v>
      </c>
      <c r="I91" s="2414">
        <v>0</v>
      </c>
      <c r="J91" s="2404" t="s">
        <v>1220</v>
      </c>
    </row>
    <row r="92" spans="1:10" ht="25.5">
      <c r="A92" s="2411">
        <v>287257</v>
      </c>
      <c r="B92" s="2412">
        <v>705.45299999999997</v>
      </c>
      <c r="C92" s="2416" t="s">
        <v>1537</v>
      </c>
      <c r="D92" s="2409"/>
      <c r="E92" s="2414">
        <v>187733</v>
      </c>
      <c r="F92" s="2458">
        <f t="shared" si="2"/>
        <v>187733</v>
      </c>
      <c r="G92" s="2414">
        <v>0</v>
      </c>
      <c r="H92" s="2414">
        <v>0</v>
      </c>
      <c r="I92" s="2414">
        <v>0</v>
      </c>
      <c r="J92" s="2404" t="s">
        <v>1221</v>
      </c>
    </row>
    <row r="93" spans="1:10" ht="25.5">
      <c r="A93" s="2411">
        <v>287258</v>
      </c>
      <c r="B93" s="2412">
        <v>705.45399999999995</v>
      </c>
      <c r="C93" s="2416" t="s">
        <v>1538</v>
      </c>
      <c r="D93" s="2409"/>
      <c r="E93" s="2414">
        <v>1627276</v>
      </c>
      <c r="F93" s="2458">
        <f t="shared" si="2"/>
        <v>1627276</v>
      </c>
      <c r="G93" s="2414">
        <v>0</v>
      </c>
      <c r="H93" s="2414">
        <v>0</v>
      </c>
      <c r="I93" s="2414">
        <v>0</v>
      </c>
      <c r="J93" s="2404" t="s">
        <v>1222</v>
      </c>
    </row>
    <row r="94" spans="1:10" ht="25.5">
      <c r="A94" s="2411">
        <v>287262</v>
      </c>
      <c r="B94" s="2412">
        <v>100.1</v>
      </c>
      <c r="C94" s="2416" t="s">
        <v>1539</v>
      </c>
      <c r="D94" s="2409"/>
      <c r="E94" s="2414">
        <v>3782270</v>
      </c>
      <c r="F94" s="2458">
        <f t="shared" si="2"/>
        <v>3782270</v>
      </c>
      <c r="G94" s="2414">
        <v>0</v>
      </c>
      <c r="H94" s="2414">
        <v>0</v>
      </c>
      <c r="I94" s="2414">
        <v>0</v>
      </c>
      <c r="J94" s="2404" t="s">
        <v>1224</v>
      </c>
    </row>
    <row r="95" spans="1:10" ht="27.75" customHeight="1">
      <c r="A95" s="2411">
        <v>287268</v>
      </c>
      <c r="B95" s="2412">
        <v>415.70600000000002</v>
      </c>
      <c r="C95" s="2457" t="s">
        <v>2102</v>
      </c>
      <c r="D95" s="2409"/>
      <c r="E95" s="2414">
        <v>367689</v>
      </c>
      <c r="F95" s="2458">
        <f t="shared" si="2"/>
        <v>367689</v>
      </c>
      <c r="G95" s="2414">
        <v>0</v>
      </c>
      <c r="H95" s="2414">
        <v>0</v>
      </c>
      <c r="I95" s="2414">
        <v>0</v>
      </c>
      <c r="J95" s="2405" t="s">
        <v>2101</v>
      </c>
    </row>
    <row r="96" spans="1:10" ht="15.75" customHeight="1">
      <c r="A96" s="2411">
        <v>287274</v>
      </c>
      <c r="B96" s="2412">
        <v>705.26099999999997</v>
      </c>
      <c r="C96" s="2457" t="s">
        <v>2100</v>
      </c>
      <c r="D96" s="2409"/>
      <c r="E96" s="2414">
        <v>12666</v>
      </c>
      <c r="F96" s="2458">
        <f t="shared" si="2"/>
        <v>12666</v>
      </c>
      <c r="G96" s="2414">
        <v>0</v>
      </c>
      <c r="H96" s="2414">
        <v>0</v>
      </c>
      <c r="I96" s="2414">
        <v>0</v>
      </c>
      <c r="J96" s="2405" t="s">
        <v>2099</v>
      </c>
    </row>
    <row r="97" spans="1:11" ht="25.5">
      <c r="A97" s="2411">
        <v>287284</v>
      </c>
      <c r="B97" s="2412">
        <v>610.14700000000005</v>
      </c>
      <c r="C97" s="2416" t="s">
        <v>1540</v>
      </c>
      <c r="D97" s="2409"/>
      <c r="E97" s="2414">
        <v>27902</v>
      </c>
      <c r="F97" s="2458">
        <f t="shared" si="2"/>
        <v>27902</v>
      </c>
      <c r="G97" s="2414">
        <v>0</v>
      </c>
      <c r="H97" s="2414">
        <v>0</v>
      </c>
      <c r="I97" s="2414">
        <v>0</v>
      </c>
      <c r="J97" s="2404" t="s">
        <v>1225</v>
      </c>
    </row>
    <row r="98" spans="1:11" ht="25.5">
      <c r="A98" s="2411">
        <v>287288</v>
      </c>
      <c r="B98" s="2412">
        <v>415.80399999999997</v>
      </c>
      <c r="C98" s="2416" t="s">
        <v>1541</v>
      </c>
      <c r="D98" s="2409"/>
      <c r="E98" s="2414">
        <v>0</v>
      </c>
      <c r="F98" s="2458">
        <f t="shared" si="2"/>
        <v>0</v>
      </c>
      <c r="G98" s="2414">
        <v>0</v>
      </c>
      <c r="H98" s="2414">
        <v>0</v>
      </c>
      <c r="I98" s="2414">
        <v>0</v>
      </c>
      <c r="J98" s="2404" t="s">
        <v>1226</v>
      </c>
    </row>
    <row r="99" spans="1:11" ht="51">
      <c r="A99" s="2411">
        <v>287299</v>
      </c>
      <c r="B99" s="2412">
        <v>705.26499999999999</v>
      </c>
      <c r="C99" s="2457" t="s">
        <v>1525</v>
      </c>
      <c r="D99" s="2409"/>
      <c r="E99" s="2414">
        <v>888964</v>
      </c>
      <c r="F99" s="2458">
        <f t="shared" si="2"/>
        <v>888964</v>
      </c>
      <c r="G99" s="2414">
        <v>0</v>
      </c>
      <c r="H99" s="2414">
        <v>0</v>
      </c>
      <c r="I99" s="2414">
        <v>0</v>
      </c>
      <c r="J99" s="2405" t="s">
        <v>2098</v>
      </c>
    </row>
    <row r="100" spans="1:11" ht="38.25">
      <c r="A100" s="2411">
        <v>287304</v>
      </c>
      <c r="B100" s="2412">
        <v>610.14599999999996</v>
      </c>
      <c r="C100" s="2416" t="s">
        <v>1542</v>
      </c>
      <c r="D100" s="2409"/>
      <c r="E100" s="2414">
        <v>-27906</v>
      </c>
      <c r="F100" s="2458">
        <f t="shared" si="2"/>
        <v>-27906</v>
      </c>
      <c r="G100" s="2414">
        <v>0</v>
      </c>
      <c r="H100" s="2414">
        <v>0</v>
      </c>
      <c r="I100" s="2414">
        <v>0</v>
      </c>
      <c r="J100" s="2404" t="s">
        <v>1228</v>
      </c>
      <c r="K100" s="2410" t="s">
        <v>225</v>
      </c>
    </row>
    <row r="101" spans="1:11" ht="25.5">
      <c r="A101" s="2411">
        <v>287312</v>
      </c>
      <c r="B101" s="2412">
        <v>105.4</v>
      </c>
      <c r="C101" s="2416" t="s">
        <v>1543</v>
      </c>
      <c r="D101" s="2409"/>
      <c r="E101" s="2414">
        <v>1507576</v>
      </c>
      <c r="F101" s="2458">
        <f t="shared" si="2"/>
        <v>1507576</v>
      </c>
      <c r="G101" s="2414">
        <v>0</v>
      </c>
      <c r="H101" s="2414">
        <v>0</v>
      </c>
      <c r="I101" s="2414">
        <v>0</v>
      </c>
      <c r="J101" s="2404" t="s">
        <v>1229</v>
      </c>
    </row>
    <row r="102" spans="1:11" ht="64.5" customHeight="1">
      <c r="A102" s="2411">
        <v>287316</v>
      </c>
      <c r="B102" s="2412">
        <v>715.72</v>
      </c>
      <c r="C102" s="2457" t="s">
        <v>2097</v>
      </c>
      <c r="D102" s="2409"/>
      <c r="E102" s="2414">
        <v>20735</v>
      </c>
      <c r="F102" s="2458">
        <f t="shared" si="2"/>
        <v>20735</v>
      </c>
      <c r="G102" s="2414">
        <v>0</v>
      </c>
      <c r="H102" s="2414">
        <v>0</v>
      </c>
      <c r="I102" s="2414">
        <v>0</v>
      </c>
      <c r="J102" s="2405" t="s">
        <v>2096</v>
      </c>
    </row>
    <row r="103" spans="1:11" ht="51">
      <c r="A103" s="2411">
        <v>287320</v>
      </c>
      <c r="B103" s="2412">
        <v>910.56</v>
      </c>
      <c r="C103" s="2416" t="s">
        <v>1544</v>
      </c>
      <c r="D103" s="2409"/>
      <c r="E103" s="2414">
        <v>0</v>
      </c>
      <c r="F103" s="2458">
        <f t="shared" si="2"/>
        <v>0</v>
      </c>
      <c r="G103" s="2414">
        <v>0</v>
      </c>
      <c r="H103" s="2414">
        <v>0</v>
      </c>
      <c r="I103" s="2414">
        <v>0</v>
      </c>
      <c r="J103" s="2404" t="s">
        <v>1231</v>
      </c>
    </row>
    <row r="104" spans="1:11" ht="38.25">
      <c r="A104" s="2411">
        <v>287374</v>
      </c>
      <c r="B104" s="2412">
        <v>100.105</v>
      </c>
      <c r="C104" s="2416" t="s">
        <v>1232</v>
      </c>
      <c r="D104" s="2409"/>
      <c r="E104" s="2414">
        <v>367431</v>
      </c>
      <c r="F104" s="2458">
        <f t="shared" si="2"/>
        <v>367431</v>
      </c>
      <c r="G104" s="2414">
        <v>0</v>
      </c>
      <c r="H104" s="2414">
        <v>0</v>
      </c>
      <c r="I104" s="2414">
        <v>0</v>
      </c>
      <c r="J104" s="2404" t="s">
        <v>1233</v>
      </c>
    </row>
    <row r="105" spans="1:11" ht="40.5" customHeight="1">
      <c r="A105" s="2411">
        <v>287438</v>
      </c>
      <c r="B105" s="2412">
        <v>415.8</v>
      </c>
      <c r="C105" s="2416" t="s">
        <v>1545</v>
      </c>
      <c r="D105" s="2409"/>
      <c r="E105" s="2414">
        <v>0</v>
      </c>
      <c r="F105" s="2458">
        <f t="shared" si="2"/>
        <v>0</v>
      </c>
      <c r="G105" s="2414">
        <v>0</v>
      </c>
      <c r="H105" s="2414">
        <v>0</v>
      </c>
      <c r="I105" s="2414">
        <v>0</v>
      </c>
      <c r="J105" s="2404" t="s">
        <v>1234</v>
      </c>
    </row>
    <row r="106" spans="1:11" ht="39" customHeight="1">
      <c r="A106" s="2411">
        <v>287439</v>
      </c>
      <c r="B106" s="2412">
        <v>415.80500000000001</v>
      </c>
      <c r="C106" s="2416" t="s">
        <v>1546</v>
      </c>
      <c r="D106" s="2409"/>
      <c r="E106" s="2414">
        <v>0</v>
      </c>
      <c r="F106" s="2458">
        <f t="shared" si="2"/>
        <v>0</v>
      </c>
      <c r="G106" s="2414">
        <v>0</v>
      </c>
      <c r="H106" s="2414">
        <v>0</v>
      </c>
      <c r="I106" s="2414">
        <v>0</v>
      </c>
      <c r="J106" s="2404" t="s">
        <v>1235</v>
      </c>
    </row>
    <row r="107" spans="1:11" ht="38.25">
      <c r="A107" s="2411">
        <v>287440</v>
      </c>
      <c r="B107" s="2412">
        <v>415.80599999999998</v>
      </c>
      <c r="C107" s="2416" t="s">
        <v>1547</v>
      </c>
      <c r="D107" s="2409"/>
      <c r="E107" s="2414">
        <v>0</v>
      </c>
      <c r="F107" s="2458">
        <f t="shared" si="2"/>
        <v>0</v>
      </c>
      <c r="G107" s="2414">
        <v>0</v>
      </c>
      <c r="H107" s="2414">
        <v>0</v>
      </c>
      <c r="I107" s="2414">
        <v>0</v>
      </c>
      <c r="J107" s="2404" t="s">
        <v>1236</v>
      </c>
    </row>
    <row r="108" spans="1:11" ht="53.25" customHeight="1">
      <c r="A108" s="2411">
        <v>287441</v>
      </c>
      <c r="B108" s="2412">
        <v>605.1</v>
      </c>
      <c r="C108" s="2416" t="s">
        <v>1548</v>
      </c>
      <c r="D108" s="2409"/>
      <c r="E108" s="2414">
        <v>2111845</v>
      </c>
      <c r="F108" s="2458">
        <f t="shared" si="2"/>
        <v>2111845</v>
      </c>
      <c r="G108" s="2414">
        <v>0</v>
      </c>
      <c r="H108" s="2414">
        <v>0</v>
      </c>
      <c r="I108" s="2414">
        <v>0</v>
      </c>
      <c r="J108" s="2404" t="s">
        <v>1839</v>
      </c>
    </row>
    <row r="109" spans="1:11" ht="38.25">
      <c r="A109" s="2411">
        <v>287442</v>
      </c>
      <c r="B109" s="2412">
        <v>610.13499999999999</v>
      </c>
      <c r="C109" s="2416" t="s">
        <v>563</v>
      </c>
      <c r="D109" s="2409"/>
      <c r="E109" s="2414">
        <v>0</v>
      </c>
      <c r="F109" s="2458">
        <f t="shared" si="2"/>
        <v>0</v>
      </c>
      <c r="G109" s="2414">
        <v>0</v>
      </c>
      <c r="H109" s="2414">
        <v>0</v>
      </c>
      <c r="I109" s="2414">
        <v>0</v>
      </c>
      <c r="J109" s="2404" t="s">
        <v>1237</v>
      </c>
    </row>
    <row r="110" spans="1:11" ht="38.25">
      <c r="A110" s="2411">
        <v>287445</v>
      </c>
      <c r="B110" s="2412">
        <v>610.14200000000005</v>
      </c>
      <c r="C110" s="2457" t="s">
        <v>2095</v>
      </c>
      <c r="D110" s="2409"/>
      <c r="E110" s="2414">
        <v>480062</v>
      </c>
      <c r="F110" s="2458">
        <f t="shared" si="2"/>
        <v>480062</v>
      </c>
      <c r="G110" s="2414">
        <v>0</v>
      </c>
      <c r="H110" s="2414">
        <v>0</v>
      </c>
      <c r="I110" s="2414">
        <v>0</v>
      </c>
      <c r="J110" s="2405" t="s">
        <v>2094</v>
      </c>
    </row>
    <row r="111" spans="1:11" ht="38.25">
      <c r="A111" s="2411">
        <v>287453</v>
      </c>
      <c r="B111" s="2412">
        <v>610.14300000000003</v>
      </c>
      <c r="C111" s="2457" t="s">
        <v>1524</v>
      </c>
      <c r="D111" s="2409"/>
      <c r="E111" s="2414">
        <v>612722</v>
      </c>
      <c r="F111" s="2458">
        <f t="shared" si="2"/>
        <v>612722</v>
      </c>
      <c r="G111" s="2414">
        <v>0</v>
      </c>
      <c r="H111" s="2414">
        <v>0</v>
      </c>
      <c r="I111" s="2414">
        <v>0</v>
      </c>
      <c r="J111" s="2405" t="s">
        <v>2094</v>
      </c>
    </row>
    <row r="112" spans="1:11" ht="41.25" customHeight="1">
      <c r="A112" s="2411">
        <v>287473</v>
      </c>
      <c r="B112" s="2412">
        <v>705.27</v>
      </c>
      <c r="C112" s="2457" t="s">
        <v>2093</v>
      </c>
      <c r="D112" s="2409"/>
      <c r="E112" s="2414">
        <v>1137852</v>
      </c>
      <c r="F112" s="2458">
        <f t="shared" si="2"/>
        <v>1137852</v>
      </c>
      <c r="G112" s="2414">
        <v>0</v>
      </c>
      <c r="H112" s="2414">
        <v>0</v>
      </c>
      <c r="I112" s="2414">
        <v>0</v>
      </c>
      <c r="J112" s="2405" t="s">
        <v>2088</v>
      </c>
    </row>
    <row r="113" spans="1:10" ht="41.25" customHeight="1">
      <c r="A113" s="2411">
        <v>287474</v>
      </c>
      <c r="B113" s="2412">
        <v>705.27099999999996</v>
      </c>
      <c r="C113" s="2457" t="s">
        <v>2092</v>
      </c>
      <c r="D113" s="2409"/>
      <c r="E113" s="2414">
        <v>78540</v>
      </c>
      <c r="F113" s="2458">
        <f t="shared" si="2"/>
        <v>78540</v>
      </c>
      <c r="G113" s="2414">
        <v>0</v>
      </c>
      <c r="H113" s="2414">
        <v>0</v>
      </c>
      <c r="I113" s="2414">
        <v>0</v>
      </c>
      <c r="J113" s="2405" t="s">
        <v>2088</v>
      </c>
    </row>
    <row r="114" spans="1:10" ht="41.25" customHeight="1">
      <c r="A114" s="2411">
        <v>287475</v>
      </c>
      <c r="B114" s="2412">
        <v>705.27200000000005</v>
      </c>
      <c r="C114" s="2457" t="s">
        <v>2091</v>
      </c>
      <c r="D114" s="2409"/>
      <c r="E114" s="2414">
        <v>68469</v>
      </c>
      <c r="F114" s="2458">
        <f t="shared" si="2"/>
        <v>68469</v>
      </c>
      <c r="G114" s="2414">
        <v>0</v>
      </c>
      <c r="H114" s="2414">
        <v>0</v>
      </c>
      <c r="I114" s="2414">
        <v>0</v>
      </c>
      <c r="J114" s="2405" t="s">
        <v>2088</v>
      </c>
    </row>
    <row r="115" spans="1:10" ht="39.75" customHeight="1">
      <c r="A115" s="2411">
        <v>287476</v>
      </c>
      <c r="B115" s="2412">
        <v>705.27300000000002</v>
      </c>
      <c r="C115" s="2457" t="s">
        <v>2090</v>
      </c>
      <c r="D115" s="2409"/>
      <c r="E115" s="2414">
        <v>1741740</v>
      </c>
      <c r="F115" s="2458">
        <f t="shared" si="2"/>
        <v>1741740</v>
      </c>
      <c r="G115" s="2414">
        <v>0</v>
      </c>
      <c r="H115" s="2414">
        <v>0</v>
      </c>
      <c r="I115" s="2414">
        <v>0</v>
      </c>
      <c r="J115" s="2405" t="s">
        <v>2088</v>
      </c>
    </row>
    <row r="116" spans="1:10" ht="41.25" customHeight="1">
      <c r="A116" s="2411">
        <v>287477</v>
      </c>
      <c r="B116" s="2412">
        <v>705.274</v>
      </c>
      <c r="C116" s="2457" t="s">
        <v>2089</v>
      </c>
      <c r="D116" s="2409"/>
      <c r="E116" s="2414">
        <v>59702</v>
      </c>
      <c r="F116" s="2458">
        <f t="shared" si="2"/>
        <v>59702</v>
      </c>
      <c r="G116" s="2414">
        <v>0</v>
      </c>
      <c r="H116" s="2414">
        <v>0</v>
      </c>
      <c r="I116" s="2414">
        <v>0</v>
      </c>
      <c r="J116" s="2405" t="s">
        <v>2088</v>
      </c>
    </row>
    <row r="117" spans="1:10" ht="41.25" customHeight="1">
      <c r="A117" s="2411">
        <v>287478</v>
      </c>
      <c r="B117" s="2412">
        <v>705.27499999999998</v>
      </c>
      <c r="C117" s="2457" t="s">
        <v>2087</v>
      </c>
      <c r="D117" s="2409"/>
      <c r="E117" s="2414">
        <v>183700</v>
      </c>
      <c r="F117" s="2458">
        <f t="shared" si="2"/>
        <v>183700</v>
      </c>
      <c r="G117" s="2414">
        <v>0</v>
      </c>
      <c r="H117" s="2414">
        <v>0</v>
      </c>
      <c r="I117" s="2414">
        <v>0</v>
      </c>
      <c r="J117" s="2405" t="s">
        <v>1239</v>
      </c>
    </row>
    <row r="118" spans="1:10" ht="38.25">
      <c r="A118" s="2411">
        <v>287486</v>
      </c>
      <c r="B118" s="2412">
        <v>415.92599999999999</v>
      </c>
      <c r="C118" s="2457" t="s">
        <v>1840</v>
      </c>
      <c r="D118" s="2409"/>
      <c r="E118" s="2414">
        <v>703968</v>
      </c>
      <c r="F118" s="2458">
        <f t="shared" si="2"/>
        <v>703968</v>
      </c>
      <c r="G118" s="2414">
        <v>0</v>
      </c>
      <c r="H118" s="2414">
        <v>0</v>
      </c>
      <c r="I118" s="2414">
        <v>0</v>
      </c>
      <c r="J118" s="2405" t="s">
        <v>1841</v>
      </c>
    </row>
    <row r="119" spans="1:10" ht="38.25">
      <c r="A119" s="2411">
        <v>287487</v>
      </c>
      <c r="B119" s="2412">
        <v>415.92700000000002</v>
      </c>
      <c r="C119" s="2416" t="s">
        <v>1840</v>
      </c>
      <c r="D119" s="2409"/>
      <c r="E119" s="2414">
        <v>101835</v>
      </c>
      <c r="F119" s="2458">
        <f t="shared" si="2"/>
        <v>101835</v>
      </c>
      <c r="G119" s="2414">
        <v>0</v>
      </c>
      <c r="H119" s="2414">
        <v>0</v>
      </c>
      <c r="I119" s="2414">
        <v>0</v>
      </c>
      <c r="J119" s="2404" t="s">
        <v>1842</v>
      </c>
    </row>
    <row r="120" spans="1:10" ht="12.75">
      <c r="A120" s="2435" t="s">
        <v>1549</v>
      </c>
      <c r="B120" s="2412"/>
      <c r="C120" s="2416"/>
      <c r="D120" s="2409"/>
      <c r="E120" s="2414"/>
      <c r="F120" s="2458">
        <f t="shared" si="2"/>
        <v>0</v>
      </c>
      <c r="G120" s="2414"/>
      <c r="H120" s="2414"/>
      <c r="I120" s="2414"/>
      <c r="J120" s="2404"/>
    </row>
    <row r="121" spans="1:10" ht="12.75">
      <c r="A121" s="2411">
        <v>137402</v>
      </c>
      <c r="B121" s="2467" t="s">
        <v>1550</v>
      </c>
      <c r="C121" s="2416"/>
      <c r="D121" s="2409"/>
      <c r="E121" s="2414">
        <v>0</v>
      </c>
      <c r="F121" s="2458">
        <f t="shared" si="2"/>
        <v>0</v>
      </c>
      <c r="G121" s="2414">
        <v>0</v>
      </c>
      <c r="H121" s="2414">
        <v>0</v>
      </c>
      <c r="I121" s="2414">
        <v>0</v>
      </c>
      <c r="J121" s="2404" t="s">
        <v>2085</v>
      </c>
    </row>
    <row r="122" spans="1:10" ht="25.5">
      <c r="A122" s="2411">
        <v>137403</v>
      </c>
      <c r="B122" s="2467" t="s">
        <v>1551</v>
      </c>
      <c r="C122" s="2416"/>
      <c r="D122" s="2409"/>
      <c r="E122" s="2414">
        <v>0</v>
      </c>
      <c r="F122" s="2458">
        <f t="shared" si="2"/>
        <v>0</v>
      </c>
      <c r="G122" s="2414">
        <v>0</v>
      </c>
      <c r="H122" s="2414">
        <v>0</v>
      </c>
      <c r="I122" s="2414">
        <v>0</v>
      </c>
      <c r="J122" s="2404" t="s">
        <v>2084</v>
      </c>
    </row>
    <row r="123" spans="1:10" ht="12.75">
      <c r="A123" s="2411">
        <v>287280</v>
      </c>
      <c r="B123" s="2467" t="s">
        <v>1552</v>
      </c>
      <c r="C123" s="2416"/>
      <c r="D123" s="2409"/>
      <c r="E123" s="2414">
        <v>324818</v>
      </c>
      <c r="F123" s="2458">
        <f t="shared" si="2"/>
        <v>324818</v>
      </c>
      <c r="G123" s="2414">
        <v>0</v>
      </c>
      <c r="H123" s="2414">
        <v>0</v>
      </c>
      <c r="I123" s="2414">
        <v>0</v>
      </c>
      <c r="J123" s="2404" t="s">
        <v>2086</v>
      </c>
    </row>
    <row r="124" spans="1:10" ht="12.75">
      <c r="A124" s="2411">
        <v>287437</v>
      </c>
      <c r="B124" s="2467" t="s">
        <v>1553</v>
      </c>
      <c r="C124" s="2416"/>
      <c r="D124" s="2409"/>
      <c r="E124" s="2414">
        <v>79821041</v>
      </c>
      <c r="F124" s="2458">
        <f t="shared" si="2"/>
        <v>79821041</v>
      </c>
      <c r="G124" s="2414">
        <v>0</v>
      </c>
      <c r="H124" s="2414">
        <v>0</v>
      </c>
      <c r="I124" s="2414">
        <v>0</v>
      </c>
      <c r="J124" s="2404" t="s">
        <v>2085</v>
      </c>
    </row>
    <row r="125" spans="1:10" ht="25.5">
      <c r="A125" s="2411">
        <v>287449</v>
      </c>
      <c r="B125" s="2467" t="s">
        <v>1554</v>
      </c>
      <c r="C125" s="2416"/>
      <c r="D125" s="2409"/>
      <c r="E125" s="2414">
        <v>-28051051</v>
      </c>
      <c r="F125" s="2458">
        <f t="shared" si="2"/>
        <v>-28051051</v>
      </c>
      <c r="G125" s="2414">
        <v>0</v>
      </c>
      <c r="H125" s="2414">
        <v>0</v>
      </c>
      <c r="I125" s="2414">
        <v>0</v>
      </c>
      <c r="J125" s="2404" t="s">
        <v>2084</v>
      </c>
    </row>
    <row r="126" spans="1:10" ht="25.5">
      <c r="A126" s="2411">
        <v>287371</v>
      </c>
      <c r="B126" s="2467" t="s">
        <v>1555</v>
      </c>
      <c r="C126" s="2416"/>
      <c r="D126" s="2409"/>
      <c r="E126" s="2414">
        <v>2104918</v>
      </c>
      <c r="F126" s="2458">
        <f t="shared" si="2"/>
        <v>2104918</v>
      </c>
      <c r="G126" s="2414">
        <v>0</v>
      </c>
      <c r="H126" s="2414">
        <v>0</v>
      </c>
      <c r="I126" s="2414">
        <v>0</v>
      </c>
      <c r="J126" s="2407" t="s">
        <v>1732</v>
      </c>
    </row>
    <row r="127" spans="1:10" ht="12.75">
      <c r="A127" s="2411">
        <v>287491</v>
      </c>
      <c r="B127" s="2467" t="s">
        <v>1556</v>
      </c>
      <c r="C127" s="2416"/>
      <c r="D127" s="2409"/>
      <c r="E127" s="2414">
        <v>2136632</v>
      </c>
      <c r="F127" s="2458">
        <f t="shared" si="2"/>
        <v>2136632</v>
      </c>
      <c r="G127" s="2414">
        <v>0</v>
      </c>
      <c r="H127" s="2414">
        <v>0</v>
      </c>
      <c r="I127" s="2414">
        <v>0</v>
      </c>
      <c r="J127" s="2404" t="s">
        <v>2083</v>
      </c>
    </row>
    <row r="128" spans="1:10" ht="25.5">
      <c r="A128" s="2411">
        <v>287497</v>
      </c>
      <c r="B128" s="2467" t="s">
        <v>1557</v>
      </c>
      <c r="C128" s="2416"/>
      <c r="D128" s="2409"/>
      <c r="E128" s="2414">
        <v>837770</v>
      </c>
      <c r="F128" s="2458">
        <f t="shared" si="2"/>
        <v>837770</v>
      </c>
      <c r="G128" s="2414">
        <v>0</v>
      </c>
      <c r="H128" s="2414">
        <v>0</v>
      </c>
      <c r="I128" s="2414">
        <v>0</v>
      </c>
      <c r="J128" s="2407" t="s">
        <v>1733</v>
      </c>
    </row>
    <row r="129" spans="1:10" ht="12.75">
      <c r="A129" s="2411">
        <v>287494</v>
      </c>
      <c r="B129" s="2467" t="s">
        <v>1558</v>
      </c>
      <c r="C129" s="2416"/>
      <c r="D129" s="2409"/>
      <c r="E129" s="2414">
        <v>11092612</v>
      </c>
      <c r="F129" s="2458">
        <f t="shared" si="2"/>
        <v>11092612</v>
      </c>
      <c r="G129" s="2414">
        <v>0</v>
      </c>
      <c r="H129" s="2414">
        <v>0</v>
      </c>
      <c r="I129" s="2414">
        <v>0</v>
      </c>
      <c r="J129" s="2404" t="s">
        <v>2082</v>
      </c>
    </row>
    <row r="130" spans="1:10" ht="12.75">
      <c r="A130" s="2411">
        <v>287269</v>
      </c>
      <c r="B130" s="2467" t="s">
        <v>1559</v>
      </c>
      <c r="C130" s="2416"/>
      <c r="D130" s="2409"/>
      <c r="E130" s="2414">
        <v>185148</v>
      </c>
      <c r="F130" s="2458">
        <f t="shared" si="2"/>
        <v>185148</v>
      </c>
      <c r="G130" s="2414">
        <v>0</v>
      </c>
      <c r="H130" s="2414">
        <v>0</v>
      </c>
      <c r="I130" s="2414">
        <v>0</v>
      </c>
      <c r="J130" s="2404" t="s">
        <v>2081</v>
      </c>
    </row>
    <row r="131" spans="1:10" ht="12.75">
      <c r="A131" s="2411">
        <v>287275</v>
      </c>
      <c r="B131" s="2467" t="s">
        <v>1560</v>
      </c>
      <c r="C131" s="2416"/>
      <c r="D131" s="2409"/>
      <c r="E131" s="2414">
        <v>0</v>
      </c>
      <c r="F131" s="2458">
        <f t="shared" si="2"/>
        <v>0</v>
      </c>
      <c r="G131" s="2414">
        <v>0</v>
      </c>
      <c r="H131" s="2414">
        <v>0</v>
      </c>
      <c r="I131" s="2414">
        <v>0</v>
      </c>
      <c r="J131" s="2404" t="s">
        <v>2080</v>
      </c>
    </row>
    <row r="132" spans="1:10" ht="12.75">
      <c r="A132" s="2411">
        <v>287281</v>
      </c>
      <c r="B132" s="2467" t="s">
        <v>1561</v>
      </c>
      <c r="C132" s="2416"/>
      <c r="D132" s="2409"/>
      <c r="E132" s="2414">
        <v>320577</v>
      </c>
      <c r="F132" s="2458">
        <f t="shared" si="2"/>
        <v>320577</v>
      </c>
      <c r="G132" s="2414">
        <v>0</v>
      </c>
      <c r="H132" s="2414">
        <v>0</v>
      </c>
      <c r="I132" s="2414">
        <v>0</v>
      </c>
      <c r="J132" s="2404" t="s">
        <v>2079</v>
      </c>
    </row>
    <row r="133" spans="1:10" ht="12.75">
      <c r="A133" s="2411"/>
      <c r="B133" s="2412"/>
      <c r="C133" s="2416"/>
      <c r="D133" s="2409"/>
      <c r="E133" s="2414"/>
      <c r="F133" s="2414"/>
      <c r="G133" s="2414"/>
      <c r="H133" s="2414"/>
      <c r="I133" s="2414"/>
      <c r="J133" s="2404"/>
    </row>
    <row r="134" spans="1:10" ht="12.75">
      <c r="A134" s="2435" t="s">
        <v>1562</v>
      </c>
      <c r="B134" s="2412"/>
      <c r="C134" s="2416"/>
      <c r="D134" s="2409"/>
      <c r="E134" s="2414"/>
      <c r="F134" s="2414"/>
      <c r="G134" s="2414"/>
      <c r="H134" s="2414"/>
      <c r="I134" s="2414"/>
      <c r="J134" s="2404"/>
    </row>
    <row r="135" spans="1:10" ht="25.5">
      <c r="A135" s="2411">
        <v>137510</v>
      </c>
      <c r="B135" s="2467">
        <v>415.815</v>
      </c>
      <c r="C135" s="2416" t="s">
        <v>1843</v>
      </c>
      <c r="D135" s="2409"/>
      <c r="E135" s="2414">
        <v>0</v>
      </c>
      <c r="F135" s="2458">
        <f>E135</f>
        <v>0</v>
      </c>
      <c r="G135" s="2414">
        <v>0</v>
      </c>
      <c r="H135" s="2414">
        <v>0</v>
      </c>
      <c r="I135" s="2414">
        <v>0</v>
      </c>
      <c r="J135" s="2404" t="s">
        <v>1844</v>
      </c>
    </row>
    <row r="136" spans="1:10" ht="25.5">
      <c r="A136" s="2411">
        <v>287970</v>
      </c>
      <c r="B136" s="2467">
        <v>415.815</v>
      </c>
      <c r="C136" s="2457" t="s">
        <v>2078</v>
      </c>
      <c r="D136" s="2409"/>
      <c r="E136" s="2414">
        <v>-10338412</v>
      </c>
      <c r="F136" s="2458">
        <f>E136</f>
        <v>-10338412</v>
      </c>
      <c r="G136" s="2414">
        <v>0</v>
      </c>
      <c r="H136" s="2414">
        <v>0</v>
      </c>
      <c r="I136" s="2414">
        <v>0</v>
      </c>
      <c r="J136" s="2404" t="s">
        <v>1844</v>
      </c>
    </row>
    <row r="137" spans="1:10" ht="12.75">
      <c r="A137" s="2411">
        <v>287498</v>
      </c>
      <c r="B137" s="2467">
        <v>425.14</v>
      </c>
      <c r="C137" s="2416" t="s">
        <v>1563</v>
      </c>
      <c r="D137" s="2409"/>
      <c r="E137" s="2414">
        <v>46142255</v>
      </c>
      <c r="F137" s="2458">
        <f>E137</f>
        <v>46142255</v>
      </c>
      <c r="G137" s="2414">
        <v>0</v>
      </c>
      <c r="H137" s="2414">
        <v>0</v>
      </c>
      <c r="I137" s="2414">
        <v>0</v>
      </c>
      <c r="J137" s="2404" t="s">
        <v>1275</v>
      </c>
    </row>
    <row r="138" spans="1:10" ht="25.5">
      <c r="A138" s="2411">
        <v>287341</v>
      </c>
      <c r="B138" s="2467">
        <v>910.53</v>
      </c>
      <c r="C138" s="2416" t="s">
        <v>1564</v>
      </c>
      <c r="D138" s="2409"/>
      <c r="E138" s="2414">
        <v>20414768</v>
      </c>
      <c r="F138" s="2458">
        <f>E138</f>
        <v>20414768</v>
      </c>
      <c r="G138" s="2414">
        <v>0</v>
      </c>
      <c r="H138" s="2414">
        <v>0</v>
      </c>
      <c r="I138" s="2414">
        <v>0</v>
      </c>
      <c r="J138" s="2404" t="s">
        <v>1256</v>
      </c>
    </row>
    <row r="139" spans="1:10" s="437" customFormat="1" ht="12.75">
      <c r="A139" s="2411"/>
      <c r="B139" s="2467"/>
      <c r="C139" s="2416"/>
      <c r="D139" s="2409"/>
      <c r="E139" s="2414"/>
      <c r="F139" s="2414"/>
      <c r="G139" s="2414"/>
      <c r="H139" s="2414"/>
      <c r="I139" s="2414"/>
      <c r="J139" s="2404"/>
    </row>
    <row r="140" spans="1:10" ht="12.75">
      <c r="A140" s="2435" t="s">
        <v>1565</v>
      </c>
      <c r="B140" s="2412"/>
      <c r="C140" s="2416"/>
      <c r="D140" s="2409"/>
      <c r="E140" s="2414"/>
      <c r="F140" s="2414"/>
      <c r="G140" s="2414"/>
      <c r="H140" s="2414"/>
      <c r="I140" s="2414"/>
      <c r="J140" s="2404"/>
    </row>
    <row r="141" spans="1:10" ht="25.5">
      <c r="A141" s="2411">
        <v>287339</v>
      </c>
      <c r="B141" s="2467">
        <v>105.4</v>
      </c>
      <c r="C141" s="2416" t="s">
        <v>567</v>
      </c>
      <c r="D141" s="2409"/>
      <c r="E141" s="2414">
        <v>80689134</v>
      </c>
      <c r="F141" s="2458">
        <f>E141</f>
        <v>80689134</v>
      </c>
      <c r="G141" s="2414">
        <v>0</v>
      </c>
      <c r="H141" s="2414">
        <v>0</v>
      </c>
      <c r="I141" s="2414">
        <v>0</v>
      </c>
      <c r="J141" s="2404" t="s">
        <v>1254</v>
      </c>
    </row>
    <row r="142" spans="1:10" ht="12.75">
      <c r="A142" s="2411"/>
      <c r="B142" s="2412"/>
      <c r="C142" s="2416"/>
      <c r="D142" s="2409"/>
      <c r="E142" s="2414"/>
      <c r="F142" s="2414"/>
      <c r="G142" s="2414"/>
      <c r="H142" s="2414"/>
      <c r="I142" s="2414"/>
      <c r="J142" s="2404"/>
    </row>
    <row r="143" spans="1:10" ht="12.75">
      <c r="A143" s="2435" t="s">
        <v>564</v>
      </c>
      <c r="B143" s="2466"/>
      <c r="C143" s="2416"/>
      <c r="D143" s="2409"/>
      <c r="E143" s="2414"/>
      <c r="F143" s="2414"/>
      <c r="G143" s="2414"/>
      <c r="H143" s="2414"/>
      <c r="I143" s="2414"/>
      <c r="J143" s="2404"/>
    </row>
    <row r="144" spans="1:10" ht="25.5">
      <c r="A144" s="2411">
        <v>137235</v>
      </c>
      <c r="B144" s="2412">
        <v>505.125</v>
      </c>
      <c r="C144" s="2416" t="s">
        <v>571</v>
      </c>
      <c r="D144" s="2409"/>
      <c r="E144" s="2414">
        <v>0</v>
      </c>
      <c r="F144" s="2458">
        <f t="shared" ref="F144:F172" si="3">E144</f>
        <v>0</v>
      </c>
      <c r="G144" s="2414">
        <v>0</v>
      </c>
      <c r="H144" s="2414">
        <v>0</v>
      </c>
      <c r="I144" s="2414">
        <v>0</v>
      </c>
      <c r="J144" s="2404" t="s">
        <v>1270</v>
      </c>
    </row>
    <row r="145" spans="1:10" ht="25.5">
      <c r="A145" s="2411">
        <v>137400</v>
      </c>
      <c r="B145" s="2412" t="s">
        <v>565</v>
      </c>
      <c r="C145" s="2416" t="s">
        <v>1566</v>
      </c>
      <c r="D145" s="2409"/>
      <c r="E145" s="2414">
        <v>0</v>
      </c>
      <c r="F145" s="2458">
        <f t="shared" si="3"/>
        <v>0</v>
      </c>
      <c r="G145" s="2414">
        <v>0</v>
      </c>
      <c r="H145" s="2414">
        <v>0</v>
      </c>
      <c r="I145" s="2414">
        <v>0</v>
      </c>
      <c r="J145" s="2404" t="s">
        <v>1246</v>
      </c>
    </row>
    <row r="146" spans="1:10" ht="25.5">
      <c r="A146" s="2411">
        <v>137404</v>
      </c>
      <c r="B146" s="2412">
        <v>105.154</v>
      </c>
      <c r="C146" s="2416" t="s">
        <v>1567</v>
      </c>
      <c r="D146" s="2409"/>
      <c r="E146" s="2414">
        <v>0</v>
      </c>
      <c r="F146" s="2458">
        <f t="shared" si="3"/>
        <v>0</v>
      </c>
      <c r="G146" s="2414">
        <v>0</v>
      </c>
      <c r="H146" s="2414">
        <v>0</v>
      </c>
      <c r="I146" s="2414">
        <v>0</v>
      </c>
      <c r="J146" s="2404" t="s">
        <v>2077</v>
      </c>
    </row>
    <row r="147" spans="1:10" ht="25.5">
      <c r="A147" s="2411">
        <v>137405</v>
      </c>
      <c r="B147" s="2412">
        <v>205.02500000000001</v>
      </c>
      <c r="C147" s="2416" t="s">
        <v>1568</v>
      </c>
      <c r="D147" s="2409"/>
      <c r="E147" s="2414">
        <v>0</v>
      </c>
      <c r="F147" s="2458">
        <f t="shared" si="3"/>
        <v>0</v>
      </c>
      <c r="G147" s="2414">
        <v>0</v>
      </c>
      <c r="H147" s="2414">
        <v>0</v>
      </c>
      <c r="I147" s="2414">
        <v>0</v>
      </c>
      <c r="J147" s="2404" t="s">
        <v>1274</v>
      </c>
    </row>
    <row r="148" spans="1:10" ht="25.5">
      <c r="A148" s="2411">
        <v>137406</v>
      </c>
      <c r="B148" s="2412">
        <v>205.2</v>
      </c>
      <c r="C148" s="2416" t="s">
        <v>1569</v>
      </c>
      <c r="D148" s="2409"/>
      <c r="E148" s="2414">
        <v>0</v>
      </c>
      <c r="F148" s="2458">
        <f t="shared" si="3"/>
        <v>0</v>
      </c>
      <c r="G148" s="2414">
        <v>0</v>
      </c>
      <c r="H148" s="2414">
        <v>0</v>
      </c>
      <c r="I148" s="2414">
        <v>0</v>
      </c>
      <c r="J148" s="2404" t="s">
        <v>1268</v>
      </c>
    </row>
    <row r="149" spans="1:10" ht="25.5">
      <c r="A149" s="2411">
        <v>137408</v>
      </c>
      <c r="B149" s="2412">
        <v>220.1</v>
      </c>
      <c r="C149" s="2416" t="s">
        <v>1570</v>
      </c>
      <c r="D149" s="2409"/>
      <c r="E149" s="2414">
        <v>0</v>
      </c>
      <c r="F149" s="2458">
        <f t="shared" si="3"/>
        <v>0</v>
      </c>
      <c r="G149" s="2414">
        <v>0</v>
      </c>
      <c r="H149" s="2414">
        <v>0</v>
      </c>
      <c r="I149" s="2414">
        <v>0</v>
      </c>
      <c r="J149" s="2404" t="s">
        <v>1255</v>
      </c>
    </row>
    <row r="150" spans="1:10" ht="25.5">
      <c r="A150" s="2411">
        <v>137409</v>
      </c>
      <c r="B150" s="2412">
        <v>425.32</v>
      </c>
      <c r="C150" s="2416" t="s">
        <v>1571</v>
      </c>
      <c r="D150" s="2409"/>
      <c r="E150" s="2414">
        <v>0</v>
      </c>
      <c r="F150" s="2458">
        <f t="shared" si="3"/>
        <v>0</v>
      </c>
      <c r="G150" s="2414">
        <v>0</v>
      </c>
      <c r="H150" s="2414">
        <v>0</v>
      </c>
      <c r="I150" s="2414">
        <v>0</v>
      </c>
      <c r="J150" s="2404" t="s">
        <v>1265</v>
      </c>
    </row>
    <row r="151" spans="1:10" ht="25.5" customHeight="1">
      <c r="A151" s="2411">
        <v>137410</v>
      </c>
      <c r="B151" s="2412">
        <v>505.1</v>
      </c>
      <c r="C151" s="2416" t="s">
        <v>1572</v>
      </c>
      <c r="D151" s="2409"/>
      <c r="E151" s="2414">
        <v>0</v>
      </c>
      <c r="F151" s="2458">
        <f t="shared" si="3"/>
        <v>0</v>
      </c>
      <c r="G151" s="2414">
        <v>0</v>
      </c>
      <c r="H151" s="2414">
        <v>0</v>
      </c>
      <c r="I151" s="2414">
        <v>0</v>
      </c>
      <c r="J151" s="2404" t="s">
        <v>1260</v>
      </c>
    </row>
    <row r="152" spans="1:10" ht="12.75">
      <c r="A152" s="2411">
        <v>137412</v>
      </c>
      <c r="B152" s="2412">
        <v>505.15</v>
      </c>
      <c r="C152" s="2416" t="s">
        <v>1573</v>
      </c>
      <c r="D152" s="2409"/>
      <c r="E152" s="2414">
        <v>0</v>
      </c>
      <c r="F152" s="2458">
        <f t="shared" si="3"/>
        <v>0</v>
      </c>
      <c r="G152" s="2414">
        <v>0</v>
      </c>
      <c r="H152" s="2414">
        <v>0</v>
      </c>
      <c r="I152" s="2414">
        <v>0</v>
      </c>
      <c r="J152" s="2404" t="s">
        <v>2076</v>
      </c>
    </row>
    <row r="153" spans="1:10" ht="25.5">
      <c r="A153" s="2411">
        <v>137413</v>
      </c>
      <c r="B153" s="2412">
        <v>505.16</v>
      </c>
      <c r="C153" s="2416" t="s">
        <v>1574</v>
      </c>
      <c r="D153" s="2409"/>
      <c r="E153" s="2414">
        <v>0</v>
      </c>
      <c r="F153" s="2458">
        <f t="shared" si="3"/>
        <v>0</v>
      </c>
      <c r="G153" s="2414">
        <v>0</v>
      </c>
      <c r="H153" s="2414">
        <v>0</v>
      </c>
      <c r="I153" s="2414">
        <v>0</v>
      </c>
      <c r="J153" s="2404" t="s">
        <v>1271</v>
      </c>
    </row>
    <row r="154" spans="1:10" ht="12.75">
      <c r="A154" s="2411">
        <v>137807</v>
      </c>
      <c r="B154" s="2412" t="s">
        <v>565</v>
      </c>
      <c r="C154" s="2416" t="s">
        <v>1575</v>
      </c>
      <c r="D154" s="2409"/>
      <c r="E154" s="2414">
        <v>0</v>
      </c>
      <c r="F154" s="2458">
        <f t="shared" si="3"/>
        <v>0</v>
      </c>
      <c r="G154" s="2414">
        <v>0</v>
      </c>
      <c r="H154" s="2414">
        <v>0</v>
      </c>
      <c r="I154" s="2414">
        <v>0</v>
      </c>
      <c r="J154" s="2404" t="s">
        <v>1240</v>
      </c>
    </row>
    <row r="155" spans="1:10" ht="12.75">
      <c r="A155" s="2411">
        <v>137817</v>
      </c>
      <c r="B155" s="2412" t="s">
        <v>565</v>
      </c>
      <c r="C155" s="2416" t="s">
        <v>1576</v>
      </c>
      <c r="D155" s="2409"/>
      <c r="E155" s="2414">
        <v>0</v>
      </c>
      <c r="F155" s="2458">
        <f t="shared" si="3"/>
        <v>0</v>
      </c>
      <c r="G155" s="2414">
        <v>0</v>
      </c>
      <c r="H155" s="2414">
        <v>0</v>
      </c>
      <c r="I155" s="2414">
        <v>0</v>
      </c>
      <c r="J155" s="2405" t="s">
        <v>1577</v>
      </c>
    </row>
    <row r="156" spans="1:10" ht="12.75">
      <c r="A156" s="2411">
        <v>137827</v>
      </c>
      <c r="B156" s="2412" t="s">
        <v>565</v>
      </c>
      <c r="C156" s="2416" t="s">
        <v>1578</v>
      </c>
      <c r="D156" s="2409"/>
      <c r="E156" s="2414">
        <v>0</v>
      </c>
      <c r="F156" s="2458">
        <f t="shared" si="3"/>
        <v>0</v>
      </c>
      <c r="G156" s="2414">
        <v>0</v>
      </c>
      <c r="H156" s="2414">
        <v>0</v>
      </c>
      <c r="I156" s="2414">
        <v>0</v>
      </c>
      <c r="J156" s="2404" t="s">
        <v>1241</v>
      </c>
    </row>
    <row r="157" spans="1:10" ht="12.75">
      <c r="A157" s="2411">
        <v>287210</v>
      </c>
      <c r="B157" s="2412">
        <v>505.11500000000001</v>
      </c>
      <c r="C157" s="2457" t="s">
        <v>2075</v>
      </c>
      <c r="D157" s="2409"/>
      <c r="E157" s="2414">
        <v>95248</v>
      </c>
      <c r="F157" s="2458">
        <f t="shared" si="3"/>
        <v>95248</v>
      </c>
      <c r="G157" s="2414">
        <v>0</v>
      </c>
      <c r="H157" s="2414">
        <v>0</v>
      </c>
      <c r="I157" s="2414">
        <v>0</v>
      </c>
      <c r="J157" s="2405" t="s">
        <v>2074</v>
      </c>
    </row>
    <row r="158" spans="1:10" ht="12.75">
      <c r="A158" s="2411">
        <v>287211</v>
      </c>
      <c r="B158" s="2412">
        <v>425.226</v>
      </c>
      <c r="C158" s="2457" t="s">
        <v>2073</v>
      </c>
      <c r="D158" s="2409"/>
      <c r="E158" s="2414">
        <v>36370</v>
      </c>
      <c r="F158" s="2458">
        <f t="shared" si="3"/>
        <v>36370</v>
      </c>
      <c r="G158" s="2414">
        <v>0</v>
      </c>
      <c r="H158" s="2414">
        <v>0</v>
      </c>
      <c r="I158" s="2414">
        <v>0</v>
      </c>
      <c r="J158" s="2405" t="s">
        <v>2072</v>
      </c>
    </row>
    <row r="159" spans="1:10" ht="12.75">
      <c r="A159" s="2411">
        <v>287214</v>
      </c>
      <c r="B159" s="2412">
        <v>910.245</v>
      </c>
      <c r="C159" s="2457" t="s">
        <v>2071</v>
      </c>
      <c r="D159" s="2409"/>
      <c r="E159" s="2414">
        <v>1916350</v>
      </c>
      <c r="F159" s="2458">
        <f t="shared" si="3"/>
        <v>1916350</v>
      </c>
      <c r="G159" s="2414">
        <v>0</v>
      </c>
      <c r="H159" s="2414">
        <v>0</v>
      </c>
      <c r="I159" s="2414">
        <v>0</v>
      </c>
      <c r="J159" s="2405" t="s">
        <v>2070</v>
      </c>
    </row>
    <row r="160" spans="1:10" ht="12.75" customHeight="1">
      <c r="A160" s="2411">
        <v>287216</v>
      </c>
      <c r="B160" s="2412">
        <v>605.71500000000003</v>
      </c>
      <c r="C160" s="2457" t="s">
        <v>2069</v>
      </c>
      <c r="D160" s="2409"/>
      <c r="E160" s="2414">
        <v>2172294</v>
      </c>
      <c r="F160" s="2458">
        <f t="shared" si="3"/>
        <v>2172294</v>
      </c>
      <c r="G160" s="2414">
        <v>0</v>
      </c>
      <c r="H160" s="2414">
        <v>0</v>
      </c>
      <c r="I160" s="2414">
        <v>0</v>
      </c>
      <c r="J160" s="2405" t="s">
        <v>2068</v>
      </c>
    </row>
    <row r="161" spans="1:10" ht="12.75">
      <c r="A161" s="2411">
        <v>287217</v>
      </c>
      <c r="B161" s="2412">
        <v>910.93700000000001</v>
      </c>
      <c r="C161" s="2457" t="s">
        <v>2067</v>
      </c>
      <c r="D161" s="2409"/>
      <c r="E161" s="2414">
        <v>29926</v>
      </c>
      <c r="F161" s="2458">
        <v>0</v>
      </c>
      <c r="G161" s="2414">
        <v>0</v>
      </c>
      <c r="H161" s="2414">
        <v>0</v>
      </c>
      <c r="I161" s="2414">
        <f>+E161</f>
        <v>29926</v>
      </c>
      <c r="J161" s="2405" t="s">
        <v>2066</v>
      </c>
    </row>
    <row r="162" spans="1:10" ht="28.5" customHeight="1">
      <c r="A162" s="2411">
        <v>287218</v>
      </c>
      <c r="B162" s="2412">
        <v>715.80499999999995</v>
      </c>
      <c r="C162" s="2457" t="s">
        <v>2065</v>
      </c>
      <c r="D162" s="2409"/>
      <c r="E162" s="2414">
        <v>1558982</v>
      </c>
      <c r="F162" s="2458">
        <f t="shared" si="3"/>
        <v>1558982</v>
      </c>
      <c r="G162" s="2414">
        <v>0</v>
      </c>
      <c r="H162" s="2414">
        <v>0</v>
      </c>
      <c r="I162" s="2414">
        <v>0</v>
      </c>
      <c r="J162" s="2405" t="s">
        <v>2052</v>
      </c>
    </row>
    <row r="163" spans="1:10" ht="27" customHeight="1">
      <c r="A163" s="2411">
        <v>287219</v>
      </c>
      <c r="B163" s="2412">
        <v>715.81</v>
      </c>
      <c r="C163" s="2457" t="s">
        <v>2064</v>
      </c>
      <c r="D163" s="2409"/>
      <c r="E163" s="2414">
        <v>505903</v>
      </c>
      <c r="F163" s="2458">
        <f t="shared" si="3"/>
        <v>505903</v>
      </c>
      <c r="G163" s="2414">
        <v>0</v>
      </c>
      <c r="H163" s="2414">
        <v>0</v>
      </c>
      <c r="I163" s="2414">
        <v>0</v>
      </c>
      <c r="J163" s="2405" t="s">
        <v>2054</v>
      </c>
    </row>
    <row r="164" spans="1:10" ht="25.5">
      <c r="A164" s="2411">
        <v>287240</v>
      </c>
      <c r="B164" s="2412">
        <v>605.30100000000004</v>
      </c>
      <c r="C164" s="2416" t="s">
        <v>1579</v>
      </c>
      <c r="D164" s="2409"/>
      <c r="E164" s="2414">
        <v>8705238</v>
      </c>
      <c r="F164" s="2458">
        <f t="shared" si="3"/>
        <v>8705238</v>
      </c>
      <c r="G164" s="2414">
        <v>0</v>
      </c>
      <c r="H164" s="2414">
        <v>0</v>
      </c>
      <c r="I164" s="2414">
        <v>0</v>
      </c>
      <c r="J164" s="2405" t="s">
        <v>1242</v>
      </c>
    </row>
    <row r="165" spans="1:10" ht="25.5">
      <c r="A165" s="2411">
        <v>287241</v>
      </c>
      <c r="B165" s="2412">
        <v>605.30200000000002</v>
      </c>
      <c r="C165" s="2416" t="s">
        <v>1580</v>
      </c>
      <c r="D165" s="2409"/>
      <c r="E165" s="2414">
        <v>1124314</v>
      </c>
      <c r="F165" s="2458">
        <f t="shared" si="3"/>
        <v>1124314</v>
      </c>
      <c r="G165" s="2414">
        <v>0</v>
      </c>
      <c r="H165" s="2414">
        <v>0</v>
      </c>
      <c r="I165" s="2414">
        <v>0</v>
      </c>
      <c r="J165" s="2404" t="s">
        <v>1243</v>
      </c>
    </row>
    <row r="166" spans="1:10" ht="25.5">
      <c r="A166" s="2411">
        <v>287270</v>
      </c>
      <c r="B166" s="2412" t="s">
        <v>565</v>
      </c>
      <c r="C166" s="2457" t="s">
        <v>2063</v>
      </c>
      <c r="D166" s="2409"/>
      <c r="E166" s="2414">
        <v>-9734227</v>
      </c>
      <c r="F166" s="2458">
        <f t="shared" si="3"/>
        <v>-9734227</v>
      </c>
      <c r="G166" s="2414">
        <v>0</v>
      </c>
      <c r="H166" s="2414">
        <v>0</v>
      </c>
      <c r="I166" s="2414">
        <v>0</v>
      </c>
      <c r="J166" s="2405" t="s">
        <v>2062</v>
      </c>
    </row>
    <row r="167" spans="1:10" ht="51">
      <c r="A167" s="2411">
        <v>287289</v>
      </c>
      <c r="B167" s="2412">
        <v>425.13</v>
      </c>
      <c r="C167" s="2416" t="s">
        <v>1581</v>
      </c>
      <c r="D167" s="2409"/>
      <c r="E167" s="2414">
        <v>7549</v>
      </c>
      <c r="F167" s="2458">
        <f t="shared" si="3"/>
        <v>7549</v>
      </c>
      <c r="G167" s="2414">
        <v>0</v>
      </c>
      <c r="H167" s="2414">
        <v>0</v>
      </c>
      <c r="I167" s="2414">
        <v>0</v>
      </c>
      <c r="J167" s="2404" t="s">
        <v>1247</v>
      </c>
    </row>
    <row r="168" spans="1:10" ht="25.5">
      <c r="A168" s="2411">
        <v>287290</v>
      </c>
      <c r="B168" s="2412">
        <v>425.15</v>
      </c>
      <c r="C168" s="2416" t="s">
        <v>1582</v>
      </c>
      <c r="D168" s="2409"/>
      <c r="E168" s="2414">
        <v>371174</v>
      </c>
      <c r="F168" s="2458">
        <f t="shared" si="3"/>
        <v>371174</v>
      </c>
      <c r="G168" s="2414">
        <v>0</v>
      </c>
      <c r="H168" s="2414">
        <v>0</v>
      </c>
      <c r="I168" s="2414">
        <v>0</v>
      </c>
      <c r="J168" s="2404" t="s">
        <v>1248</v>
      </c>
    </row>
    <row r="169" spans="1:10" ht="63.75">
      <c r="A169" s="2411">
        <v>287297</v>
      </c>
      <c r="B169" s="2412">
        <v>505.15499999999997</v>
      </c>
      <c r="C169" s="2416" t="s">
        <v>566</v>
      </c>
      <c r="D169" s="2409"/>
      <c r="E169" s="2414">
        <v>43443</v>
      </c>
      <c r="F169" s="2458">
        <f t="shared" si="3"/>
        <v>43443</v>
      </c>
      <c r="G169" s="2414">
        <v>0</v>
      </c>
      <c r="H169" s="2414">
        <v>0</v>
      </c>
      <c r="I169" s="2414">
        <v>0</v>
      </c>
      <c r="J169" s="2404" t="s">
        <v>1249</v>
      </c>
    </row>
    <row r="170" spans="1:10" ht="25.5">
      <c r="A170" s="2411">
        <v>287298</v>
      </c>
      <c r="B170" s="2412">
        <v>205.21</v>
      </c>
      <c r="C170" s="2416" t="s">
        <v>1583</v>
      </c>
      <c r="D170" s="2409"/>
      <c r="E170" s="2414">
        <v>774200</v>
      </c>
      <c r="F170" s="2458">
        <f t="shared" si="3"/>
        <v>774200</v>
      </c>
      <c r="G170" s="2414">
        <v>0</v>
      </c>
      <c r="H170" s="2414">
        <v>0</v>
      </c>
      <c r="I170" s="2414">
        <v>0</v>
      </c>
      <c r="J170" s="2405" t="s">
        <v>1910</v>
      </c>
    </row>
    <row r="171" spans="1:10" ht="12.75" customHeight="1">
      <c r="A171" s="2411">
        <v>287321</v>
      </c>
      <c r="B171" s="2412">
        <v>100.1</v>
      </c>
      <c r="C171" s="2416" t="s">
        <v>1250</v>
      </c>
      <c r="D171" s="2409"/>
      <c r="E171" s="2414">
        <v>7021449</v>
      </c>
      <c r="F171" s="2458">
        <f t="shared" si="3"/>
        <v>7021449</v>
      </c>
      <c r="G171" s="2414">
        <v>0</v>
      </c>
      <c r="H171" s="2414">
        <v>0</v>
      </c>
      <c r="I171" s="2414">
        <v>0</v>
      </c>
      <c r="J171" s="2404" t="s">
        <v>1251</v>
      </c>
    </row>
    <row r="172" spans="1:10" ht="27" customHeight="1">
      <c r="A172" s="2411">
        <v>287337</v>
      </c>
      <c r="B172" s="2412">
        <v>715.10500000000002</v>
      </c>
      <c r="C172" s="2416" t="s">
        <v>1584</v>
      </c>
      <c r="D172" s="2409"/>
      <c r="E172" s="2414">
        <v>211623</v>
      </c>
      <c r="F172" s="2458">
        <f t="shared" si="3"/>
        <v>211623</v>
      </c>
      <c r="G172" s="2414">
        <v>0</v>
      </c>
      <c r="H172" s="2414">
        <v>0</v>
      </c>
      <c r="I172" s="2414">
        <v>0</v>
      </c>
      <c r="J172" s="2404" t="s">
        <v>1252</v>
      </c>
    </row>
    <row r="173" spans="1:10" ht="51">
      <c r="A173" s="2411">
        <v>287338</v>
      </c>
      <c r="B173" s="2412">
        <v>415.11</v>
      </c>
      <c r="C173" s="2416" t="s">
        <v>1585</v>
      </c>
      <c r="D173" s="2409"/>
      <c r="E173" s="2414">
        <v>88912</v>
      </c>
      <c r="F173" s="2458">
        <v>0</v>
      </c>
      <c r="G173" s="2414">
        <f>E173</f>
        <v>88912</v>
      </c>
      <c r="H173" s="2414">
        <v>0</v>
      </c>
      <c r="I173" s="2414">
        <v>0</v>
      </c>
      <c r="J173" s="2404" t="s">
        <v>1253</v>
      </c>
    </row>
    <row r="174" spans="1:10" ht="25.5">
      <c r="A174" s="2411">
        <v>287340</v>
      </c>
      <c r="B174" s="2412">
        <v>220.1</v>
      </c>
      <c r="C174" s="2457" t="s">
        <v>2061</v>
      </c>
      <c r="D174" s="2409"/>
      <c r="E174" s="2414">
        <v>2963607</v>
      </c>
      <c r="F174" s="2458">
        <f t="shared" ref="F174" si="4">E174</f>
        <v>2963607</v>
      </c>
      <c r="G174" s="2414">
        <v>0</v>
      </c>
      <c r="H174" s="2414">
        <v>0</v>
      </c>
      <c r="I174" s="2414">
        <v>0</v>
      </c>
      <c r="J174" s="2405" t="s">
        <v>2060</v>
      </c>
    </row>
    <row r="175" spans="1:10" ht="25.5">
      <c r="A175" s="2411">
        <v>287343</v>
      </c>
      <c r="B175" s="2412">
        <v>415.12</v>
      </c>
      <c r="C175" s="2416" t="s">
        <v>1586</v>
      </c>
      <c r="D175" s="2409"/>
      <c r="E175" s="2414">
        <v>0</v>
      </c>
      <c r="F175" s="2458">
        <v>0</v>
      </c>
      <c r="G175" s="2414">
        <f>E175</f>
        <v>0</v>
      </c>
      <c r="H175" s="2414">
        <v>0</v>
      </c>
      <c r="I175" s="2414">
        <v>0</v>
      </c>
      <c r="J175" s="2404" t="s">
        <v>1257</v>
      </c>
    </row>
    <row r="176" spans="1:10" ht="38.25">
      <c r="A176" s="2411">
        <v>287344</v>
      </c>
      <c r="B176" s="2412">
        <v>715.8</v>
      </c>
      <c r="C176" s="2416" t="s">
        <v>568</v>
      </c>
      <c r="D176" s="2409"/>
      <c r="E176" s="2414">
        <v>0</v>
      </c>
      <c r="F176" s="2458">
        <v>0</v>
      </c>
      <c r="G176" s="2414">
        <f>E176</f>
        <v>0</v>
      </c>
      <c r="H176" s="2414">
        <v>0</v>
      </c>
      <c r="I176" s="2414">
        <v>0</v>
      </c>
      <c r="J176" s="2404" t="s">
        <v>1258</v>
      </c>
    </row>
    <row r="177" spans="1:10" ht="25.5">
      <c r="A177" s="2411">
        <v>287345</v>
      </c>
      <c r="B177" s="2412">
        <v>145.03</v>
      </c>
      <c r="C177" s="2416" t="s">
        <v>1587</v>
      </c>
      <c r="D177" s="2409"/>
      <c r="E177" s="2414">
        <v>0</v>
      </c>
      <c r="F177" s="2458">
        <f t="shared" ref="F177:F190" si="5">E177</f>
        <v>0</v>
      </c>
      <c r="G177" s="2414">
        <v>0</v>
      </c>
      <c r="H177" s="2414">
        <v>0</v>
      </c>
      <c r="I177" s="2414">
        <v>0</v>
      </c>
      <c r="J177" s="2404" t="s">
        <v>1259</v>
      </c>
    </row>
    <row r="178" spans="1:10" ht="25.5" customHeight="1">
      <c r="A178" s="2411">
        <v>287349</v>
      </c>
      <c r="B178" s="2412">
        <v>505.1</v>
      </c>
      <c r="C178" s="2457" t="s">
        <v>1572</v>
      </c>
      <c r="D178" s="2409"/>
      <c r="E178" s="2414">
        <v>245130</v>
      </c>
      <c r="F178" s="2458">
        <f t="shared" si="5"/>
        <v>245130</v>
      </c>
      <c r="G178" s="2414">
        <v>0</v>
      </c>
      <c r="H178" s="2414">
        <v>0</v>
      </c>
      <c r="I178" s="2414">
        <v>0</v>
      </c>
      <c r="J178" s="2405" t="s">
        <v>1260</v>
      </c>
    </row>
    <row r="179" spans="1:10" ht="12.75">
      <c r="A179" s="2411">
        <v>287354</v>
      </c>
      <c r="B179" s="2412">
        <v>505.15</v>
      </c>
      <c r="C179" s="2457" t="s">
        <v>1573</v>
      </c>
      <c r="D179" s="2409"/>
      <c r="E179" s="2414">
        <v>2196563</v>
      </c>
      <c r="F179" s="2458">
        <f t="shared" si="5"/>
        <v>2196563</v>
      </c>
      <c r="G179" s="2414">
        <v>0</v>
      </c>
      <c r="H179" s="2414">
        <v>0</v>
      </c>
      <c r="I179" s="2414">
        <v>0</v>
      </c>
      <c r="J179" s="2405" t="s">
        <v>1261</v>
      </c>
    </row>
    <row r="180" spans="1:10" ht="25.5">
      <c r="A180" s="2411">
        <v>287357</v>
      </c>
      <c r="B180" s="2412">
        <v>425.2</v>
      </c>
      <c r="C180" s="2416" t="s">
        <v>1588</v>
      </c>
      <c r="D180" s="2409"/>
      <c r="E180" s="2414">
        <v>0</v>
      </c>
      <c r="F180" s="2458">
        <f t="shared" si="5"/>
        <v>0</v>
      </c>
      <c r="G180" s="2414">
        <v>0</v>
      </c>
      <c r="H180" s="2414">
        <v>0</v>
      </c>
      <c r="I180" s="2414">
        <v>0</v>
      </c>
      <c r="J180" s="2404" t="s">
        <v>1262</v>
      </c>
    </row>
    <row r="181" spans="1:10" ht="12.75">
      <c r="A181" s="2411">
        <v>287370</v>
      </c>
      <c r="B181" s="2412">
        <v>425.21499999999997</v>
      </c>
      <c r="C181" s="2416" t="s">
        <v>1589</v>
      </c>
      <c r="D181" s="2409"/>
      <c r="E181" s="2414">
        <v>1087114</v>
      </c>
      <c r="F181" s="2458">
        <f t="shared" si="5"/>
        <v>1087114</v>
      </c>
      <c r="G181" s="2414">
        <v>0</v>
      </c>
      <c r="H181" s="2414">
        <v>0</v>
      </c>
      <c r="I181" s="2414">
        <v>0</v>
      </c>
      <c r="J181" s="2404" t="s">
        <v>1263</v>
      </c>
    </row>
    <row r="182" spans="1:10" ht="26.25" customHeight="1">
      <c r="A182" s="2411">
        <v>287391</v>
      </c>
      <c r="B182" s="2412">
        <v>425.32</v>
      </c>
      <c r="C182" s="2457" t="s">
        <v>1571</v>
      </c>
      <c r="D182" s="2409"/>
      <c r="E182" s="2414">
        <v>9535235</v>
      </c>
      <c r="F182" s="2458">
        <f t="shared" si="5"/>
        <v>9535235</v>
      </c>
      <c r="G182" s="2414"/>
      <c r="H182" s="2414"/>
      <c r="I182" s="2414"/>
      <c r="J182" s="2405" t="s">
        <v>2059</v>
      </c>
    </row>
    <row r="183" spans="1:10" ht="25.5">
      <c r="A183" s="2411">
        <v>287392</v>
      </c>
      <c r="B183" s="2412">
        <v>425.12</v>
      </c>
      <c r="C183" s="2416" t="s">
        <v>569</v>
      </c>
      <c r="D183" s="2409"/>
      <c r="E183" s="2414">
        <v>6355113</v>
      </c>
      <c r="F183" s="2458">
        <f t="shared" si="5"/>
        <v>6355113</v>
      </c>
      <c r="G183" s="2414">
        <v>0</v>
      </c>
      <c r="H183" s="2414">
        <v>0</v>
      </c>
      <c r="I183" s="2414">
        <v>0</v>
      </c>
      <c r="J183" s="2404" t="s">
        <v>1266</v>
      </c>
    </row>
    <row r="184" spans="1:10" ht="25.5" customHeight="1">
      <c r="A184" s="2411">
        <v>287393</v>
      </c>
      <c r="B184" s="2412">
        <v>425.11</v>
      </c>
      <c r="C184" s="2416" t="s">
        <v>1845</v>
      </c>
      <c r="D184" s="2409"/>
      <c r="E184" s="2414">
        <v>344187</v>
      </c>
      <c r="F184" s="2458">
        <f t="shared" si="5"/>
        <v>344187</v>
      </c>
      <c r="G184" s="2414">
        <v>0</v>
      </c>
      <c r="H184" s="2414">
        <v>0</v>
      </c>
      <c r="I184" s="2414">
        <v>0</v>
      </c>
      <c r="J184" s="2404" t="s">
        <v>1846</v>
      </c>
    </row>
    <row r="185" spans="1:10" ht="25.5">
      <c r="A185" s="2411">
        <v>287415</v>
      </c>
      <c r="B185" s="2412">
        <v>205.2</v>
      </c>
      <c r="C185" s="2457" t="s">
        <v>1569</v>
      </c>
      <c r="D185" s="2409"/>
      <c r="E185" s="2414">
        <v>1115470</v>
      </c>
      <c r="F185" s="2458">
        <f t="shared" si="5"/>
        <v>1115470</v>
      </c>
      <c r="G185" s="2414">
        <v>0</v>
      </c>
      <c r="H185" s="2414">
        <v>0</v>
      </c>
      <c r="I185" s="2414">
        <v>0</v>
      </c>
      <c r="J185" s="2405" t="s">
        <v>1268</v>
      </c>
    </row>
    <row r="186" spans="1:10" ht="25.5">
      <c r="A186" s="2411">
        <v>287417</v>
      </c>
      <c r="B186" s="2412">
        <v>605.71</v>
      </c>
      <c r="C186" s="2416" t="s">
        <v>570</v>
      </c>
      <c r="D186" s="2409"/>
      <c r="E186" s="2414">
        <v>3717365</v>
      </c>
      <c r="F186" s="2458">
        <f t="shared" si="5"/>
        <v>3717365</v>
      </c>
      <c r="G186" s="2414">
        <v>0</v>
      </c>
      <c r="H186" s="2414">
        <v>0</v>
      </c>
      <c r="I186" s="2414">
        <v>0</v>
      </c>
      <c r="J186" s="2404" t="s">
        <v>1269</v>
      </c>
    </row>
    <row r="187" spans="1:10" ht="25.5">
      <c r="A187" s="2411">
        <v>287430</v>
      </c>
      <c r="B187" s="2412">
        <v>505.125</v>
      </c>
      <c r="C187" s="2457" t="s">
        <v>571</v>
      </c>
      <c r="D187" s="2409"/>
      <c r="E187" s="2414">
        <v>639167</v>
      </c>
      <c r="F187" s="2458">
        <f t="shared" si="5"/>
        <v>639167</v>
      </c>
      <c r="G187" s="2414">
        <v>0</v>
      </c>
      <c r="H187" s="2414">
        <v>0</v>
      </c>
      <c r="I187" s="2414">
        <v>0</v>
      </c>
      <c r="J187" s="2405" t="s">
        <v>2058</v>
      </c>
    </row>
    <row r="188" spans="1:10" ht="25.5" customHeight="1">
      <c r="A188" s="2411">
        <v>287479</v>
      </c>
      <c r="B188" s="2412">
        <v>105.221</v>
      </c>
      <c r="C188" s="2416" t="s">
        <v>1590</v>
      </c>
      <c r="D188" s="2409"/>
      <c r="E188" s="2414">
        <v>37185543</v>
      </c>
      <c r="F188" s="2458">
        <f t="shared" si="5"/>
        <v>37185543</v>
      </c>
      <c r="G188" s="2414">
        <v>0</v>
      </c>
      <c r="H188" s="2414">
        <v>0</v>
      </c>
      <c r="I188" s="2414">
        <v>0</v>
      </c>
      <c r="J188" s="2404" t="s">
        <v>1273</v>
      </c>
    </row>
    <row r="189" spans="1:10" ht="25.5" customHeight="1">
      <c r="A189" s="2411">
        <v>287482</v>
      </c>
      <c r="B189" s="2412">
        <v>205.02500000000001</v>
      </c>
      <c r="C189" s="2457" t="s">
        <v>1568</v>
      </c>
      <c r="D189" s="2409"/>
      <c r="E189" s="2414">
        <v>1144547</v>
      </c>
      <c r="F189" s="2458">
        <f t="shared" si="5"/>
        <v>1144547</v>
      </c>
      <c r="G189" s="2414">
        <v>0</v>
      </c>
      <c r="H189" s="2414">
        <v>0</v>
      </c>
      <c r="I189" s="2414">
        <v>0</v>
      </c>
      <c r="J189" s="2405" t="s">
        <v>1274</v>
      </c>
    </row>
    <row r="190" spans="1:10" ht="38.25">
      <c r="A190" s="2411">
        <v>287489</v>
      </c>
      <c r="B190" s="2412">
        <v>910.51499999999999</v>
      </c>
      <c r="C190" s="2416" t="s">
        <v>1591</v>
      </c>
      <c r="D190" s="2409"/>
      <c r="E190" s="2414">
        <v>166367</v>
      </c>
      <c r="F190" s="2458">
        <f t="shared" si="5"/>
        <v>166367</v>
      </c>
      <c r="G190" s="2414">
        <v>0</v>
      </c>
      <c r="H190" s="2414">
        <v>0</v>
      </c>
      <c r="I190" s="2414">
        <v>0</v>
      </c>
      <c r="J190" s="2407" t="s">
        <v>1734</v>
      </c>
    </row>
    <row r="191" spans="1:10" ht="12.75">
      <c r="A191" s="2411">
        <v>287807</v>
      </c>
      <c r="B191" s="2412" t="s">
        <v>565</v>
      </c>
      <c r="C191" s="2416" t="s">
        <v>1592</v>
      </c>
      <c r="D191" s="2409"/>
      <c r="E191" s="2414">
        <v>418227</v>
      </c>
      <c r="F191" s="2458">
        <f>+E191</f>
        <v>418227</v>
      </c>
      <c r="G191" s="2414">
        <v>0</v>
      </c>
      <c r="H191" s="2414">
        <v>0</v>
      </c>
      <c r="I191" s="2414">
        <v>0</v>
      </c>
      <c r="J191" s="2404" t="s">
        <v>1276</v>
      </c>
    </row>
    <row r="192" spans="1:10" ht="12.75">
      <c r="A192" s="2411">
        <v>287817</v>
      </c>
      <c r="B192" s="2412" t="s">
        <v>565</v>
      </c>
      <c r="C192" s="2416" t="s">
        <v>1593</v>
      </c>
      <c r="D192" s="2409"/>
      <c r="E192" s="2414">
        <v>624675</v>
      </c>
      <c r="F192" s="2458">
        <f>+E192</f>
        <v>624675</v>
      </c>
      <c r="G192" s="2414">
        <v>0</v>
      </c>
      <c r="H192" s="2414">
        <v>0</v>
      </c>
      <c r="I192" s="2414">
        <v>0</v>
      </c>
      <c r="J192" s="2404" t="s">
        <v>1277</v>
      </c>
    </row>
    <row r="193" spans="1:11" ht="12.75">
      <c r="A193" s="2411">
        <v>287827</v>
      </c>
      <c r="B193" s="2412" t="s">
        <v>565</v>
      </c>
      <c r="C193" s="2416" t="s">
        <v>1594</v>
      </c>
      <c r="D193" s="2409"/>
      <c r="E193" s="2414">
        <v>54251</v>
      </c>
      <c r="F193" s="2458">
        <f>+E193</f>
        <v>54251</v>
      </c>
      <c r="G193" s="2414">
        <v>0</v>
      </c>
      <c r="H193" s="2414">
        <v>0</v>
      </c>
      <c r="I193" s="2414">
        <v>0</v>
      </c>
      <c r="J193" s="2404" t="s">
        <v>1278</v>
      </c>
    </row>
    <row r="194" spans="1:11" ht="12.75">
      <c r="A194" s="2411">
        <v>287837</v>
      </c>
      <c r="B194" s="2412" t="s">
        <v>565</v>
      </c>
      <c r="C194" s="2416" t="s">
        <v>1595</v>
      </c>
      <c r="D194" s="2409"/>
      <c r="E194" s="2414">
        <v>81030</v>
      </c>
      <c r="F194" s="2458">
        <f>+E194</f>
        <v>81030</v>
      </c>
      <c r="G194" s="2414">
        <v>0</v>
      </c>
      <c r="H194" s="2414">
        <v>0</v>
      </c>
      <c r="I194" s="2414">
        <v>0</v>
      </c>
      <c r="J194" s="2404" t="s">
        <v>1279</v>
      </c>
    </row>
    <row r="195" spans="1:11" ht="24.75" customHeight="1">
      <c r="A195" s="2468" t="s">
        <v>439</v>
      </c>
      <c r="B195" s="2423"/>
      <c r="C195" s="2460"/>
      <c r="D195" s="2461"/>
      <c r="E195" s="2414">
        <v>6</v>
      </c>
      <c r="F195" s="2414">
        <f>E195</f>
        <v>6</v>
      </c>
      <c r="G195" s="2282"/>
      <c r="H195" s="2282"/>
      <c r="I195" s="2282"/>
      <c r="J195" s="2462"/>
      <c r="K195" s="437"/>
    </row>
    <row r="196" spans="1:11" ht="12.75">
      <c r="A196" s="2433" t="s">
        <v>71</v>
      </c>
      <c r="B196" s="2434"/>
      <c r="C196" s="2423"/>
      <c r="D196" s="2424"/>
      <c r="E196" s="2426">
        <f>SUM(E32:E195)</f>
        <v>606211204</v>
      </c>
      <c r="F196" s="2426">
        <f>SUM(F32:F195)</f>
        <v>571142062</v>
      </c>
      <c r="G196" s="2426">
        <f>SUM(G32:G195)</f>
        <v>88912</v>
      </c>
      <c r="H196" s="2426">
        <f>SUM(H32:H195)</f>
        <v>0</v>
      </c>
      <c r="I196" s="2426">
        <f>SUM(I32:I195)</f>
        <v>34980230</v>
      </c>
      <c r="J196" s="2426"/>
      <c r="K196" s="437"/>
    </row>
    <row r="197" spans="1:11" ht="12.75">
      <c r="A197" s="2469" t="s">
        <v>198</v>
      </c>
      <c r="B197" s="2470"/>
      <c r="C197" s="2449"/>
      <c r="D197" s="2450"/>
      <c r="E197" s="2282">
        <f>E94+E104+E171</f>
        <v>11171150</v>
      </c>
      <c r="F197" s="2282">
        <f t="shared" ref="F197:I197" si="6">F94+F104+F171</f>
        <v>11171150</v>
      </c>
      <c r="G197" s="2282">
        <f t="shared" si="6"/>
        <v>0</v>
      </c>
      <c r="H197" s="2282">
        <f t="shared" si="6"/>
        <v>0</v>
      </c>
      <c r="I197" s="2282">
        <f t="shared" si="6"/>
        <v>0</v>
      </c>
      <c r="J197" s="2428"/>
      <c r="K197" s="437"/>
    </row>
    <row r="198" spans="1:11" ht="12.75">
      <c r="A198" s="2471" t="s">
        <v>199</v>
      </c>
      <c r="B198" s="2472"/>
      <c r="C198" s="2463"/>
      <c r="D198" s="2464"/>
      <c r="E198" s="2282">
        <f>+E46</f>
        <v>4474803</v>
      </c>
      <c r="F198" s="2282">
        <f t="shared" ref="F198:H198" si="7">+F46</f>
        <v>0</v>
      </c>
      <c r="G198" s="2282">
        <f t="shared" si="7"/>
        <v>0</v>
      </c>
      <c r="H198" s="2282">
        <f t="shared" si="7"/>
        <v>0</v>
      </c>
      <c r="I198" s="2282">
        <f>+I46</f>
        <v>4474803</v>
      </c>
      <c r="J198" s="2428"/>
      <c r="K198" s="437"/>
    </row>
    <row r="199" spans="1:11" ht="12.75">
      <c r="A199" s="2433" t="s">
        <v>282</v>
      </c>
      <c r="B199" s="2434"/>
      <c r="C199" s="2423"/>
      <c r="D199" s="2424"/>
      <c r="E199" s="2426">
        <f>+E196-E197-E198</f>
        <v>590565251</v>
      </c>
      <c r="F199" s="2426">
        <f>+F196-F197-F198</f>
        <v>559970912</v>
      </c>
      <c r="G199" s="2426">
        <f>+G196-G197-G198</f>
        <v>88912</v>
      </c>
      <c r="H199" s="2426">
        <f>+H196-H197-H198</f>
        <v>0</v>
      </c>
      <c r="I199" s="2426">
        <f>+I196-I197-I198</f>
        <v>30505427</v>
      </c>
      <c r="J199" s="2428"/>
      <c r="K199" s="437"/>
    </row>
    <row r="200" spans="1:11" ht="15">
      <c r="A200" s="1355"/>
      <c r="B200" s="1355"/>
      <c r="C200" s="1356"/>
      <c r="D200" s="1356"/>
      <c r="E200" s="1316"/>
      <c r="F200" s="1317"/>
      <c r="G200" s="1316"/>
      <c r="H200" s="1357"/>
      <c r="I200" s="1358"/>
      <c r="J200" s="1359"/>
      <c r="K200" s="437"/>
    </row>
    <row r="201" spans="1:11">
      <c r="A201" s="1355"/>
      <c r="B201" s="1355"/>
      <c r="C201" s="1870" t="s">
        <v>64</v>
      </c>
      <c r="D201" s="1871"/>
      <c r="E201" s="1871"/>
      <c r="F201" s="1872"/>
      <c r="G201" s="1873"/>
      <c r="H201" s="1874"/>
      <c r="I201" s="1359"/>
      <c r="J201" s="437"/>
      <c r="K201" s="437"/>
    </row>
    <row r="202" spans="1:11">
      <c r="A202" s="1355"/>
      <c r="B202" s="1355"/>
      <c r="C202" s="1318" t="s">
        <v>132</v>
      </c>
      <c r="D202" s="2272"/>
      <c r="E202" s="2272"/>
      <c r="F202" s="2272"/>
      <c r="G202" s="2272"/>
      <c r="H202" s="2273"/>
      <c r="I202" s="1360"/>
      <c r="J202" s="437"/>
      <c r="K202" s="437"/>
    </row>
    <row r="203" spans="1:11">
      <c r="A203" s="1355"/>
      <c r="B203" s="1355"/>
      <c r="C203" s="1318" t="s">
        <v>133</v>
      </c>
      <c r="D203" s="1316"/>
      <c r="E203" s="1316"/>
      <c r="F203" s="1316"/>
      <c r="G203" s="1358"/>
      <c r="H203" s="1361"/>
      <c r="I203" s="1359"/>
      <c r="J203" s="437"/>
      <c r="K203" s="437"/>
    </row>
    <row r="204" spans="1:11">
      <c r="A204" s="1355"/>
      <c r="B204" s="1355"/>
      <c r="C204" s="1318" t="s">
        <v>262</v>
      </c>
      <c r="D204" s="1316"/>
      <c r="E204" s="1316"/>
      <c r="F204" s="1316"/>
      <c r="G204" s="1358"/>
      <c r="H204" s="1361"/>
      <c r="I204" s="1360"/>
      <c r="J204" s="437"/>
      <c r="K204" s="437"/>
    </row>
    <row r="205" spans="1:11">
      <c r="A205" s="1355"/>
      <c r="B205" s="1355"/>
      <c r="C205" s="1318" t="s">
        <v>264</v>
      </c>
      <c r="D205" s="1316"/>
      <c r="E205" s="1316"/>
      <c r="F205" s="1316"/>
      <c r="G205" s="1358"/>
      <c r="H205" s="1361"/>
      <c r="I205" s="1359"/>
      <c r="J205" s="437"/>
      <c r="K205" s="437"/>
    </row>
    <row r="206" spans="1:11" ht="26.25" customHeight="1">
      <c r="A206" s="1355"/>
      <c r="B206" s="1355"/>
      <c r="C206" s="2552" t="s">
        <v>18</v>
      </c>
      <c r="D206" s="2553"/>
      <c r="E206" s="2553"/>
      <c r="F206" s="2553"/>
      <c r="G206" s="2553"/>
      <c r="H206" s="2554"/>
      <c r="I206" s="1359"/>
      <c r="J206" s="437"/>
      <c r="K206" s="437"/>
    </row>
    <row r="207" spans="1:11" ht="15">
      <c r="A207" s="1355"/>
      <c r="B207" s="1355"/>
      <c r="C207" s="1362"/>
      <c r="D207" s="1363"/>
      <c r="E207" s="1363"/>
      <c r="F207" s="1363"/>
      <c r="G207" s="1363"/>
      <c r="H207" s="1363"/>
      <c r="I207" s="1359"/>
      <c r="J207" s="437"/>
      <c r="K207" s="437"/>
    </row>
    <row r="208" spans="1:11" s="1347" customFormat="1" ht="12.75">
      <c r="A208" s="1364" t="s">
        <v>365</v>
      </c>
      <c r="B208" s="1364"/>
      <c r="C208" s="1365"/>
      <c r="D208" s="1365"/>
      <c r="E208" s="1365"/>
      <c r="F208" s="1365"/>
      <c r="G208" s="1365"/>
      <c r="H208" s="1365"/>
      <c r="I208" s="1365"/>
    </row>
    <row r="209" spans="1:10" s="1347" customFormat="1" ht="12.75">
      <c r="A209" s="1366"/>
      <c r="B209" s="1366"/>
      <c r="C209" s="1367"/>
      <c r="D209" s="1368"/>
      <c r="E209" s="1368"/>
      <c r="F209" s="1368"/>
      <c r="G209" s="1368"/>
      <c r="H209" s="1368"/>
      <c r="I209" s="1368"/>
    </row>
    <row r="210" spans="1:10" s="1347" customFormat="1" ht="12.75">
      <c r="A210" s="1369" t="s">
        <v>663</v>
      </c>
      <c r="B210" s="1369"/>
      <c r="C210" s="1370"/>
      <c r="D210" s="1370"/>
      <c r="E210" s="1370"/>
      <c r="F210" s="1370"/>
      <c r="G210" s="1370"/>
      <c r="H210" s="1370"/>
      <c r="I210" s="1370"/>
    </row>
    <row r="211" spans="1:10" s="1347" customFormat="1" ht="15">
      <c r="A211" s="1307" t="s">
        <v>664</v>
      </c>
      <c r="B211" s="1371"/>
      <c r="C211" s="1368"/>
      <c r="D211" s="1368"/>
      <c r="E211" s="1368"/>
      <c r="F211" s="1368"/>
      <c r="G211" s="1368"/>
      <c r="H211" s="1368"/>
      <c r="I211" s="1368"/>
    </row>
    <row r="212" spans="1:10" s="1347" customFormat="1" ht="12.75">
      <c r="A212" s="1372"/>
      <c r="B212" s="1372"/>
      <c r="C212" s="1343" t="s">
        <v>227</v>
      </c>
      <c r="D212" s="1344"/>
      <c r="E212" s="1343" t="s">
        <v>283</v>
      </c>
      <c r="F212" s="1343" t="s">
        <v>215</v>
      </c>
      <c r="G212" s="1343" t="s">
        <v>228</v>
      </c>
      <c r="H212" s="1343" t="s">
        <v>226</v>
      </c>
      <c r="I212" s="1343" t="s">
        <v>107</v>
      </c>
      <c r="J212" s="1343" t="s">
        <v>229</v>
      </c>
    </row>
    <row r="213" spans="1:10" s="1347" customFormat="1" ht="12.75">
      <c r="A213" s="1372"/>
      <c r="B213" s="1372"/>
      <c r="C213" s="1373"/>
      <c r="E213" s="1373"/>
      <c r="F213" s="1374" t="s">
        <v>257</v>
      </c>
      <c r="G213" s="1373"/>
      <c r="H213" s="1374"/>
      <c r="I213" s="1374"/>
      <c r="J213" s="1373"/>
    </row>
    <row r="214" spans="1:10" s="1347" customFormat="1" ht="15">
      <c r="A214" s="1307"/>
      <c r="B214" s="1372"/>
      <c r="C214" s="1375"/>
      <c r="E214" s="1374" t="s">
        <v>282</v>
      </c>
      <c r="F214" s="1374" t="s">
        <v>258</v>
      </c>
      <c r="G214" s="1374" t="s">
        <v>57</v>
      </c>
      <c r="H214" s="1374" t="s">
        <v>61</v>
      </c>
      <c r="I214" s="1374" t="s">
        <v>63</v>
      </c>
      <c r="J214" s="1373"/>
    </row>
    <row r="215" spans="1:10" s="1347" customFormat="1" ht="12.75">
      <c r="A215" s="1372"/>
      <c r="B215" s="1372"/>
      <c r="C215" s="1316"/>
      <c r="E215" s="1374"/>
      <c r="F215" s="1374" t="s">
        <v>62</v>
      </c>
      <c r="G215" s="1374" t="s">
        <v>62</v>
      </c>
      <c r="H215" s="1374" t="s">
        <v>62</v>
      </c>
      <c r="I215" s="1374" t="s">
        <v>62</v>
      </c>
      <c r="J215" s="1374" t="s">
        <v>208</v>
      </c>
    </row>
    <row r="216" spans="1:10" s="1347" customFormat="1" ht="12.75">
      <c r="A216" s="1875" t="s">
        <v>574</v>
      </c>
      <c r="B216" s="1876"/>
      <c r="C216" s="1877"/>
      <c r="D216" s="1877"/>
      <c r="E216" s="1878"/>
      <c r="F216" s="1879"/>
      <c r="G216" s="1879"/>
      <c r="H216" s="1879"/>
      <c r="I216" s="1879"/>
      <c r="J216" s="1880"/>
    </row>
    <row r="217" spans="1:10" s="1347" customFormat="1" ht="12.75">
      <c r="A217" s="2183" t="s">
        <v>438</v>
      </c>
      <c r="B217" s="1881"/>
      <c r="C217" s="1882"/>
      <c r="D217" s="1882"/>
      <c r="E217" s="1883"/>
      <c r="F217" s="1848"/>
      <c r="G217" s="1848"/>
      <c r="H217" s="1848"/>
      <c r="I217" s="1848"/>
      <c r="J217" s="1884"/>
    </row>
    <row r="218" spans="1:10" s="1347" customFormat="1" ht="12.75">
      <c r="A218" s="1850">
        <v>287960</v>
      </c>
      <c r="B218" s="1851" t="s">
        <v>565</v>
      </c>
      <c r="C218" s="1847" t="s">
        <v>575</v>
      </c>
      <c r="D218" s="1853"/>
      <c r="E218" s="1885">
        <v>-285986998</v>
      </c>
      <c r="F218" s="1858">
        <v>-285986998</v>
      </c>
      <c r="G218" s="1858">
        <v>0</v>
      </c>
      <c r="H218" s="1858">
        <v>0</v>
      </c>
      <c r="I218" s="1858">
        <v>0</v>
      </c>
      <c r="J218" s="1887" t="s">
        <v>1596</v>
      </c>
    </row>
    <row r="219" spans="1:10" s="1347" customFormat="1" ht="12.75">
      <c r="A219" s="2276"/>
      <c r="B219" s="1851"/>
      <c r="C219" s="1847"/>
      <c r="D219" s="1853"/>
      <c r="E219" s="1885"/>
      <c r="F219" s="1885"/>
      <c r="G219" s="1885"/>
      <c r="H219" s="1885"/>
      <c r="I219" s="1885"/>
      <c r="J219" s="1887"/>
    </row>
    <row r="220" spans="1:10" s="1347" customFormat="1" ht="12.75">
      <c r="A220" s="1888" t="s">
        <v>439</v>
      </c>
      <c r="B220" s="1889"/>
      <c r="C220" s="1889"/>
      <c r="D220" s="1890"/>
      <c r="E220" s="1885"/>
      <c r="F220" s="1885"/>
      <c r="G220" s="1885"/>
      <c r="H220" s="1885"/>
      <c r="I220" s="1885"/>
      <c r="J220" s="1865"/>
    </row>
    <row r="221" spans="1:10" s="1347" customFormat="1" ht="12.75">
      <c r="A221" s="1866" t="s">
        <v>1938</v>
      </c>
      <c r="B221" s="1867"/>
      <c r="C221" s="1862"/>
      <c r="D221" s="1892"/>
      <c r="E221" s="1893">
        <f>SUM(E218:E220)</f>
        <v>-285986998</v>
      </c>
      <c r="F221" s="1893">
        <f>SUM(F218:F220)</f>
        <v>-285986998</v>
      </c>
      <c r="G221" s="1893">
        <f>SUM(G218:G220)</f>
        <v>0</v>
      </c>
      <c r="H221" s="1893">
        <f>SUM(H218:H220)</f>
        <v>0</v>
      </c>
      <c r="I221" s="1893">
        <f>SUM(I218:I220)</f>
        <v>0</v>
      </c>
      <c r="J221" s="1879"/>
    </row>
    <row r="222" spans="1:10" s="1347" customFormat="1" ht="12.75">
      <c r="A222" s="1866" t="s">
        <v>198</v>
      </c>
      <c r="B222" s="1867"/>
      <c r="C222" s="1862"/>
      <c r="D222" s="1892"/>
      <c r="E222" s="1885"/>
      <c r="F222" s="1885"/>
      <c r="G222" s="1885"/>
      <c r="H222" s="1885"/>
      <c r="I222" s="1885"/>
      <c r="J222" s="1865"/>
    </row>
    <row r="223" spans="1:10" s="1347" customFormat="1" ht="12.75">
      <c r="A223" s="1866" t="s">
        <v>199</v>
      </c>
      <c r="B223" s="1867"/>
      <c r="C223" s="1862"/>
      <c r="D223" s="1892"/>
      <c r="E223" s="1885"/>
      <c r="F223" s="1885"/>
      <c r="G223" s="1885"/>
      <c r="H223" s="1885"/>
      <c r="I223" s="1885"/>
      <c r="J223" s="1865"/>
    </row>
    <row r="224" spans="1:10" s="1347" customFormat="1" ht="12.75">
      <c r="A224" s="1866" t="s">
        <v>282</v>
      </c>
      <c r="B224" s="1867"/>
      <c r="C224" s="1862"/>
      <c r="D224" s="1892"/>
      <c r="E224" s="1893">
        <f>+E221-E222-E223</f>
        <v>-285986998</v>
      </c>
      <c r="F224" s="1893">
        <f>+F221-F222-F223</f>
        <v>-285986998</v>
      </c>
      <c r="G224" s="1893">
        <f>+G221-G222-G223</f>
        <v>0</v>
      </c>
      <c r="H224" s="1893">
        <f>+H221-H222-H223</f>
        <v>0</v>
      </c>
      <c r="I224" s="1896">
        <f>+I221-I222-I223</f>
        <v>0</v>
      </c>
      <c r="J224" s="1865"/>
    </row>
    <row r="225" spans="1:11" ht="15">
      <c r="A225" s="1376"/>
      <c r="B225" s="1376"/>
      <c r="C225" s="1359"/>
      <c r="D225" s="1316"/>
      <c r="E225" s="1316"/>
      <c r="F225" s="1316"/>
      <c r="G225" s="1316"/>
      <c r="H225" s="1316"/>
      <c r="I225" s="1359"/>
      <c r="J225" s="437"/>
      <c r="K225" s="437"/>
    </row>
    <row r="226" spans="1:11" s="1347" customFormat="1" ht="12.75">
      <c r="A226" s="1312"/>
      <c r="B226" s="1312"/>
      <c r="C226" s="1897" t="s">
        <v>576</v>
      </c>
      <c r="D226" s="1898"/>
      <c r="E226" s="1899"/>
      <c r="F226" s="1899"/>
      <c r="G226" s="1900"/>
      <c r="H226" s="1901"/>
      <c r="I226" s="1368"/>
    </row>
    <row r="227" spans="1:11" s="1347" customFormat="1" ht="12.75">
      <c r="A227" s="1312"/>
      <c r="B227" s="1312"/>
      <c r="C227" s="2555" t="s">
        <v>132</v>
      </c>
      <c r="D227" s="2556"/>
      <c r="E227" s="2556"/>
      <c r="F227" s="2556"/>
      <c r="G227" s="2556"/>
      <c r="H227" s="2557"/>
      <c r="I227" s="1368"/>
    </row>
    <row r="228" spans="1:11" s="1347" customFormat="1" ht="12.75">
      <c r="A228" s="1312"/>
      <c r="B228" s="1312"/>
      <c r="C228" s="1318" t="s">
        <v>133</v>
      </c>
      <c r="D228" s="1313"/>
      <c r="E228" s="1323"/>
      <c r="F228" s="1323"/>
      <c r="G228" s="1315"/>
      <c r="H228" s="1319"/>
      <c r="I228" s="1368"/>
    </row>
    <row r="229" spans="1:11" s="1347" customFormat="1" ht="12.75">
      <c r="A229" s="1312"/>
      <c r="B229" s="1312"/>
      <c r="C229" s="1318" t="s">
        <v>262</v>
      </c>
      <c r="D229" s="1313"/>
      <c r="E229" s="1323"/>
      <c r="F229" s="1323"/>
      <c r="G229" s="1315"/>
      <c r="H229" s="1319"/>
      <c r="I229" s="1368"/>
    </row>
    <row r="230" spans="1:11" s="1347" customFormat="1" ht="12.75">
      <c r="A230" s="1312"/>
      <c r="B230" s="1312"/>
      <c r="C230" s="1318" t="s">
        <v>264</v>
      </c>
      <c r="D230" s="1313"/>
      <c r="E230" s="1323"/>
      <c r="F230" s="1323"/>
      <c r="G230" s="1315"/>
      <c r="H230" s="1319"/>
      <c r="I230" s="1368"/>
    </row>
    <row r="231" spans="1:11" s="1347" customFormat="1" ht="24.75" customHeight="1">
      <c r="A231" s="1312"/>
      <c r="B231" s="1312"/>
      <c r="C231" s="2552" t="s">
        <v>18</v>
      </c>
      <c r="D231" s="2553"/>
      <c r="E231" s="2553"/>
      <c r="F231" s="2553"/>
      <c r="G231" s="2553"/>
      <c r="H231" s="2554"/>
      <c r="I231" s="1902"/>
    </row>
    <row r="232" spans="1:11" s="1347" customFormat="1" ht="12.75">
      <c r="A232" s="1364" t="s">
        <v>365</v>
      </c>
      <c r="B232" s="1372"/>
      <c r="C232" s="1377"/>
      <c r="D232" s="1377"/>
      <c r="E232" s="1377"/>
      <c r="F232" s="1377"/>
      <c r="G232" s="1377"/>
      <c r="H232" s="1377"/>
      <c r="I232" s="1902"/>
    </row>
    <row r="233" spans="1:11" s="1347" customFormat="1" ht="12.75">
      <c r="A233" s="1366"/>
      <c r="B233" s="1372"/>
      <c r="C233" s="1377"/>
      <c r="D233" s="1377"/>
      <c r="E233" s="1377"/>
      <c r="F233" s="1377"/>
      <c r="G233" s="1377"/>
      <c r="H233" s="1377"/>
      <c r="I233" s="1902"/>
    </row>
    <row r="234" spans="1:11" s="1347" customFormat="1" ht="12.75">
      <c r="A234" s="1369" t="s">
        <v>663</v>
      </c>
      <c r="B234" s="1372"/>
      <c r="C234" s="1377"/>
      <c r="D234" s="1377"/>
      <c r="E234" s="1377"/>
      <c r="F234" s="1377"/>
      <c r="G234" s="1377"/>
      <c r="H234" s="1377"/>
      <c r="I234" s="1902"/>
    </row>
    <row r="235" spans="1:11" s="1347" customFormat="1" ht="12.75">
      <c r="A235" s="1372"/>
      <c r="B235" s="1372"/>
      <c r="C235" s="1377"/>
      <c r="D235" s="1377"/>
      <c r="E235" s="1377"/>
      <c r="F235" s="1377"/>
      <c r="G235" s="1377"/>
      <c r="H235" s="1377"/>
      <c r="I235" s="1902"/>
    </row>
    <row r="236" spans="1:11" ht="15.75">
      <c r="A236" s="1307" t="s">
        <v>543</v>
      </c>
      <c r="B236" s="1378"/>
      <c r="C236" s="1362"/>
      <c r="D236" s="1363"/>
      <c r="E236" s="1363"/>
      <c r="F236" s="1363"/>
      <c r="G236" s="1363"/>
      <c r="H236" s="1363"/>
      <c r="I236" s="1362"/>
      <c r="J236" s="437"/>
      <c r="K236" s="437"/>
    </row>
    <row r="237" spans="1:11" ht="15">
      <c r="A237" s="1307"/>
      <c r="B237" s="1307"/>
      <c r="C237" s="1359"/>
      <c r="D237" s="1316"/>
      <c r="E237" s="1316"/>
      <c r="F237" s="1316"/>
      <c r="G237" s="1316"/>
      <c r="H237" s="1316"/>
      <c r="I237" s="1359"/>
      <c r="J237" s="437"/>
      <c r="K237" s="437"/>
    </row>
    <row r="238" spans="1:11" ht="15">
      <c r="A238" s="1297"/>
      <c r="B238" s="1297"/>
      <c r="C238" s="1343" t="s">
        <v>227</v>
      </c>
      <c r="D238" s="1344"/>
      <c r="E238" s="1343" t="s">
        <v>283</v>
      </c>
      <c r="F238" s="1343" t="s">
        <v>215</v>
      </c>
      <c r="G238" s="1343" t="s">
        <v>228</v>
      </c>
      <c r="H238" s="1343" t="s">
        <v>226</v>
      </c>
      <c r="I238" s="1343" t="s">
        <v>107</v>
      </c>
      <c r="J238" s="1343" t="s">
        <v>229</v>
      </c>
      <c r="K238" s="437"/>
    </row>
    <row r="239" spans="1:11" ht="15">
      <c r="A239" s="1297"/>
      <c r="B239" s="1297"/>
      <c r="C239" s="1297"/>
      <c r="D239" s="437"/>
      <c r="E239" s="830"/>
      <c r="F239" s="830" t="s">
        <v>257</v>
      </c>
      <c r="G239" s="830"/>
      <c r="H239" s="830"/>
      <c r="I239" s="830"/>
      <c r="J239" s="1297"/>
      <c r="K239" s="437"/>
    </row>
    <row r="240" spans="1:11" ht="15">
      <c r="A240" s="1307"/>
      <c r="B240" s="1307"/>
      <c r="C240" s="1297"/>
      <c r="D240" s="437"/>
      <c r="E240" s="830" t="s">
        <v>282</v>
      </c>
      <c r="F240" s="830" t="s">
        <v>258</v>
      </c>
      <c r="G240" s="830" t="s">
        <v>57</v>
      </c>
      <c r="H240" s="830" t="s">
        <v>61</v>
      </c>
      <c r="I240" s="830" t="s">
        <v>63</v>
      </c>
      <c r="J240" s="1297"/>
      <c r="K240" s="437"/>
    </row>
    <row r="241" spans="1:11" ht="15">
      <c r="A241" s="1297"/>
      <c r="B241" s="1297"/>
      <c r="C241" s="1297"/>
      <c r="D241" s="437"/>
      <c r="E241" s="830"/>
      <c r="F241" s="830" t="s">
        <v>62</v>
      </c>
      <c r="G241" s="830" t="s">
        <v>62</v>
      </c>
      <c r="H241" s="830" t="s">
        <v>62</v>
      </c>
      <c r="I241" s="830" t="s">
        <v>62</v>
      </c>
      <c r="J241" s="1297" t="s">
        <v>208</v>
      </c>
      <c r="K241" s="437"/>
    </row>
    <row r="242" spans="1:11" ht="15">
      <c r="A242" s="1903" t="s">
        <v>255</v>
      </c>
      <c r="B242" s="1904"/>
      <c r="C242" s="1905"/>
      <c r="D242" s="1906"/>
      <c r="E242" s="1907"/>
      <c r="F242" s="1844"/>
      <c r="G242" s="1844"/>
      <c r="H242" s="1844"/>
      <c r="I242" s="1844"/>
      <c r="J242" s="1908"/>
      <c r="K242" s="437"/>
    </row>
    <row r="243" spans="1:11" ht="38.25">
      <c r="A243" s="2411">
        <v>287605</v>
      </c>
      <c r="B243" s="2412">
        <v>105.14700000000001</v>
      </c>
      <c r="C243" s="2413" t="s">
        <v>584</v>
      </c>
      <c r="D243" s="2406"/>
      <c r="E243" s="2414">
        <v>-172878</v>
      </c>
      <c r="F243" s="2414">
        <f>E243</f>
        <v>-172878</v>
      </c>
      <c r="G243" s="2414">
        <v>0</v>
      </c>
      <c r="H243" s="2414">
        <v>0</v>
      </c>
      <c r="I243" s="2414">
        <v>0</v>
      </c>
      <c r="J243" s="2404" t="s">
        <v>1296</v>
      </c>
    </row>
    <row r="244" spans="1:11" ht="25.5">
      <c r="A244" s="2411">
        <v>287599</v>
      </c>
      <c r="B244" s="2412">
        <v>105.16</v>
      </c>
      <c r="C244" s="2413" t="s">
        <v>2057</v>
      </c>
      <c r="D244" s="2406"/>
      <c r="E244" s="2414">
        <v>-6993724</v>
      </c>
      <c r="F244" s="2414">
        <f>E244</f>
        <v>-6993724</v>
      </c>
      <c r="G244" s="2414">
        <v>0</v>
      </c>
      <c r="H244" s="2414">
        <v>0</v>
      </c>
      <c r="I244" s="2414">
        <v>0</v>
      </c>
      <c r="J244" s="2405" t="s">
        <v>2056</v>
      </c>
    </row>
    <row r="245" spans="1:11" ht="25.5">
      <c r="A245" s="2411">
        <v>287766</v>
      </c>
      <c r="B245" s="2412">
        <v>610.101</v>
      </c>
      <c r="C245" s="2413" t="s">
        <v>589</v>
      </c>
      <c r="D245" s="2406"/>
      <c r="E245" s="2414">
        <v>163620</v>
      </c>
      <c r="F245" s="2414">
        <f>E245</f>
        <v>163620</v>
      </c>
      <c r="G245" s="2414">
        <v>0</v>
      </c>
      <c r="H245" s="2414">
        <v>0</v>
      </c>
      <c r="I245" s="2414">
        <v>0</v>
      </c>
      <c r="J245" s="2408" t="s">
        <v>1309</v>
      </c>
    </row>
    <row r="246" spans="1:11" ht="12.75">
      <c r="A246" s="2411">
        <v>287610</v>
      </c>
      <c r="B246" s="2412">
        <v>105.40300000000001</v>
      </c>
      <c r="C246" s="2413" t="s">
        <v>1597</v>
      </c>
      <c r="D246" s="2406"/>
      <c r="E246" s="2414">
        <v>-57491583</v>
      </c>
      <c r="F246" s="2414">
        <f>E246</f>
        <v>-57491583</v>
      </c>
      <c r="G246" s="2414">
        <v>0</v>
      </c>
      <c r="H246" s="2414">
        <v>0</v>
      </c>
      <c r="I246" s="2414">
        <v>0</v>
      </c>
      <c r="J246" s="2404" t="s">
        <v>1280</v>
      </c>
    </row>
    <row r="247" spans="1:11" ht="25.5">
      <c r="A247" s="2411">
        <v>287605</v>
      </c>
      <c r="B247" s="2412">
        <v>105.142</v>
      </c>
      <c r="C247" s="2413" t="s">
        <v>582</v>
      </c>
      <c r="D247" s="2406"/>
      <c r="E247" s="2414">
        <v>225516549</v>
      </c>
      <c r="F247" s="2414">
        <f>E247</f>
        <v>225516549</v>
      </c>
      <c r="G247" s="2414">
        <v>0</v>
      </c>
      <c r="H247" s="2414">
        <v>0</v>
      </c>
      <c r="I247" s="2414">
        <v>0</v>
      </c>
      <c r="J247" s="2404" t="s">
        <v>1294</v>
      </c>
    </row>
    <row r="248" spans="1:11" ht="38.25">
      <c r="A248" s="2411">
        <v>287704</v>
      </c>
      <c r="B248" s="2412">
        <v>105.143</v>
      </c>
      <c r="C248" s="2413" t="s">
        <v>588</v>
      </c>
      <c r="D248" s="2406"/>
      <c r="E248" s="2414">
        <v>-1425624</v>
      </c>
      <c r="F248" s="2414">
        <v>0</v>
      </c>
      <c r="G248" s="2414">
        <v>0</v>
      </c>
      <c r="H248" s="2414">
        <f>E248</f>
        <v>-1425624</v>
      </c>
      <c r="I248" s="2414">
        <v>0</v>
      </c>
      <c r="J248" s="2404" t="s">
        <v>1307</v>
      </c>
    </row>
    <row r="249" spans="1:11" ht="25.5">
      <c r="A249" s="2411">
        <v>287753</v>
      </c>
      <c r="B249" s="2412">
        <v>110.1</v>
      </c>
      <c r="C249" s="2413" t="s">
        <v>1598</v>
      </c>
      <c r="D249" s="2406"/>
      <c r="E249" s="2414">
        <v>0</v>
      </c>
      <c r="F249" s="2414">
        <f t="shared" ref="F249:F255" si="8">E249</f>
        <v>0</v>
      </c>
      <c r="G249" s="2414">
        <v>0</v>
      </c>
      <c r="H249" s="2414">
        <v>0</v>
      </c>
      <c r="I249" s="2414">
        <v>0</v>
      </c>
      <c r="J249" s="2404" t="s">
        <v>1308</v>
      </c>
    </row>
    <row r="250" spans="1:11" ht="12.75">
      <c r="A250" s="2411">
        <v>287605</v>
      </c>
      <c r="B250" s="2412">
        <v>105.12</v>
      </c>
      <c r="C250" s="2413" t="s">
        <v>577</v>
      </c>
      <c r="D250" s="2406"/>
      <c r="E250" s="2414">
        <v>2677461845</v>
      </c>
      <c r="F250" s="2414">
        <f t="shared" si="8"/>
        <v>2677461845</v>
      </c>
      <c r="G250" s="2414">
        <v>0</v>
      </c>
      <c r="H250" s="2414">
        <v>0</v>
      </c>
      <c r="I250" s="2414">
        <v>0</v>
      </c>
      <c r="J250" s="2404" t="s">
        <v>1284</v>
      </c>
    </row>
    <row r="251" spans="1:11" ht="12.75">
      <c r="A251" s="2411">
        <v>287605</v>
      </c>
      <c r="B251" s="2412">
        <v>105.47</v>
      </c>
      <c r="C251" s="2413" t="s">
        <v>1599</v>
      </c>
      <c r="D251" s="2406"/>
      <c r="E251" s="2414">
        <v>29490870</v>
      </c>
      <c r="F251" s="2414">
        <f t="shared" si="8"/>
        <v>29490870</v>
      </c>
      <c r="G251" s="2414">
        <v>0</v>
      </c>
      <c r="H251" s="2414">
        <v>0</v>
      </c>
      <c r="I251" s="2414">
        <v>0</v>
      </c>
      <c r="J251" s="2404" t="s">
        <v>1302</v>
      </c>
    </row>
    <row r="252" spans="1:11" ht="38.25">
      <c r="A252" s="2411">
        <v>287605</v>
      </c>
      <c r="B252" s="2412">
        <v>105.146</v>
      </c>
      <c r="C252" s="2413" t="s">
        <v>583</v>
      </c>
      <c r="D252" s="2406"/>
      <c r="E252" s="2414">
        <v>5238233</v>
      </c>
      <c r="F252" s="2414">
        <f t="shared" si="8"/>
        <v>5238233</v>
      </c>
      <c r="G252" s="2414">
        <v>0</v>
      </c>
      <c r="H252" s="2414">
        <v>0</v>
      </c>
      <c r="I252" s="2414">
        <v>0</v>
      </c>
      <c r="J252" s="2404" t="s">
        <v>1295</v>
      </c>
    </row>
    <row r="253" spans="1:11" ht="12.75">
      <c r="A253" s="2411">
        <v>287605</v>
      </c>
      <c r="B253" s="2412">
        <v>105.137</v>
      </c>
      <c r="C253" s="2413" t="s">
        <v>580</v>
      </c>
      <c r="D253" s="2406"/>
      <c r="E253" s="2414">
        <v>-22208480</v>
      </c>
      <c r="F253" s="2414">
        <f t="shared" si="8"/>
        <v>-22208480</v>
      </c>
      <c r="G253" s="2414">
        <v>0</v>
      </c>
      <c r="H253" s="2414">
        <v>0</v>
      </c>
      <c r="I253" s="2414">
        <v>0</v>
      </c>
      <c r="J253" s="2404" t="s">
        <v>1291</v>
      </c>
    </row>
    <row r="254" spans="1:11" ht="25.5">
      <c r="A254" s="2411">
        <v>287605</v>
      </c>
      <c r="B254" s="2412">
        <v>105.1</v>
      </c>
      <c r="C254" s="2413" t="s">
        <v>1600</v>
      </c>
      <c r="D254" s="2406"/>
      <c r="E254" s="2414">
        <v>24532326</v>
      </c>
      <c r="F254" s="2414">
        <f t="shared" si="8"/>
        <v>24532326</v>
      </c>
      <c r="G254" s="2414">
        <v>0</v>
      </c>
      <c r="H254" s="2414">
        <v>0</v>
      </c>
      <c r="I254" s="2414">
        <v>0</v>
      </c>
      <c r="J254" s="2404" t="s">
        <v>1281</v>
      </c>
    </row>
    <row r="255" spans="1:11" ht="25.5">
      <c r="A255" s="2411">
        <v>287605</v>
      </c>
      <c r="B255" s="2412">
        <v>105.101</v>
      </c>
      <c r="C255" s="2413" t="s">
        <v>1601</v>
      </c>
      <c r="D255" s="2406"/>
      <c r="E255" s="2414">
        <v>2415886</v>
      </c>
      <c r="F255" s="2414">
        <f t="shared" si="8"/>
        <v>2415886</v>
      </c>
      <c r="G255" s="2414">
        <v>0</v>
      </c>
      <c r="H255" s="2414">
        <v>0</v>
      </c>
      <c r="I255" s="2414">
        <v>0</v>
      </c>
      <c r="J255" s="2404" t="s">
        <v>1282</v>
      </c>
    </row>
    <row r="256" spans="1:11" ht="12.75">
      <c r="A256" s="2411">
        <v>287605</v>
      </c>
      <c r="B256" s="2415"/>
      <c r="C256" s="2416" t="s">
        <v>674</v>
      </c>
      <c r="D256" s="2409"/>
      <c r="E256" s="2417">
        <f>SUM(F256:I256)</f>
        <v>0</v>
      </c>
      <c r="F256" s="2414">
        <v>1032155736</v>
      </c>
      <c r="G256" s="2414">
        <f>-F256</f>
        <v>-1032155736</v>
      </c>
      <c r="H256" s="2414">
        <v>0</v>
      </c>
      <c r="I256" s="2414">
        <v>0</v>
      </c>
      <c r="J256" s="2404" t="s">
        <v>1305</v>
      </c>
    </row>
    <row r="257" spans="1:10" ht="12.75">
      <c r="A257" s="2411">
        <v>287605</v>
      </c>
      <c r="B257" s="2415"/>
      <c r="C257" s="2416" t="s">
        <v>675</v>
      </c>
      <c r="D257" s="2409"/>
      <c r="E257" s="2417">
        <f t="shared" ref="E257:E258" si="9">SUM(F257:I257)</f>
        <v>0</v>
      </c>
      <c r="F257" s="2414">
        <v>44828256</v>
      </c>
      <c r="G257" s="2414">
        <v>0</v>
      </c>
      <c r="H257" s="2414">
        <v>0</v>
      </c>
      <c r="I257" s="2414">
        <f>-F257</f>
        <v>-44828256</v>
      </c>
      <c r="J257" s="2404" t="s">
        <v>1443</v>
      </c>
    </row>
    <row r="258" spans="1:10" ht="12.75">
      <c r="A258" s="2411">
        <v>287605</v>
      </c>
      <c r="B258" s="2415"/>
      <c r="C258" s="2416" t="s">
        <v>676</v>
      </c>
      <c r="D258" s="2409"/>
      <c r="E258" s="2417">
        <f t="shared" si="9"/>
        <v>0</v>
      </c>
      <c r="F258" s="2414">
        <v>189105569</v>
      </c>
      <c r="G258" s="2414">
        <v>0</v>
      </c>
      <c r="H258" s="2414">
        <v>0</v>
      </c>
      <c r="I258" s="2414">
        <f>-F258</f>
        <v>-189105569</v>
      </c>
      <c r="J258" s="2404" t="s">
        <v>1444</v>
      </c>
    </row>
    <row r="259" spans="1:10" ht="24.75" customHeight="1">
      <c r="A259" s="2411">
        <v>287608</v>
      </c>
      <c r="B259" s="2412">
        <v>105.22199999999999</v>
      </c>
      <c r="C259" s="2413" t="s">
        <v>1602</v>
      </c>
      <c r="D259" s="2406"/>
      <c r="E259" s="2414">
        <v>-4082623</v>
      </c>
      <c r="F259" s="2414">
        <v>0</v>
      </c>
      <c r="G259" s="2414">
        <v>0</v>
      </c>
      <c r="H259" s="2414">
        <f>E259</f>
        <v>-4082623</v>
      </c>
      <c r="I259" s="2414">
        <v>0</v>
      </c>
      <c r="J259" s="2404" t="s">
        <v>1273</v>
      </c>
    </row>
    <row r="260" spans="1:10" ht="28.5" customHeight="1">
      <c r="A260" s="2411">
        <v>287608</v>
      </c>
      <c r="B260" s="2412">
        <v>105.223</v>
      </c>
      <c r="C260" s="2413" t="s">
        <v>1603</v>
      </c>
      <c r="D260" s="2406"/>
      <c r="E260" s="2414">
        <v>1308621</v>
      </c>
      <c r="F260" s="2414">
        <v>0</v>
      </c>
      <c r="G260" s="2414">
        <v>0</v>
      </c>
      <c r="H260" s="2414">
        <f>+E260</f>
        <v>1308621</v>
      </c>
      <c r="I260" s="2414">
        <v>0</v>
      </c>
      <c r="J260" s="2404" t="s">
        <v>1306</v>
      </c>
    </row>
    <row r="261" spans="1:10" ht="51">
      <c r="A261" s="2411">
        <v>287605</v>
      </c>
      <c r="B261" s="2412">
        <v>105.16500000000001</v>
      </c>
      <c r="C261" s="2413" t="s">
        <v>585</v>
      </c>
      <c r="D261" s="2406"/>
      <c r="E261" s="2414">
        <v>-4834889</v>
      </c>
      <c r="F261" s="2414">
        <f t="shared" ref="F261:F274" si="10">E261</f>
        <v>-4834889</v>
      </c>
      <c r="G261" s="2414">
        <v>0</v>
      </c>
      <c r="H261" s="2414">
        <v>0</v>
      </c>
      <c r="I261" s="2414">
        <v>0</v>
      </c>
      <c r="J261" s="2404" t="s">
        <v>1299</v>
      </c>
    </row>
    <row r="262" spans="1:10" ht="51.75" customHeight="1">
      <c r="A262" s="2411">
        <v>287605</v>
      </c>
      <c r="B262" s="2412">
        <v>105.17</v>
      </c>
      <c r="C262" s="2413" t="s">
        <v>1604</v>
      </c>
      <c r="D262" s="2406"/>
      <c r="E262" s="2414">
        <v>-5858660</v>
      </c>
      <c r="F262" s="2414">
        <f t="shared" si="10"/>
        <v>-5858660</v>
      </c>
      <c r="G262" s="2414">
        <v>0</v>
      </c>
      <c r="H262" s="2414">
        <v>0</v>
      </c>
      <c r="I262" s="2414">
        <v>0</v>
      </c>
      <c r="J262" s="2404" t="s">
        <v>1300</v>
      </c>
    </row>
    <row r="263" spans="1:10" ht="25.5">
      <c r="A263" s="2411">
        <v>287605</v>
      </c>
      <c r="B263" s="2412">
        <v>105.15300000000001</v>
      </c>
      <c r="C263" s="2413" t="s">
        <v>2055</v>
      </c>
      <c r="D263" s="2406"/>
      <c r="E263" s="2414">
        <v>-505903</v>
      </c>
      <c r="F263" s="2414">
        <f t="shared" si="10"/>
        <v>-505903</v>
      </c>
      <c r="G263" s="2414">
        <v>0</v>
      </c>
      <c r="H263" s="2414">
        <v>0</v>
      </c>
      <c r="I263" s="2414">
        <v>0</v>
      </c>
      <c r="J263" s="2405" t="s">
        <v>2054</v>
      </c>
    </row>
    <row r="264" spans="1:10" ht="27.75" customHeight="1">
      <c r="A264" s="2411">
        <v>287605</v>
      </c>
      <c r="B264" s="2412">
        <v>105.151</v>
      </c>
      <c r="C264" s="2413" t="s">
        <v>2053</v>
      </c>
      <c r="D264" s="2406"/>
      <c r="E264" s="2414">
        <v>-2995765</v>
      </c>
      <c r="F264" s="2414">
        <f t="shared" si="10"/>
        <v>-2995765</v>
      </c>
      <c r="G264" s="2414">
        <v>0</v>
      </c>
      <c r="H264" s="2414">
        <v>0</v>
      </c>
      <c r="I264" s="2414">
        <v>0</v>
      </c>
      <c r="J264" s="2405" t="s">
        <v>2052</v>
      </c>
    </row>
    <row r="265" spans="1:10" ht="15" customHeight="1">
      <c r="A265" s="2411">
        <v>287605</v>
      </c>
      <c r="B265" s="2412">
        <v>105.13</v>
      </c>
      <c r="C265" s="2413" t="s">
        <v>1605</v>
      </c>
      <c r="D265" s="2406"/>
      <c r="E265" s="2414">
        <v>302715578</v>
      </c>
      <c r="F265" s="2414">
        <f t="shared" si="10"/>
        <v>302715578</v>
      </c>
      <c r="G265" s="2414">
        <v>0</v>
      </c>
      <c r="H265" s="2414">
        <v>0</v>
      </c>
      <c r="I265" s="2414">
        <v>0</v>
      </c>
      <c r="J265" s="2404" t="s">
        <v>1288</v>
      </c>
    </row>
    <row r="266" spans="1:10" ht="38.25">
      <c r="A266" s="2411">
        <v>287605</v>
      </c>
      <c r="B266" s="2412">
        <v>105.175</v>
      </c>
      <c r="C266" s="2413" t="s">
        <v>1606</v>
      </c>
      <c r="D266" s="2406"/>
      <c r="E266" s="2414">
        <v>-234995360</v>
      </c>
      <c r="F266" s="2414">
        <f t="shared" si="10"/>
        <v>-234995360</v>
      </c>
      <c r="G266" s="2414">
        <v>0</v>
      </c>
      <c r="H266" s="2414">
        <v>0</v>
      </c>
      <c r="I266" s="2414">
        <v>0</v>
      </c>
      <c r="J266" s="2404" t="s">
        <v>1301</v>
      </c>
    </row>
    <row r="267" spans="1:10" ht="105" customHeight="1">
      <c r="A267" s="2411">
        <v>287224</v>
      </c>
      <c r="B267" s="2412">
        <v>145.03</v>
      </c>
      <c r="C267" s="2413" t="s">
        <v>1847</v>
      </c>
      <c r="D267" s="2406"/>
      <c r="E267" s="2414">
        <v>732574</v>
      </c>
      <c r="F267" s="2414">
        <f t="shared" si="10"/>
        <v>732574</v>
      </c>
      <c r="G267" s="2414">
        <v>0</v>
      </c>
      <c r="H267" s="2414">
        <v>0</v>
      </c>
      <c r="I267" s="2414">
        <v>0</v>
      </c>
      <c r="J267" s="2404" t="s">
        <v>1848</v>
      </c>
    </row>
    <row r="268" spans="1:10" ht="63.75">
      <c r="A268" s="2411">
        <v>287605</v>
      </c>
      <c r="B268" s="2412">
        <v>105.14100000000001</v>
      </c>
      <c r="C268" s="2413" t="s">
        <v>1607</v>
      </c>
      <c r="D268" s="2406"/>
      <c r="E268" s="2414">
        <v>-234633452</v>
      </c>
      <c r="F268" s="2414">
        <f t="shared" si="10"/>
        <v>-234633452</v>
      </c>
      <c r="G268" s="2414">
        <v>0</v>
      </c>
      <c r="H268" s="2414">
        <v>0</v>
      </c>
      <c r="I268" s="2414">
        <v>0</v>
      </c>
      <c r="J268" s="2404" t="s">
        <v>1293</v>
      </c>
    </row>
    <row r="269" spans="1:10" ht="53.25" customHeight="1">
      <c r="A269" s="2411">
        <v>287605</v>
      </c>
      <c r="B269" s="2412">
        <v>105.11499999999999</v>
      </c>
      <c r="C269" s="2413" t="s">
        <v>1608</v>
      </c>
      <c r="D269" s="2406"/>
      <c r="E269" s="2414">
        <v>-97546853</v>
      </c>
      <c r="F269" s="2414">
        <f t="shared" si="10"/>
        <v>-97546853</v>
      </c>
      <c r="G269" s="2414">
        <v>0</v>
      </c>
      <c r="H269" s="2414">
        <v>0</v>
      </c>
      <c r="I269" s="2414">
        <v>0</v>
      </c>
      <c r="J269" s="2404" t="s">
        <v>1283</v>
      </c>
    </row>
    <row r="270" spans="1:10" ht="63.75">
      <c r="A270" s="2411">
        <v>287605</v>
      </c>
      <c r="B270" s="2412">
        <v>105.139</v>
      </c>
      <c r="C270" s="2413" t="s">
        <v>1735</v>
      </c>
      <c r="D270" s="2406"/>
      <c r="E270" s="2414">
        <v>-92316928</v>
      </c>
      <c r="F270" s="2414">
        <f t="shared" si="10"/>
        <v>-92316928</v>
      </c>
      <c r="G270" s="2414">
        <v>0</v>
      </c>
      <c r="H270" s="2414">
        <v>0</v>
      </c>
      <c r="I270" s="2414">
        <v>0</v>
      </c>
      <c r="J270" s="2408" t="s">
        <v>1293</v>
      </c>
    </row>
    <row r="271" spans="1:10" ht="38.25">
      <c r="A271" s="2411">
        <v>287928</v>
      </c>
      <c r="B271" s="2412">
        <v>425.31</v>
      </c>
      <c r="C271" s="2413" t="s">
        <v>1357</v>
      </c>
      <c r="D271" s="2406"/>
      <c r="E271" s="2414">
        <v>-7734136</v>
      </c>
      <c r="F271" s="2414">
        <f t="shared" si="10"/>
        <v>-7734136</v>
      </c>
      <c r="G271" s="2414">
        <v>0</v>
      </c>
      <c r="H271" s="2414">
        <v>0</v>
      </c>
      <c r="I271" s="2414">
        <v>0</v>
      </c>
      <c r="J271" s="2408" t="s">
        <v>1849</v>
      </c>
    </row>
    <row r="272" spans="1:10" ht="12.75">
      <c r="A272" s="2411">
        <v>287605</v>
      </c>
      <c r="B272" s="2412" t="s">
        <v>565</v>
      </c>
      <c r="C272" s="2413" t="s">
        <v>1609</v>
      </c>
      <c r="D272" s="2406"/>
      <c r="E272" s="2414">
        <v>0</v>
      </c>
      <c r="F272" s="2414">
        <f t="shared" si="10"/>
        <v>0</v>
      </c>
      <c r="G272" s="2414">
        <v>0</v>
      </c>
      <c r="H272" s="2414">
        <v>0</v>
      </c>
      <c r="I272" s="2414">
        <v>0</v>
      </c>
      <c r="J272" s="2404" t="s">
        <v>1240</v>
      </c>
    </row>
    <row r="273" spans="1:10" ht="12.75">
      <c r="A273" s="2411">
        <v>287605</v>
      </c>
      <c r="B273" s="2412">
        <v>105.125</v>
      </c>
      <c r="C273" s="2413" t="s">
        <v>579</v>
      </c>
      <c r="D273" s="2406"/>
      <c r="E273" s="2414">
        <v>-6239283262</v>
      </c>
      <c r="F273" s="2414">
        <f t="shared" si="10"/>
        <v>-6239283262</v>
      </c>
      <c r="G273" s="2414">
        <v>0</v>
      </c>
      <c r="H273" s="2414">
        <v>0</v>
      </c>
      <c r="I273" s="2414">
        <v>0</v>
      </c>
      <c r="J273" s="2404" t="s">
        <v>1287</v>
      </c>
    </row>
    <row r="274" spans="1:10" ht="12.75">
      <c r="A274" s="2411">
        <v>287605</v>
      </c>
      <c r="B274" s="2412">
        <v>105.152</v>
      </c>
      <c r="C274" s="2413" t="s">
        <v>1742</v>
      </c>
      <c r="D274" s="2406"/>
      <c r="E274" s="2414">
        <v>-85653467</v>
      </c>
      <c r="F274" s="2414">
        <f t="shared" si="10"/>
        <v>-85653467</v>
      </c>
      <c r="G274" s="2414">
        <v>0</v>
      </c>
      <c r="H274" s="2414">
        <v>0</v>
      </c>
      <c r="I274" s="2414">
        <v>0</v>
      </c>
      <c r="J274" s="2404" t="s">
        <v>1298</v>
      </c>
    </row>
    <row r="275" spans="1:10" ht="38.25">
      <c r="A275" s="2411">
        <v>287605</v>
      </c>
      <c r="B275" s="2412">
        <v>105.129</v>
      </c>
      <c r="C275" s="2413" t="s">
        <v>1610</v>
      </c>
      <c r="D275" s="2406"/>
      <c r="E275" s="2414">
        <v>19232840</v>
      </c>
      <c r="F275" s="2414">
        <v>0</v>
      </c>
      <c r="G275" s="2414">
        <v>0</v>
      </c>
      <c r="H275" s="2414">
        <f>+E275</f>
        <v>19232840</v>
      </c>
      <c r="I275" s="2414">
        <v>0</v>
      </c>
      <c r="J275" s="2404" t="s">
        <v>1310</v>
      </c>
    </row>
    <row r="276" spans="1:10" ht="38.25">
      <c r="A276" s="2411">
        <v>287605</v>
      </c>
      <c r="B276" s="2412">
        <v>105.148</v>
      </c>
      <c r="C276" s="2413" t="s">
        <v>1611</v>
      </c>
      <c r="D276" s="2406"/>
      <c r="E276" s="2414">
        <v>-473124</v>
      </c>
      <c r="F276" s="2414">
        <f t="shared" ref="F276:F295" si="11">E276</f>
        <v>-473124</v>
      </c>
      <c r="G276" s="2414">
        <v>0</v>
      </c>
      <c r="H276" s="2414">
        <v>0</v>
      </c>
      <c r="I276" s="2414">
        <v>0</v>
      </c>
      <c r="J276" s="2404" t="s">
        <v>1297</v>
      </c>
    </row>
    <row r="277" spans="1:10" ht="12.75">
      <c r="A277" s="2411">
        <v>287929</v>
      </c>
      <c r="B277" s="2412">
        <v>105.46</v>
      </c>
      <c r="C277" s="2413" t="s">
        <v>1612</v>
      </c>
      <c r="D277" s="2406"/>
      <c r="E277" s="2414">
        <v>-344200159</v>
      </c>
      <c r="F277" s="2414">
        <f t="shared" si="11"/>
        <v>-344200159</v>
      </c>
      <c r="G277" s="2414">
        <v>0</v>
      </c>
      <c r="H277" s="2414">
        <v>0</v>
      </c>
      <c r="I277" s="2414">
        <v>0</v>
      </c>
      <c r="J277" s="2404" t="s">
        <v>1280</v>
      </c>
    </row>
    <row r="278" spans="1:10" ht="25.5">
      <c r="A278" s="2411">
        <v>287740</v>
      </c>
      <c r="B278" s="2412">
        <v>110.2</v>
      </c>
      <c r="C278" s="2413" t="s">
        <v>1613</v>
      </c>
      <c r="D278" s="2406"/>
      <c r="E278" s="2414">
        <v>0</v>
      </c>
      <c r="F278" s="2414">
        <f t="shared" si="11"/>
        <v>0</v>
      </c>
      <c r="G278" s="2414">
        <v>0</v>
      </c>
      <c r="H278" s="2414">
        <v>0</v>
      </c>
      <c r="I278" s="2414">
        <v>0</v>
      </c>
      <c r="J278" s="2404" t="s">
        <v>1308</v>
      </c>
    </row>
    <row r="279" spans="1:10" ht="51">
      <c r="A279" s="2411">
        <v>287605</v>
      </c>
      <c r="B279" s="2412">
        <v>320.20999999999998</v>
      </c>
      <c r="C279" s="2413" t="s">
        <v>586</v>
      </c>
      <c r="D279" s="2406"/>
      <c r="E279" s="2414">
        <v>-11916233</v>
      </c>
      <c r="F279" s="2414">
        <f t="shared" si="11"/>
        <v>-11916233</v>
      </c>
      <c r="G279" s="2414">
        <v>0</v>
      </c>
      <c r="H279" s="2414">
        <v>0</v>
      </c>
      <c r="I279" s="2414">
        <v>0</v>
      </c>
      <c r="J279" s="2404" t="s">
        <v>1303</v>
      </c>
    </row>
    <row r="280" spans="1:10" ht="52.5" customHeight="1">
      <c r="A280" s="2411">
        <v>287648</v>
      </c>
      <c r="B280" s="2412">
        <v>100.12</v>
      </c>
      <c r="C280" s="2413" t="s">
        <v>1614</v>
      </c>
      <c r="D280" s="2406"/>
      <c r="E280" s="2414">
        <v>-271073480</v>
      </c>
      <c r="F280" s="2414">
        <f t="shared" si="11"/>
        <v>-271073480</v>
      </c>
      <c r="G280" s="2414">
        <v>0</v>
      </c>
      <c r="H280" s="2414">
        <v>0</v>
      </c>
      <c r="I280" s="2414">
        <v>0</v>
      </c>
      <c r="J280" s="2404" t="s">
        <v>1283</v>
      </c>
    </row>
    <row r="281" spans="1:10" ht="51" customHeight="1">
      <c r="A281" s="2411">
        <v>287605</v>
      </c>
      <c r="B281" s="2412">
        <v>100.11</v>
      </c>
      <c r="C281" s="2413" t="s">
        <v>1850</v>
      </c>
      <c r="D281" s="2406"/>
      <c r="E281" s="2414">
        <v>-48855</v>
      </c>
      <c r="F281" s="2414">
        <f t="shared" si="11"/>
        <v>-48855</v>
      </c>
      <c r="G281" s="2414">
        <v>0</v>
      </c>
      <c r="H281" s="2414">
        <v>0</v>
      </c>
      <c r="I281" s="2414">
        <v>0</v>
      </c>
      <c r="J281" s="2404" t="s">
        <v>1851</v>
      </c>
    </row>
    <row r="282" spans="1:10" ht="25.5">
      <c r="A282" s="2411">
        <v>287605</v>
      </c>
      <c r="B282" s="2412">
        <v>105.15900000000001</v>
      </c>
      <c r="C282" s="2413" t="s">
        <v>2051</v>
      </c>
      <c r="D282" s="2406"/>
      <c r="E282" s="2414">
        <v>6993724</v>
      </c>
      <c r="F282" s="2414">
        <v>0</v>
      </c>
      <c r="G282" s="2414">
        <f>+E282</f>
        <v>6993724</v>
      </c>
      <c r="H282" s="2414">
        <v>0</v>
      </c>
      <c r="I282" s="2414">
        <v>0</v>
      </c>
      <c r="J282" s="2405" t="s">
        <v>2050</v>
      </c>
    </row>
    <row r="283" spans="1:10" ht="25.5">
      <c r="A283" s="2411">
        <v>287605</v>
      </c>
      <c r="B283" s="2412">
        <v>105.131</v>
      </c>
      <c r="C283" s="2413" t="s">
        <v>587</v>
      </c>
      <c r="D283" s="2406"/>
      <c r="E283" s="2414">
        <v>285986998</v>
      </c>
      <c r="F283" s="2414">
        <f t="shared" si="11"/>
        <v>285986998</v>
      </c>
      <c r="G283" s="2414">
        <v>0</v>
      </c>
      <c r="H283" s="2414">
        <v>0</v>
      </c>
      <c r="I283" s="2414">
        <v>0</v>
      </c>
      <c r="J283" s="2404" t="s">
        <v>1304</v>
      </c>
    </row>
    <row r="284" spans="1:10" ht="51">
      <c r="A284" s="2411">
        <v>287605</v>
      </c>
      <c r="B284" s="2412">
        <v>105.14</v>
      </c>
      <c r="C284" s="2413" t="s">
        <v>581</v>
      </c>
      <c r="D284" s="2406"/>
      <c r="E284" s="2414">
        <v>31280790</v>
      </c>
      <c r="F284" s="2414">
        <f t="shared" si="11"/>
        <v>31280790</v>
      </c>
      <c r="G284" s="2414">
        <v>0</v>
      </c>
      <c r="H284" s="2414">
        <v>0</v>
      </c>
      <c r="I284" s="2414">
        <v>0</v>
      </c>
      <c r="J284" s="2404" t="s">
        <v>1292</v>
      </c>
    </row>
    <row r="285" spans="1:10" ht="38.25">
      <c r="A285" s="2411">
        <v>287605</v>
      </c>
      <c r="B285" s="2412">
        <v>105.122</v>
      </c>
      <c r="C285" s="2413" t="s">
        <v>1615</v>
      </c>
      <c r="D285" s="2406"/>
      <c r="E285" s="2414">
        <v>-415979683</v>
      </c>
      <c r="F285" s="2414">
        <f t="shared" si="11"/>
        <v>-415979683</v>
      </c>
      <c r="G285" s="2414">
        <v>0</v>
      </c>
      <c r="H285" s="2414">
        <v>0</v>
      </c>
      <c r="I285" s="2414">
        <v>0</v>
      </c>
      <c r="J285" s="2404" t="s">
        <v>1285</v>
      </c>
    </row>
    <row r="286" spans="1:10" ht="51">
      <c r="A286" s="2411">
        <v>287221</v>
      </c>
      <c r="B286" s="2412">
        <v>415.93299999999999</v>
      </c>
      <c r="C286" s="2413" t="s">
        <v>1852</v>
      </c>
      <c r="D286" s="2406"/>
      <c r="E286" s="2414">
        <v>-473513</v>
      </c>
      <c r="F286" s="2414">
        <f t="shared" si="11"/>
        <v>-473513</v>
      </c>
      <c r="G286" s="2414">
        <v>0</v>
      </c>
      <c r="H286" s="2414">
        <v>0</v>
      </c>
      <c r="I286" s="2414">
        <v>0</v>
      </c>
      <c r="J286" s="2404" t="s">
        <v>1853</v>
      </c>
    </row>
    <row r="287" spans="1:10" ht="51">
      <c r="A287" s="2411">
        <v>287222</v>
      </c>
      <c r="B287" s="2412">
        <v>415.93400000000003</v>
      </c>
      <c r="C287" s="2413" t="s">
        <v>1854</v>
      </c>
      <c r="D287" s="2406"/>
      <c r="E287" s="2414">
        <v>-3425271</v>
      </c>
      <c r="F287" s="2414">
        <f t="shared" si="11"/>
        <v>-3425271</v>
      </c>
      <c r="G287" s="2414">
        <v>0</v>
      </c>
      <c r="H287" s="2414">
        <v>0</v>
      </c>
      <c r="I287" s="2414">
        <v>0</v>
      </c>
      <c r="J287" s="2404" t="s">
        <v>1855</v>
      </c>
    </row>
    <row r="288" spans="1:10" ht="51">
      <c r="A288" s="2411">
        <v>287223</v>
      </c>
      <c r="B288" s="2412">
        <v>415.935</v>
      </c>
      <c r="C288" s="2413" t="s">
        <v>1856</v>
      </c>
      <c r="D288" s="2406"/>
      <c r="E288" s="2414">
        <v>-1015618</v>
      </c>
      <c r="F288" s="2414">
        <f t="shared" si="11"/>
        <v>-1015618</v>
      </c>
      <c r="G288" s="2414">
        <v>0</v>
      </c>
      <c r="H288" s="2414">
        <v>0</v>
      </c>
      <c r="I288" s="2414">
        <v>0</v>
      </c>
      <c r="J288" s="2404" t="s">
        <v>1857</v>
      </c>
    </row>
    <row r="289" spans="1:11" ht="12.75">
      <c r="A289" s="2411">
        <v>287313</v>
      </c>
      <c r="B289" s="2412">
        <v>105.45</v>
      </c>
      <c r="C289" s="2413" t="s">
        <v>1616</v>
      </c>
      <c r="D289" s="2406"/>
      <c r="E289" s="2414">
        <v>344200159</v>
      </c>
      <c r="F289" s="2414">
        <f t="shared" si="11"/>
        <v>344200159</v>
      </c>
      <c r="G289" s="2414">
        <v>0</v>
      </c>
      <c r="H289" s="2414">
        <v>0</v>
      </c>
      <c r="I289" s="2414">
        <v>0</v>
      </c>
      <c r="J289" s="2404" t="s">
        <v>1280</v>
      </c>
    </row>
    <row r="290" spans="1:11" ht="25.5">
      <c r="A290" s="2411">
        <v>287605</v>
      </c>
      <c r="B290" s="2412">
        <v>105.13500000000001</v>
      </c>
      <c r="C290" s="2413" t="s">
        <v>1289</v>
      </c>
      <c r="D290" s="2406"/>
      <c r="E290" s="2414">
        <v>318615</v>
      </c>
      <c r="F290" s="2414">
        <f t="shared" si="11"/>
        <v>318615</v>
      </c>
      <c r="G290" s="2414">
        <v>0</v>
      </c>
      <c r="H290" s="2414">
        <v>0</v>
      </c>
      <c r="I290" s="2414">
        <v>0</v>
      </c>
      <c r="J290" s="2404" t="s">
        <v>1290</v>
      </c>
    </row>
    <row r="291" spans="1:11" ht="92.25" customHeight="1">
      <c r="A291" s="2411">
        <v>287605</v>
      </c>
      <c r="B291" s="2412">
        <v>105.123</v>
      </c>
      <c r="C291" s="2413" t="s">
        <v>578</v>
      </c>
      <c r="D291" s="2406"/>
      <c r="E291" s="2414">
        <v>-238585871</v>
      </c>
      <c r="F291" s="2414">
        <f t="shared" si="11"/>
        <v>-238585871</v>
      </c>
      <c r="G291" s="2414">
        <v>0</v>
      </c>
      <c r="H291" s="2414">
        <v>0</v>
      </c>
      <c r="I291" s="2414">
        <v>0</v>
      </c>
      <c r="J291" s="2404" t="s">
        <v>1286</v>
      </c>
    </row>
    <row r="292" spans="1:11" ht="51">
      <c r="A292" s="2411">
        <v>287605</v>
      </c>
      <c r="B292" s="2412">
        <v>105.116</v>
      </c>
      <c r="C292" s="2413" t="s">
        <v>1858</v>
      </c>
      <c r="D292" s="2406"/>
      <c r="E292" s="2414">
        <v>-4409</v>
      </c>
      <c r="F292" s="2414">
        <f t="shared" si="11"/>
        <v>-4409</v>
      </c>
      <c r="G292" s="2414">
        <v>0</v>
      </c>
      <c r="H292" s="2414">
        <v>0</v>
      </c>
      <c r="I292" s="2414">
        <v>0</v>
      </c>
      <c r="J292" s="2404" t="s">
        <v>1859</v>
      </c>
    </row>
    <row r="293" spans="1:11" ht="25.5">
      <c r="A293" s="2411">
        <v>287771</v>
      </c>
      <c r="B293" s="2412">
        <v>110.205</v>
      </c>
      <c r="C293" s="2413" t="s">
        <v>590</v>
      </c>
      <c r="D293" s="2406"/>
      <c r="E293" s="2414">
        <v>273913</v>
      </c>
      <c r="F293" s="2414">
        <f t="shared" si="11"/>
        <v>273913</v>
      </c>
      <c r="G293" s="2414">
        <v>0</v>
      </c>
      <c r="H293" s="2414">
        <v>0</v>
      </c>
      <c r="I293" s="2414">
        <v>0</v>
      </c>
      <c r="J293" s="2404" t="s">
        <v>1308</v>
      </c>
    </row>
    <row r="294" spans="1:11" s="1347" customFormat="1" ht="12.75">
      <c r="A294" s="2411">
        <v>287301</v>
      </c>
      <c r="B294" s="2412">
        <v>105.471</v>
      </c>
      <c r="C294" s="2413" t="s">
        <v>1617</v>
      </c>
      <c r="D294" s="2406"/>
      <c r="E294" s="2414">
        <v>13399273</v>
      </c>
      <c r="F294" s="2414">
        <f t="shared" si="11"/>
        <v>13399273</v>
      </c>
      <c r="G294" s="2414">
        <v>0</v>
      </c>
      <c r="H294" s="2414">
        <v>0</v>
      </c>
      <c r="I294" s="2414">
        <v>0</v>
      </c>
      <c r="J294" s="2404" t="s">
        <v>1911</v>
      </c>
    </row>
    <row r="295" spans="1:11" s="1347" customFormat="1" ht="15">
      <c r="A295" s="2418"/>
      <c r="B295" s="2418" t="s">
        <v>439</v>
      </c>
      <c r="C295" s="2419"/>
      <c r="D295" s="2420"/>
      <c r="E295" s="2417">
        <v>2</v>
      </c>
      <c r="F295" s="2417">
        <f t="shared" si="11"/>
        <v>2</v>
      </c>
      <c r="G295" s="2417"/>
      <c r="H295" s="2417"/>
      <c r="I295" s="2417"/>
      <c r="J295" s="2286"/>
    </row>
    <row r="296" spans="1:11" ht="12.75">
      <c r="A296" s="2421" t="s">
        <v>323</v>
      </c>
      <c r="B296" s="2422"/>
      <c r="C296" s="2423"/>
      <c r="D296" s="2424"/>
      <c r="E296" s="2425">
        <f>SUM(E243:E295)</f>
        <v>-4414667387</v>
      </c>
      <c r="F296" s="2425">
        <f>SUM(F243:F295)</f>
        <v>-3170604764</v>
      </c>
      <c r="G296" s="2425">
        <f>SUM(G243:G294)</f>
        <v>-1025162012</v>
      </c>
      <c r="H296" s="2425">
        <f>SUM(H243:H294)</f>
        <v>15033214</v>
      </c>
      <c r="I296" s="2425">
        <f>SUM(I243:I294)</f>
        <v>-233933825</v>
      </c>
      <c r="J296" s="2426"/>
      <c r="K296" s="437"/>
    </row>
    <row r="297" spans="1:11" ht="12.75">
      <c r="A297" s="2421" t="s">
        <v>198</v>
      </c>
      <c r="B297" s="2422"/>
      <c r="C297" s="2423"/>
      <c r="D297" s="2424"/>
      <c r="E297" s="2427">
        <f>+E280</f>
        <v>-271073480</v>
      </c>
      <c r="F297" s="2427">
        <f t="shared" ref="F297:I297" si="12">+F280</f>
        <v>-271073480</v>
      </c>
      <c r="G297" s="2427">
        <f t="shared" si="12"/>
        <v>0</v>
      </c>
      <c r="H297" s="2427">
        <f t="shared" si="12"/>
        <v>0</v>
      </c>
      <c r="I297" s="2427">
        <f t="shared" si="12"/>
        <v>0</v>
      </c>
      <c r="J297" s="2428"/>
      <c r="K297" s="437"/>
    </row>
    <row r="298" spans="1:11" ht="12.75">
      <c r="A298" s="2429" t="s">
        <v>199</v>
      </c>
      <c r="B298" s="2430"/>
      <c r="C298" s="2431"/>
      <c r="D298" s="2432"/>
      <c r="E298" s="2427">
        <v>0</v>
      </c>
      <c r="F298" s="2427">
        <v>0</v>
      </c>
      <c r="G298" s="2427">
        <v>0</v>
      </c>
      <c r="H298" s="2427">
        <v>0</v>
      </c>
      <c r="I298" s="2427">
        <v>0</v>
      </c>
      <c r="J298" s="2428"/>
      <c r="K298" s="437"/>
    </row>
    <row r="299" spans="1:11" ht="12.75">
      <c r="A299" s="2433" t="s">
        <v>282</v>
      </c>
      <c r="B299" s="2434"/>
      <c r="C299" s="2423"/>
      <c r="D299" s="2424"/>
      <c r="E299" s="2425">
        <f>+E296-E297-E298</f>
        <v>-4143593907</v>
      </c>
      <c r="F299" s="2425">
        <f>+F296-F297-F298</f>
        <v>-2899531284</v>
      </c>
      <c r="G299" s="2425">
        <f>+G296-G297-G298</f>
        <v>-1025162012</v>
      </c>
      <c r="H299" s="2425">
        <f>+H296-H297-H298</f>
        <v>15033214</v>
      </c>
      <c r="I299" s="2425">
        <f>+I296-I297-I298</f>
        <v>-233933825</v>
      </c>
      <c r="J299" s="2428"/>
      <c r="K299" s="437"/>
    </row>
    <row r="300" spans="1:11" ht="15">
      <c r="A300" s="1379"/>
      <c r="B300" s="1379"/>
      <c r="C300" s="1331"/>
      <c r="D300" s="1325"/>
      <c r="E300" s="1920"/>
      <c r="F300" s="1920"/>
      <c r="G300" s="1326"/>
      <c r="H300" s="1326"/>
      <c r="I300" s="1359"/>
      <c r="J300" s="437"/>
      <c r="K300" s="437"/>
    </row>
    <row r="301" spans="1:11">
      <c r="A301" s="1379"/>
      <c r="B301" s="1379"/>
      <c r="C301" s="1897" t="s">
        <v>70</v>
      </c>
      <c r="D301" s="1898"/>
      <c r="E301" s="1899"/>
      <c r="F301" s="1899"/>
      <c r="G301" s="1900"/>
      <c r="H301" s="1901"/>
      <c r="I301" s="1359"/>
      <c r="J301" s="437"/>
      <c r="K301" s="437"/>
    </row>
    <row r="302" spans="1:11" ht="25.5">
      <c r="A302" s="1379"/>
      <c r="B302" s="1379"/>
      <c r="C302" s="2175" t="s">
        <v>132</v>
      </c>
      <c r="D302" s="2176"/>
      <c r="E302" s="2176"/>
      <c r="F302" s="2176"/>
      <c r="G302" s="2176"/>
      <c r="H302" s="2177"/>
      <c r="I302" s="1359"/>
      <c r="J302" s="437"/>
      <c r="K302" s="437"/>
    </row>
    <row r="303" spans="1:11">
      <c r="A303" s="1379"/>
      <c r="B303" s="1379"/>
      <c r="C303" s="1318" t="s">
        <v>133</v>
      </c>
      <c r="D303" s="1313"/>
      <c r="E303" s="1323"/>
      <c r="F303" s="1323"/>
      <c r="G303" s="1315"/>
      <c r="H303" s="1319"/>
      <c r="I303" s="1359"/>
      <c r="J303" s="437"/>
      <c r="K303" s="437"/>
    </row>
    <row r="304" spans="1:11">
      <c r="A304" s="1379"/>
      <c r="B304" s="1379"/>
      <c r="C304" s="1318" t="s">
        <v>262</v>
      </c>
      <c r="D304" s="1313"/>
      <c r="E304" s="1323"/>
      <c r="F304" s="1323"/>
      <c r="G304" s="1315"/>
      <c r="H304" s="1319"/>
      <c r="I304" s="1359"/>
      <c r="J304" s="437"/>
      <c r="K304" s="437"/>
    </row>
    <row r="305" spans="1:11">
      <c r="A305" s="1379"/>
      <c r="B305" s="1379"/>
      <c r="C305" s="1318" t="s">
        <v>264</v>
      </c>
      <c r="D305" s="1313"/>
      <c r="E305" s="1323"/>
      <c r="F305" s="1323"/>
      <c r="G305" s="1315"/>
      <c r="H305" s="1319"/>
      <c r="I305" s="1359"/>
      <c r="J305" s="437"/>
      <c r="K305" s="437"/>
    </row>
    <row r="306" spans="1:11" ht="24.75" customHeight="1">
      <c r="A306" s="1379"/>
      <c r="B306" s="1379"/>
      <c r="C306" s="2552" t="s">
        <v>18</v>
      </c>
      <c r="D306" s="2553"/>
      <c r="E306" s="2553"/>
      <c r="F306" s="2553"/>
      <c r="G306" s="2553"/>
      <c r="H306" s="2554"/>
      <c r="I306" s="1383"/>
      <c r="J306" s="437"/>
      <c r="K306" s="437"/>
    </row>
    <row r="307" spans="1:11" ht="15">
      <c r="A307" s="1379"/>
      <c r="B307" s="1379"/>
      <c r="C307" s="1381"/>
      <c r="D307" s="1313"/>
      <c r="E307" s="1323"/>
      <c r="F307" s="1323"/>
      <c r="G307" s="1315"/>
      <c r="H307" s="1315"/>
      <c r="I307" s="1359"/>
      <c r="J307" s="437"/>
      <c r="K307" s="437"/>
    </row>
    <row r="308" spans="1:11" ht="18">
      <c r="A308" s="1382"/>
      <c r="B308" s="1382"/>
      <c r="C308" s="1383"/>
      <c r="D308" s="1384"/>
      <c r="E308" s="1384"/>
      <c r="F308" s="1384"/>
      <c r="G308" s="1384"/>
      <c r="H308" s="1384"/>
      <c r="I308" s="1383"/>
      <c r="J308" s="437"/>
      <c r="K308" s="437"/>
    </row>
    <row r="309" spans="1:11" ht="15">
      <c r="A309" s="1385" t="s">
        <v>365</v>
      </c>
      <c r="B309" s="1385"/>
      <c r="C309" s="1386"/>
      <c r="D309" s="1315"/>
      <c r="E309" s="1315"/>
      <c r="F309" s="1315"/>
      <c r="G309" s="1315"/>
      <c r="H309" s="1315"/>
      <c r="I309" s="1387"/>
      <c r="J309" s="437"/>
      <c r="K309" s="437"/>
    </row>
    <row r="310" spans="1:11" ht="15">
      <c r="A310" s="1388"/>
      <c r="B310" s="1388"/>
      <c r="C310" s="1388"/>
      <c r="D310" s="1321"/>
      <c r="E310" s="1321"/>
      <c r="F310" s="1321"/>
      <c r="G310" s="1321"/>
      <c r="H310" s="1321"/>
      <c r="I310" s="1388"/>
      <c r="J310" s="437"/>
      <c r="K310" s="437"/>
    </row>
    <row r="311" spans="1:11">
      <c r="A311" s="1369" t="s">
        <v>663</v>
      </c>
      <c r="B311" s="1379"/>
      <c r="C311" s="1380"/>
      <c r="D311" s="1313"/>
      <c r="E311" s="1323"/>
      <c r="F311" s="1323"/>
      <c r="G311" s="1323"/>
      <c r="H311" s="1921"/>
      <c r="I311" s="1359"/>
      <c r="J311" s="437"/>
      <c r="K311" s="437"/>
    </row>
    <row r="312" spans="1:11" ht="15">
      <c r="A312" s="1307" t="s">
        <v>665</v>
      </c>
      <c r="B312" s="1379"/>
      <c r="C312" s="1380"/>
      <c r="D312" s="1313"/>
      <c r="E312" s="1323"/>
      <c r="F312" s="1323"/>
      <c r="G312" s="1323"/>
      <c r="H312" s="1921"/>
      <c r="I312" s="1359"/>
      <c r="J312" s="437"/>
      <c r="K312" s="437"/>
    </row>
    <row r="313" spans="1:11">
      <c r="A313" s="1379"/>
      <c r="B313" s="1379"/>
      <c r="C313" s="1343" t="s">
        <v>227</v>
      </c>
      <c r="D313" s="1344"/>
      <c r="E313" s="1343" t="s">
        <v>283</v>
      </c>
      <c r="F313" s="1343" t="s">
        <v>215</v>
      </c>
      <c r="G313" s="1343" t="s">
        <v>228</v>
      </c>
      <c r="H313" s="1343" t="s">
        <v>226</v>
      </c>
      <c r="I313" s="1343" t="s">
        <v>107</v>
      </c>
      <c r="J313" s="1343" t="s">
        <v>229</v>
      </c>
      <c r="K313" s="437"/>
    </row>
    <row r="314" spans="1:11" s="437" customFormat="1">
      <c r="A314" s="1379"/>
      <c r="B314" s="1379"/>
      <c r="C314" s="1380"/>
      <c r="E314" s="1834"/>
      <c r="F314" s="830" t="s">
        <v>257</v>
      </c>
      <c r="G314" s="1834"/>
      <c r="H314" s="830"/>
      <c r="I314" s="830"/>
      <c r="J314" s="1296"/>
    </row>
    <row r="315" spans="1:11" s="437" customFormat="1" ht="15">
      <c r="A315" s="1307"/>
      <c r="B315" s="1379"/>
      <c r="C315" s="1331"/>
      <c r="E315" s="830" t="s">
        <v>282</v>
      </c>
      <c r="F315" s="830" t="s">
        <v>258</v>
      </c>
      <c r="G315" s="830" t="s">
        <v>57</v>
      </c>
      <c r="H315" s="830" t="s">
        <v>61</v>
      </c>
      <c r="I315" s="830" t="s">
        <v>63</v>
      </c>
      <c r="J315" s="1296"/>
    </row>
    <row r="316" spans="1:11" s="437" customFormat="1" ht="15">
      <c r="A316" s="1379"/>
      <c r="B316" s="1379"/>
      <c r="C316" s="1380"/>
      <c r="E316" s="830"/>
      <c r="F316" s="830" t="s">
        <v>62</v>
      </c>
      <c r="G316" s="830" t="s">
        <v>62</v>
      </c>
      <c r="H316" s="830" t="s">
        <v>62</v>
      </c>
      <c r="I316" s="830" t="s">
        <v>62</v>
      </c>
      <c r="J316" s="1297" t="s">
        <v>208</v>
      </c>
    </row>
    <row r="317" spans="1:11" ht="15">
      <c r="A317" s="1903" t="s">
        <v>256</v>
      </c>
      <c r="B317" s="1904"/>
      <c r="C317" s="1904"/>
      <c r="D317" s="1922"/>
      <c r="E317" s="1923"/>
      <c r="F317" s="1923"/>
      <c r="G317" s="1923"/>
      <c r="H317" s="1923"/>
      <c r="I317" s="1923"/>
      <c r="J317" s="1908"/>
      <c r="K317" s="437"/>
    </row>
    <row r="318" spans="1:11" ht="15">
      <c r="A318" s="1846" t="s">
        <v>1618</v>
      </c>
      <c r="B318" s="2178"/>
      <c r="C318" s="1904"/>
      <c r="D318" s="1922"/>
      <c r="E318" s="1923"/>
      <c r="F318" s="1923"/>
      <c r="G318" s="1923"/>
      <c r="H318" s="1923"/>
      <c r="I318" s="1923"/>
      <c r="J318" s="1908"/>
      <c r="K318" s="437"/>
    </row>
    <row r="319" spans="1:11" ht="38.25">
      <c r="A319" s="2411">
        <v>287847</v>
      </c>
      <c r="B319" s="2412">
        <v>415.423</v>
      </c>
      <c r="C319" s="2413" t="s">
        <v>1860</v>
      </c>
      <c r="D319" s="2406"/>
      <c r="E319" s="2414">
        <v>0</v>
      </c>
      <c r="F319" s="2414">
        <f>E319</f>
        <v>0</v>
      </c>
      <c r="G319" s="2414">
        <v>0</v>
      </c>
      <c r="H319" s="2414">
        <v>0</v>
      </c>
      <c r="I319" s="2414">
        <v>0</v>
      </c>
      <c r="J319" s="2404" t="s">
        <v>2049</v>
      </c>
    </row>
    <row r="320" spans="1:11" ht="25.5">
      <c r="A320" s="2411">
        <v>287849</v>
      </c>
      <c r="B320" s="2412">
        <v>415.42399999999998</v>
      </c>
      <c r="C320" s="2413" t="s">
        <v>1861</v>
      </c>
      <c r="D320" s="2406"/>
      <c r="E320" s="2414">
        <v>9454496</v>
      </c>
      <c r="F320" s="2414">
        <f>E320</f>
        <v>9454496</v>
      </c>
      <c r="G320" s="2414">
        <v>0</v>
      </c>
      <c r="H320" s="2414">
        <v>0</v>
      </c>
      <c r="I320" s="2414">
        <v>0</v>
      </c>
      <c r="J320" s="2404" t="s">
        <v>2048</v>
      </c>
    </row>
    <row r="321" spans="1:10" ht="25.5">
      <c r="A321" s="2411">
        <v>287841</v>
      </c>
      <c r="B321" s="2412">
        <v>415.411</v>
      </c>
      <c r="C321" s="2413" t="s">
        <v>2047</v>
      </c>
      <c r="D321" s="2406"/>
      <c r="E321" s="2414">
        <v>755848</v>
      </c>
      <c r="F321" s="2414">
        <f t="shared" ref="F321:F384" si="13">E321</f>
        <v>755848</v>
      </c>
      <c r="G321" s="2414">
        <v>0</v>
      </c>
      <c r="H321" s="2414">
        <v>0</v>
      </c>
      <c r="I321" s="2414">
        <v>0</v>
      </c>
      <c r="J321" s="2405" t="s">
        <v>2046</v>
      </c>
    </row>
    <row r="322" spans="1:10" ht="25.5">
      <c r="A322" s="2411">
        <v>287842</v>
      </c>
      <c r="B322" s="2412">
        <v>415.41199999999998</v>
      </c>
      <c r="C322" s="2413" t="s">
        <v>2045</v>
      </c>
      <c r="D322" s="2406"/>
      <c r="E322" s="2414">
        <v>9453</v>
      </c>
      <c r="F322" s="2414">
        <f t="shared" si="13"/>
        <v>9453</v>
      </c>
      <c r="G322" s="2414">
        <v>0</v>
      </c>
      <c r="H322" s="2414">
        <v>0</v>
      </c>
      <c r="I322" s="2414">
        <v>0</v>
      </c>
      <c r="J322" s="2405" t="s">
        <v>2044</v>
      </c>
    </row>
    <row r="323" spans="1:10" ht="25.5">
      <c r="A323" s="2411">
        <v>287843</v>
      </c>
      <c r="B323" s="2412">
        <v>415.41300000000001</v>
      </c>
      <c r="C323" s="2413" t="s">
        <v>2043</v>
      </c>
      <c r="D323" s="2406"/>
      <c r="E323" s="2414">
        <v>1171183</v>
      </c>
      <c r="F323" s="2414">
        <f t="shared" si="13"/>
        <v>1171183</v>
      </c>
      <c r="G323" s="2414">
        <v>0</v>
      </c>
      <c r="H323" s="2414">
        <v>0</v>
      </c>
      <c r="I323" s="2414">
        <v>0</v>
      </c>
      <c r="J323" s="2405" t="s">
        <v>2042</v>
      </c>
    </row>
    <row r="324" spans="1:10" ht="25.5">
      <c r="A324" s="2411">
        <v>287844</v>
      </c>
      <c r="B324" s="2412">
        <v>415.41399999999999</v>
      </c>
      <c r="C324" s="2413" t="s">
        <v>2041</v>
      </c>
      <c r="D324" s="2406"/>
      <c r="E324" s="2414">
        <v>350522</v>
      </c>
      <c r="F324" s="2414">
        <f t="shared" si="13"/>
        <v>350522</v>
      </c>
      <c r="G324" s="2414">
        <v>0</v>
      </c>
      <c r="H324" s="2414">
        <v>0</v>
      </c>
      <c r="I324" s="2414">
        <v>0</v>
      </c>
      <c r="J324" s="2405" t="s">
        <v>2040</v>
      </c>
    </row>
    <row r="325" spans="1:10" ht="25.5">
      <c r="A325" s="2411">
        <v>287845</v>
      </c>
      <c r="B325" s="2412">
        <v>415.41500000000002</v>
      </c>
      <c r="C325" s="2413" t="s">
        <v>2039</v>
      </c>
      <c r="D325" s="2406"/>
      <c r="E325" s="2414">
        <v>3390224</v>
      </c>
      <c r="F325" s="2414">
        <f t="shared" si="13"/>
        <v>3390224</v>
      </c>
      <c r="G325" s="2414">
        <v>0</v>
      </c>
      <c r="H325" s="2414">
        <v>0</v>
      </c>
      <c r="I325" s="2414">
        <v>0</v>
      </c>
      <c r="J325" s="2405" t="s">
        <v>2038</v>
      </c>
    </row>
    <row r="326" spans="1:10" ht="25.5">
      <c r="A326" s="2411">
        <v>287846</v>
      </c>
      <c r="B326" s="2412">
        <v>415.416</v>
      </c>
      <c r="C326" s="2413" t="s">
        <v>2037</v>
      </c>
      <c r="D326" s="2406"/>
      <c r="E326" s="2414">
        <v>142575</v>
      </c>
      <c r="F326" s="2414">
        <f t="shared" si="13"/>
        <v>142575</v>
      </c>
      <c r="G326" s="2414">
        <v>0</v>
      </c>
      <c r="H326" s="2414">
        <v>0</v>
      </c>
      <c r="I326" s="2414">
        <v>0</v>
      </c>
      <c r="J326" s="2405" t="s">
        <v>2036</v>
      </c>
    </row>
    <row r="327" spans="1:10" ht="38.25">
      <c r="A327" s="2411">
        <v>287850</v>
      </c>
      <c r="B327" s="2412">
        <v>415.42500000000001</v>
      </c>
      <c r="C327" s="2413" t="s">
        <v>2035</v>
      </c>
      <c r="D327" s="2406"/>
      <c r="E327" s="2414">
        <v>1568602</v>
      </c>
      <c r="F327" s="2414">
        <f t="shared" si="13"/>
        <v>1568602</v>
      </c>
      <c r="G327" s="2414">
        <v>0</v>
      </c>
      <c r="H327" s="2414">
        <v>0</v>
      </c>
      <c r="I327" s="2414">
        <v>0</v>
      </c>
      <c r="J327" s="2405" t="s">
        <v>2034</v>
      </c>
    </row>
    <row r="328" spans="1:10" ht="39.75" customHeight="1">
      <c r="A328" s="2411">
        <v>287851</v>
      </c>
      <c r="B328" s="2412">
        <v>415.41699999999997</v>
      </c>
      <c r="C328" s="2413" t="s">
        <v>2033</v>
      </c>
      <c r="D328" s="2406"/>
      <c r="E328" s="2414">
        <v>661368</v>
      </c>
      <c r="F328" s="2414">
        <f t="shared" si="13"/>
        <v>661368</v>
      </c>
      <c r="G328" s="2414">
        <v>0</v>
      </c>
      <c r="H328" s="2414">
        <v>0</v>
      </c>
      <c r="I328" s="2414">
        <v>0</v>
      </c>
      <c r="J328" s="2405" t="s">
        <v>2032</v>
      </c>
    </row>
    <row r="329" spans="1:10" ht="41.25" customHeight="1">
      <c r="A329" s="2411">
        <v>287855</v>
      </c>
      <c r="B329" s="2412">
        <v>415.42099999999999</v>
      </c>
      <c r="C329" s="2413" t="s">
        <v>2031</v>
      </c>
      <c r="D329" s="2406"/>
      <c r="E329" s="2414">
        <v>2966452</v>
      </c>
      <c r="F329" s="2414">
        <f t="shared" si="13"/>
        <v>2966452</v>
      </c>
      <c r="G329" s="2414">
        <v>0</v>
      </c>
      <c r="H329" s="2414">
        <v>0</v>
      </c>
      <c r="I329" s="2414">
        <v>0</v>
      </c>
      <c r="J329" s="2405" t="s">
        <v>2030</v>
      </c>
    </row>
    <row r="330" spans="1:10" ht="25.5">
      <c r="A330" s="2411">
        <v>287747</v>
      </c>
      <c r="B330" s="2412">
        <v>705.24</v>
      </c>
      <c r="C330" s="2413" t="s">
        <v>2029</v>
      </c>
      <c r="D330" s="2406"/>
      <c r="E330" s="2414">
        <v>-1173</v>
      </c>
      <c r="F330" s="2414">
        <f t="shared" si="13"/>
        <v>-1173</v>
      </c>
      <c r="G330" s="2414">
        <v>0</v>
      </c>
      <c r="H330" s="2414">
        <v>0</v>
      </c>
      <c r="I330" s="2414">
        <v>0</v>
      </c>
      <c r="J330" s="2405" t="s">
        <v>2028</v>
      </c>
    </row>
    <row r="331" spans="1:10" ht="25.5">
      <c r="A331" s="2411">
        <v>287642</v>
      </c>
      <c r="B331" s="2412">
        <v>105.401</v>
      </c>
      <c r="C331" s="2413" t="s">
        <v>1619</v>
      </c>
      <c r="D331" s="2406"/>
      <c r="E331" s="2414">
        <v>-24705126</v>
      </c>
      <c r="F331" s="2414">
        <f t="shared" si="13"/>
        <v>-24705126</v>
      </c>
      <c r="G331" s="2414">
        <v>0</v>
      </c>
      <c r="H331" s="2414">
        <v>0</v>
      </c>
      <c r="I331" s="2414">
        <v>0</v>
      </c>
      <c r="J331" s="2404" t="s">
        <v>1325</v>
      </c>
    </row>
    <row r="332" spans="1:10" ht="51">
      <c r="A332" s="2411">
        <v>287911</v>
      </c>
      <c r="B332" s="2412">
        <v>415.69900000000001</v>
      </c>
      <c r="C332" s="2413" t="s">
        <v>1862</v>
      </c>
      <c r="D332" s="2406"/>
      <c r="E332" s="2414">
        <v>-736045</v>
      </c>
      <c r="F332" s="2414">
        <f>E332</f>
        <v>-736045</v>
      </c>
      <c r="G332" s="2414">
        <v>0</v>
      </c>
      <c r="H332" s="2414">
        <v>0</v>
      </c>
      <c r="I332" s="2414">
        <v>0</v>
      </c>
      <c r="J332" s="2405" t="s">
        <v>2027</v>
      </c>
    </row>
    <row r="333" spans="1:10" ht="51">
      <c r="A333" s="2411">
        <v>137337</v>
      </c>
      <c r="B333" s="2412">
        <v>715.721</v>
      </c>
      <c r="C333" s="2413" t="s">
        <v>1863</v>
      </c>
      <c r="D333" s="2406"/>
      <c r="E333" s="2414">
        <v>0</v>
      </c>
      <c r="F333" s="2414">
        <f t="shared" ref="F333:F334" si="14">E333</f>
        <v>0</v>
      </c>
      <c r="G333" s="2414">
        <v>0</v>
      </c>
      <c r="H333" s="2414">
        <v>0</v>
      </c>
      <c r="I333" s="2414">
        <v>0</v>
      </c>
      <c r="J333" s="2405" t="s">
        <v>1936</v>
      </c>
    </row>
    <row r="334" spans="1:10" ht="25.5">
      <c r="A334" s="2411">
        <v>287997</v>
      </c>
      <c r="B334" s="2412">
        <v>415.86200000000002</v>
      </c>
      <c r="C334" s="2413" t="s">
        <v>2026</v>
      </c>
      <c r="D334" s="2406"/>
      <c r="E334" s="2414">
        <v>-656</v>
      </c>
      <c r="F334" s="2414">
        <f t="shared" si="14"/>
        <v>-656</v>
      </c>
      <c r="G334" s="2414">
        <v>0</v>
      </c>
      <c r="H334" s="2414">
        <v>0</v>
      </c>
      <c r="I334" s="2414">
        <v>0</v>
      </c>
      <c r="J334" s="2405" t="s">
        <v>2025</v>
      </c>
    </row>
    <row r="335" spans="1:10" ht="38.25">
      <c r="A335" s="2411">
        <v>287984</v>
      </c>
      <c r="B335" s="2412">
        <v>415.923</v>
      </c>
      <c r="C335" s="2413" t="s">
        <v>1864</v>
      </c>
      <c r="D335" s="2406"/>
      <c r="E335" s="2414">
        <v>-908241</v>
      </c>
      <c r="F335" s="2414">
        <f>E335</f>
        <v>-908241</v>
      </c>
      <c r="G335" s="2414">
        <v>0</v>
      </c>
      <c r="H335" s="2414">
        <v>0</v>
      </c>
      <c r="I335" s="2414">
        <v>0</v>
      </c>
      <c r="J335" s="2404" t="s">
        <v>1865</v>
      </c>
    </row>
    <row r="336" spans="1:10" ht="38.25">
      <c r="A336" s="2411">
        <v>287985</v>
      </c>
      <c r="B336" s="2412">
        <v>415.92399999999998</v>
      </c>
      <c r="C336" s="2413" t="s">
        <v>1866</v>
      </c>
      <c r="D336" s="2406"/>
      <c r="E336" s="2414">
        <v>-6536379</v>
      </c>
      <c r="F336" s="2414">
        <f>E336</f>
        <v>-6536379</v>
      </c>
      <c r="G336" s="2414">
        <v>0</v>
      </c>
      <c r="H336" s="2414">
        <v>0</v>
      </c>
      <c r="I336" s="2414">
        <v>0</v>
      </c>
      <c r="J336" s="2404" t="s">
        <v>1867</v>
      </c>
    </row>
    <row r="337" spans="1:10" ht="38.25">
      <c r="A337" s="2411">
        <v>287986</v>
      </c>
      <c r="B337" s="2412">
        <v>415.92500000000001</v>
      </c>
      <c r="C337" s="2413" t="s">
        <v>1868</v>
      </c>
      <c r="D337" s="2406"/>
      <c r="E337" s="2414">
        <v>-2197719</v>
      </c>
      <c r="F337" s="2414">
        <f>E337</f>
        <v>-2197719</v>
      </c>
      <c r="G337" s="2414">
        <v>0</v>
      </c>
      <c r="H337" s="2414">
        <v>0</v>
      </c>
      <c r="I337" s="2414">
        <v>0</v>
      </c>
      <c r="J337" s="2404" t="s">
        <v>1869</v>
      </c>
    </row>
    <row r="338" spans="1:10" ht="38.25">
      <c r="A338" s="2411">
        <v>287760</v>
      </c>
      <c r="B338" s="2412">
        <v>415.89600000000002</v>
      </c>
      <c r="C338" s="2413" t="s">
        <v>1620</v>
      </c>
      <c r="D338" s="2406"/>
      <c r="E338" s="2414">
        <v>0</v>
      </c>
      <c r="F338" s="2414">
        <f t="shared" si="13"/>
        <v>0</v>
      </c>
      <c r="G338" s="2414">
        <v>0</v>
      </c>
      <c r="H338" s="2414">
        <v>0</v>
      </c>
      <c r="I338" s="2414">
        <v>0</v>
      </c>
      <c r="J338" s="2404" t="s">
        <v>1330</v>
      </c>
    </row>
    <row r="339" spans="1:10" ht="25.5">
      <c r="A339" s="2411">
        <v>287635</v>
      </c>
      <c r="B339" s="2412">
        <v>415.5</v>
      </c>
      <c r="C339" s="2413" t="s">
        <v>1621</v>
      </c>
      <c r="D339" s="2406"/>
      <c r="E339" s="2414">
        <v>-674454</v>
      </c>
      <c r="F339" s="2414">
        <f t="shared" si="13"/>
        <v>-674454</v>
      </c>
      <c r="G339" s="2414">
        <v>0</v>
      </c>
      <c r="H339" s="2414">
        <v>0</v>
      </c>
      <c r="I339" s="2414">
        <v>0</v>
      </c>
      <c r="J339" s="2404" t="s">
        <v>1322</v>
      </c>
    </row>
    <row r="340" spans="1:10" ht="38.25">
      <c r="A340" s="2411">
        <v>287947</v>
      </c>
      <c r="B340" s="2412">
        <v>415.50099999999998</v>
      </c>
      <c r="C340" s="2413" t="s">
        <v>1622</v>
      </c>
      <c r="D340" s="2406"/>
      <c r="E340" s="2414">
        <v>19813</v>
      </c>
      <c r="F340" s="2414">
        <f t="shared" si="13"/>
        <v>19813</v>
      </c>
      <c r="G340" s="2414">
        <v>0</v>
      </c>
      <c r="H340" s="2414">
        <v>0</v>
      </c>
      <c r="I340" s="2414">
        <v>0</v>
      </c>
      <c r="J340" s="2404" t="s">
        <v>1346</v>
      </c>
    </row>
    <row r="341" spans="1:10" ht="38.25">
      <c r="A341" s="2411">
        <v>287948</v>
      </c>
      <c r="B341" s="2412">
        <v>415.50200000000001</v>
      </c>
      <c r="C341" s="2413" t="s">
        <v>1623</v>
      </c>
      <c r="D341" s="2406"/>
      <c r="E341" s="2414">
        <v>32335</v>
      </c>
      <c r="F341" s="2414">
        <f t="shared" si="13"/>
        <v>32335</v>
      </c>
      <c r="G341" s="2414">
        <v>0</v>
      </c>
      <c r="H341" s="2414">
        <v>0</v>
      </c>
      <c r="I341" s="2414">
        <v>0</v>
      </c>
      <c r="J341" s="2404" t="s">
        <v>1347</v>
      </c>
    </row>
    <row r="342" spans="1:10" ht="38.25">
      <c r="A342" s="2411">
        <v>287949</v>
      </c>
      <c r="B342" s="2412">
        <v>415.50299999999999</v>
      </c>
      <c r="C342" s="2413" t="s">
        <v>1624</v>
      </c>
      <c r="D342" s="2406"/>
      <c r="E342" s="2414">
        <v>58291</v>
      </c>
      <c r="F342" s="2414">
        <f t="shared" si="13"/>
        <v>58291</v>
      </c>
      <c r="G342" s="2414">
        <v>0</v>
      </c>
      <c r="H342" s="2414">
        <v>0</v>
      </c>
      <c r="I342" s="2414">
        <v>0</v>
      </c>
      <c r="J342" s="2404" t="s">
        <v>1348</v>
      </c>
    </row>
    <row r="343" spans="1:10" ht="38.25">
      <c r="A343" s="2411">
        <v>287581</v>
      </c>
      <c r="B343" s="2412">
        <v>415.82400000000001</v>
      </c>
      <c r="C343" s="2413" t="s">
        <v>1625</v>
      </c>
      <c r="D343" s="2406"/>
      <c r="E343" s="2414">
        <v>104654</v>
      </c>
      <c r="F343" s="2414">
        <f t="shared" si="13"/>
        <v>104654</v>
      </c>
      <c r="G343" s="2414">
        <v>0</v>
      </c>
      <c r="H343" s="2414">
        <v>0</v>
      </c>
      <c r="I343" s="2414">
        <v>0</v>
      </c>
      <c r="J343" s="2404" t="s">
        <v>1315</v>
      </c>
    </row>
    <row r="344" spans="1:10" ht="38.25">
      <c r="A344" s="2411">
        <v>287577</v>
      </c>
      <c r="B344" s="2412">
        <v>415.82</v>
      </c>
      <c r="C344" s="2413" t="s">
        <v>1626</v>
      </c>
      <c r="D344" s="2406"/>
      <c r="E344" s="2414">
        <v>1155189</v>
      </c>
      <c r="F344" s="2414">
        <f t="shared" si="13"/>
        <v>1155189</v>
      </c>
      <c r="G344" s="2414">
        <v>0</v>
      </c>
      <c r="H344" s="2414">
        <v>0</v>
      </c>
      <c r="I344" s="2414">
        <v>0</v>
      </c>
      <c r="J344" s="2404" t="s">
        <v>1313</v>
      </c>
    </row>
    <row r="345" spans="1:10" ht="25.5">
      <c r="A345" s="2411">
        <v>137201</v>
      </c>
      <c r="B345" s="2412">
        <v>415.86900000000003</v>
      </c>
      <c r="C345" s="2413" t="s">
        <v>1627</v>
      </c>
      <c r="D345" s="2406"/>
      <c r="E345" s="2414">
        <v>0</v>
      </c>
      <c r="F345" s="2414">
        <f t="shared" si="13"/>
        <v>0</v>
      </c>
      <c r="G345" s="2414">
        <v>0</v>
      </c>
      <c r="H345" s="2414">
        <v>0</v>
      </c>
      <c r="I345" s="2414">
        <v>0</v>
      </c>
      <c r="J345" s="2407" t="s">
        <v>1628</v>
      </c>
    </row>
    <row r="346" spans="1:10" ht="25.5">
      <c r="A346" s="2411">
        <v>287781</v>
      </c>
      <c r="B346" s="2412">
        <v>415.87</v>
      </c>
      <c r="C346" s="2413" t="s">
        <v>1629</v>
      </c>
      <c r="D346" s="2406"/>
      <c r="E346" s="2414">
        <v>-2427280</v>
      </c>
      <c r="F346" s="2414">
        <f t="shared" si="13"/>
        <v>-2427280</v>
      </c>
      <c r="G346" s="2414">
        <v>0</v>
      </c>
      <c r="H346" s="2414">
        <v>0</v>
      </c>
      <c r="I346" s="2414">
        <v>0</v>
      </c>
      <c r="J346" s="2407" t="s">
        <v>1630</v>
      </c>
    </row>
    <row r="347" spans="1:10" ht="27" customHeight="1">
      <c r="A347" s="2411">
        <v>137302</v>
      </c>
      <c r="B347" s="2412">
        <v>415.88600000000002</v>
      </c>
      <c r="C347" s="2413" t="s">
        <v>1631</v>
      </c>
      <c r="D347" s="2406"/>
      <c r="E347" s="2414">
        <v>0</v>
      </c>
      <c r="F347" s="2414">
        <f t="shared" si="13"/>
        <v>0</v>
      </c>
      <c r="G347" s="2414">
        <v>0</v>
      </c>
      <c r="H347" s="2414">
        <v>0</v>
      </c>
      <c r="I347" s="2414">
        <v>0</v>
      </c>
      <c r="J347" s="2407" t="s">
        <v>1632</v>
      </c>
    </row>
    <row r="348" spans="1:10" ht="37.5" customHeight="1">
      <c r="A348" s="2411">
        <v>287596</v>
      </c>
      <c r="B348" s="2412">
        <v>415.892</v>
      </c>
      <c r="C348" s="2413" t="s">
        <v>1633</v>
      </c>
      <c r="D348" s="2406"/>
      <c r="E348" s="2414">
        <v>-8499708</v>
      </c>
      <c r="F348" s="2414">
        <f t="shared" si="13"/>
        <v>-8499708</v>
      </c>
      <c r="G348" s="2414">
        <v>0</v>
      </c>
      <c r="H348" s="2414">
        <v>0</v>
      </c>
      <c r="I348" s="2414">
        <v>0</v>
      </c>
      <c r="J348" s="2407" t="s">
        <v>1634</v>
      </c>
    </row>
    <row r="349" spans="1:10" ht="27.75" customHeight="1">
      <c r="A349" s="2411">
        <v>137304</v>
      </c>
      <c r="B349" s="2412">
        <v>415.88799999999998</v>
      </c>
      <c r="C349" s="2413" t="s">
        <v>1635</v>
      </c>
      <c r="D349" s="2406"/>
      <c r="E349" s="2414">
        <v>0</v>
      </c>
      <c r="F349" s="2414">
        <f t="shared" si="13"/>
        <v>0</v>
      </c>
      <c r="G349" s="2414">
        <v>0</v>
      </c>
      <c r="H349" s="2414">
        <v>0</v>
      </c>
      <c r="I349" s="2414">
        <v>0</v>
      </c>
      <c r="J349" s="2407" t="s">
        <v>1636</v>
      </c>
    </row>
    <row r="350" spans="1:10" ht="26.25" customHeight="1">
      <c r="A350" s="2411">
        <v>287896</v>
      </c>
      <c r="B350" s="2412">
        <v>415.875</v>
      </c>
      <c r="C350" s="2413" t="s">
        <v>1637</v>
      </c>
      <c r="D350" s="2406"/>
      <c r="E350" s="2414">
        <v>-15342961</v>
      </c>
      <c r="F350" s="2414">
        <f t="shared" si="13"/>
        <v>-15342961</v>
      </c>
      <c r="G350" s="2414">
        <v>0</v>
      </c>
      <c r="H350" s="2414">
        <v>0</v>
      </c>
      <c r="I350" s="2414">
        <v>0</v>
      </c>
      <c r="J350" s="2407" t="s">
        <v>1638</v>
      </c>
    </row>
    <row r="351" spans="1:10" ht="27" customHeight="1">
      <c r="A351" s="2411">
        <v>137306</v>
      </c>
      <c r="B351" s="2412">
        <v>415.90100000000001</v>
      </c>
      <c r="C351" s="2413" t="s">
        <v>1639</v>
      </c>
      <c r="D351" s="2406"/>
      <c r="E351" s="2414">
        <v>0</v>
      </c>
      <c r="F351" s="2414">
        <f t="shared" si="13"/>
        <v>0</v>
      </c>
      <c r="G351" s="2414">
        <v>0</v>
      </c>
      <c r="H351" s="2414">
        <v>0</v>
      </c>
      <c r="I351" s="2414">
        <v>0</v>
      </c>
      <c r="J351" s="2407" t="s">
        <v>1640</v>
      </c>
    </row>
    <row r="352" spans="1:10" ht="39.75" customHeight="1">
      <c r="A352" s="2411">
        <v>287593</v>
      </c>
      <c r="B352" s="2412">
        <v>415.87400000000002</v>
      </c>
      <c r="C352" s="2413" t="s">
        <v>1641</v>
      </c>
      <c r="D352" s="2406"/>
      <c r="E352" s="2414">
        <v>-6231563</v>
      </c>
      <c r="F352" s="2414">
        <f t="shared" si="13"/>
        <v>-6231563</v>
      </c>
      <c r="G352" s="2414">
        <v>0</v>
      </c>
      <c r="H352" s="2414">
        <v>0</v>
      </c>
      <c r="I352" s="2414">
        <v>0</v>
      </c>
      <c r="J352" s="2407" t="s">
        <v>1642</v>
      </c>
    </row>
    <row r="353" spans="1:10" ht="25.5">
      <c r="A353" s="2411">
        <v>287783</v>
      </c>
      <c r="B353" s="2412">
        <v>415.88</v>
      </c>
      <c r="C353" s="2413" t="s">
        <v>1643</v>
      </c>
      <c r="D353" s="2406"/>
      <c r="E353" s="2414">
        <v>0</v>
      </c>
      <c r="F353" s="2414">
        <f t="shared" si="13"/>
        <v>0</v>
      </c>
      <c r="G353" s="2414">
        <v>0</v>
      </c>
      <c r="H353" s="2414">
        <v>0</v>
      </c>
      <c r="I353" s="2414">
        <v>0</v>
      </c>
      <c r="J353" s="2404" t="s">
        <v>1332</v>
      </c>
    </row>
    <row r="354" spans="1:10" ht="25.5">
      <c r="A354" s="2411">
        <v>287570</v>
      </c>
      <c r="B354" s="2412">
        <v>415.70100000000002</v>
      </c>
      <c r="C354" s="2413" t="s">
        <v>1644</v>
      </c>
      <c r="D354" s="2406"/>
      <c r="E354" s="2414">
        <v>-15334</v>
      </c>
      <c r="F354" s="2414">
        <f t="shared" si="13"/>
        <v>-15334</v>
      </c>
      <c r="G354" s="2414">
        <v>0</v>
      </c>
      <c r="H354" s="2414">
        <v>0</v>
      </c>
      <c r="I354" s="2414">
        <v>0</v>
      </c>
      <c r="J354" s="2404" t="s">
        <v>1311</v>
      </c>
    </row>
    <row r="355" spans="1:10" ht="25.5">
      <c r="A355" s="2411">
        <v>287647</v>
      </c>
      <c r="B355" s="2412">
        <v>425.1</v>
      </c>
      <c r="C355" s="2413" t="s">
        <v>1645</v>
      </c>
      <c r="D355" s="2406"/>
      <c r="E355" s="2414">
        <v>-10196</v>
      </c>
      <c r="F355" s="2414">
        <f t="shared" si="13"/>
        <v>-10196</v>
      </c>
      <c r="G355" s="2414">
        <v>0</v>
      </c>
      <c r="H355" s="2414">
        <v>0</v>
      </c>
      <c r="I355" s="2414">
        <v>0</v>
      </c>
      <c r="J355" s="2404" t="s">
        <v>1326</v>
      </c>
    </row>
    <row r="356" spans="1:10" ht="25.5">
      <c r="A356" s="2411">
        <v>287640</v>
      </c>
      <c r="B356" s="2412">
        <v>415.68</v>
      </c>
      <c r="C356" s="2413" t="s">
        <v>1646</v>
      </c>
      <c r="D356" s="2406"/>
      <c r="E356" s="2414">
        <v>-547617</v>
      </c>
      <c r="F356" s="2414">
        <f t="shared" si="13"/>
        <v>-547617</v>
      </c>
      <c r="G356" s="2414">
        <v>0</v>
      </c>
      <c r="H356" s="2414">
        <v>0</v>
      </c>
      <c r="I356" s="2414">
        <v>0</v>
      </c>
      <c r="J356" s="2404" t="s">
        <v>1324</v>
      </c>
    </row>
    <row r="357" spans="1:10" ht="25.5">
      <c r="A357" s="2411">
        <v>287861</v>
      </c>
      <c r="B357" s="2412">
        <v>415.85700000000003</v>
      </c>
      <c r="C357" s="2413" t="s">
        <v>1647</v>
      </c>
      <c r="D357" s="2406"/>
      <c r="E357" s="2414">
        <v>-115118</v>
      </c>
      <c r="F357" s="2414">
        <f t="shared" si="13"/>
        <v>-115118</v>
      </c>
      <c r="G357" s="2414">
        <v>0</v>
      </c>
      <c r="H357" s="2414">
        <v>0</v>
      </c>
      <c r="I357" s="2414">
        <v>0</v>
      </c>
      <c r="J357" s="2404" t="s">
        <v>1333</v>
      </c>
    </row>
    <row r="358" spans="1:10" ht="25.5">
      <c r="A358" s="2411">
        <v>287868</v>
      </c>
      <c r="B358" s="2412">
        <v>415.858</v>
      </c>
      <c r="C358" s="2413" t="s">
        <v>1648</v>
      </c>
      <c r="D358" s="2406"/>
      <c r="E358" s="2414">
        <v>-319659</v>
      </c>
      <c r="F358" s="2414">
        <f t="shared" si="13"/>
        <v>-319659</v>
      </c>
      <c r="G358" s="2414">
        <v>0</v>
      </c>
      <c r="H358" s="2414">
        <v>0</v>
      </c>
      <c r="I358" s="2414">
        <v>0</v>
      </c>
      <c r="J358" s="2404" t="s">
        <v>1336</v>
      </c>
    </row>
    <row r="359" spans="1:10" ht="38.25" customHeight="1">
      <c r="A359" s="2411">
        <v>137200</v>
      </c>
      <c r="B359" s="2412">
        <v>430.11700000000002</v>
      </c>
      <c r="C359" s="2413" t="s">
        <v>1649</v>
      </c>
      <c r="D359" s="2406"/>
      <c r="E359" s="2414">
        <v>0</v>
      </c>
      <c r="F359" s="2414">
        <f t="shared" si="13"/>
        <v>0</v>
      </c>
      <c r="G359" s="2414">
        <v>0</v>
      </c>
      <c r="H359" s="2414">
        <v>0</v>
      </c>
      <c r="I359" s="2414">
        <v>0</v>
      </c>
      <c r="J359" s="2407" t="s">
        <v>1650</v>
      </c>
    </row>
    <row r="360" spans="1:10" ht="40.5" customHeight="1">
      <c r="A360" s="2411">
        <v>287614</v>
      </c>
      <c r="B360" s="2412">
        <v>430.1</v>
      </c>
      <c r="C360" s="2413" t="s">
        <v>1651</v>
      </c>
      <c r="D360" s="2406"/>
      <c r="E360" s="2414">
        <v>-6945743</v>
      </c>
      <c r="F360" s="2414">
        <f t="shared" si="13"/>
        <v>-6945743</v>
      </c>
      <c r="G360" s="2414">
        <v>0</v>
      </c>
      <c r="H360" s="2414">
        <v>0</v>
      </c>
      <c r="I360" s="2414">
        <v>0</v>
      </c>
      <c r="J360" s="2407" t="s">
        <v>1652</v>
      </c>
    </row>
    <row r="361" spans="1:10" ht="38.25">
      <c r="A361" s="2411">
        <v>287981</v>
      </c>
      <c r="B361" s="2412">
        <v>415.92</v>
      </c>
      <c r="C361" s="2413" t="s">
        <v>1870</v>
      </c>
      <c r="D361" s="2406"/>
      <c r="E361" s="2414">
        <v>-1236793</v>
      </c>
      <c r="F361" s="2414">
        <f t="shared" si="13"/>
        <v>-1236793</v>
      </c>
      <c r="G361" s="2414">
        <v>0</v>
      </c>
      <c r="H361" s="2414">
        <v>0</v>
      </c>
      <c r="I361" s="2414">
        <v>0</v>
      </c>
      <c r="J361" s="2407" t="s">
        <v>1871</v>
      </c>
    </row>
    <row r="362" spans="1:10" ht="38.25">
      <c r="A362" s="2411">
        <v>287982</v>
      </c>
      <c r="B362" s="2412">
        <v>415.92099999999999</v>
      </c>
      <c r="C362" s="2413" t="s">
        <v>1872</v>
      </c>
      <c r="D362" s="2406"/>
      <c r="E362" s="2414">
        <v>-753202</v>
      </c>
      <c r="F362" s="2414">
        <f t="shared" si="13"/>
        <v>-753202</v>
      </c>
      <c r="G362" s="2414">
        <v>0</v>
      </c>
      <c r="H362" s="2414">
        <v>0</v>
      </c>
      <c r="I362" s="2414">
        <v>0</v>
      </c>
      <c r="J362" s="2407" t="s">
        <v>1873</v>
      </c>
    </row>
    <row r="363" spans="1:10" ht="38.25">
      <c r="A363" s="2411">
        <v>287983</v>
      </c>
      <c r="B363" s="2412">
        <v>415.92200000000003</v>
      </c>
      <c r="C363" s="2413" t="s">
        <v>1874</v>
      </c>
      <c r="D363" s="2406"/>
      <c r="E363" s="2414">
        <v>-2601146</v>
      </c>
      <c r="F363" s="2414">
        <f t="shared" si="13"/>
        <v>-2601146</v>
      </c>
      <c r="G363" s="2414">
        <v>0</v>
      </c>
      <c r="H363" s="2414">
        <v>0</v>
      </c>
      <c r="I363" s="2414">
        <v>0</v>
      </c>
      <c r="J363" s="2407" t="s">
        <v>1875</v>
      </c>
    </row>
    <row r="364" spans="1:10" ht="25.5">
      <c r="A364" s="2411">
        <v>287576</v>
      </c>
      <c r="B364" s="2412">
        <v>430.11</v>
      </c>
      <c r="C364" s="2413" t="s">
        <v>1653</v>
      </c>
      <c r="D364" s="2406"/>
      <c r="E364" s="2414">
        <v>0</v>
      </c>
      <c r="F364" s="2414">
        <f t="shared" si="13"/>
        <v>0</v>
      </c>
      <c r="G364" s="2414">
        <v>0</v>
      </c>
      <c r="H364" s="2414">
        <v>0</v>
      </c>
      <c r="I364" s="2414">
        <v>0</v>
      </c>
      <c r="J364" s="2404" t="s">
        <v>1225</v>
      </c>
    </row>
    <row r="365" spans="1:10" ht="51.75" customHeight="1">
      <c r="A365" s="2411">
        <v>287648</v>
      </c>
      <c r="B365" s="2412">
        <v>100.12</v>
      </c>
      <c r="C365" s="2413" t="s">
        <v>1654</v>
      </c>
      <c r="D365" s="2406"/>
      <c r="E365" s="2414">
        <v>-165796539</v>
      </c>
      <c r="F365" s="2414">
        <f t="shared" si="13"/>
        <v>-165796539</v>
      </c>
      <c r="G365" s="2414">
        <v>0</v>
      </c>
      <c r="H365" s="2414">
        <v>0</v>
      </c>
      <c r="I365" s="2414">
        <v>0</v>
      </c>
      <c r="J365" s="2404" t="s">
        <v>1283</v>
      </c>
    </row>
    <row r="366" spans="1:10" ht="38.25">
      <c r="A366" s="2411">
        <v>287946</v>
      </c>
      <c r="B366" s="2412">
        <v>100.105</v>
      </c>
      <c r="C366" s="2413" t="s">
        <v>1876</v>
      </c>
      <c r="D366" s="2406"/>
      <c r="E366" s="2414">
        <v>0</v>
      </c>
      <c r="F366" s="2414">
        <f t="shared" si="13"/>
        <v>0</v>
      </c>
      <c r="G366" s="2414">
        <v>0</v>
      </c>
      <c r="H366" s="2414">
        <v>0</v>
      </c>
      <c r="I366" s="2414">
        <v>0</v>
      </c>
      <c r="J366" s="2404" t="s">
        <v>1877</v>
      </c>
    </row>
    <row r="367" spans="1:10" ht="51">
      <c r="A367" s="2411">
        <v>287840</v>
      </c>
      <c r="B367" s="2412">
        <v>415.41</v>
      </c>
      <c r="C367" s="2413" t="s">
        <v>1878</v>
      </c>
      <c r="D367" s="2406"/>
      <c r="E367" s="2414">
        <v>-91185789</v>
      </c>
      <c r="F367" s="2414">
        <f t="shared" si="13"/>
        <v>-91185789</v>
      </c>
      <c r="G367" s="2414">
        <v>0</v>
      </c>
      <c r="H367" s="2414">
        <v>0</v>
      </c>
      <c r="I367" s="2414">
        <v>0</v>
      </c>
      <c r="J367" s="2404" t="s">
        <v>1879</v>
      </c>
    </row>
    <row r="368" spans="1:10" ht="38.25">
      <c r="A368" s="2411">
        <v>287634</v>
      </c>
      <c r="B368" s="2412">
        <v>415.3</v>
      </c>
      <c r="C368" s="2413" t="s">
        <v>1655</v>
      </c>
      <c r="D368" s="2406"/>
      <c r="E368" s="2414">
        <v>-17501976</v>
      </c>
      <c r="F368" s="2414">
        <f t="shared" si="13"/>
        <v>-17501976</v>
      </c>
      <c r="G368" s="2414">
        <v>0</v>
      </c>
      <c r="H368" s="2414">
        <v>0</v>
      </c>
      <c r="I368" s="2414">
        <v>0</v>
      </c>
      <c r="J368" s="2404" t="s">
        <v>1321</v>
      </c>
    </row>
    <row r="369" spans="1:10" ht="27" customHeight="1">
      <c r="A369" s="2411">
        <v>287591</v>
      </c>
      <c r="B369" s="2412">
        <v>415.30099999999999</v>
      </c>
      <c r="C369" s="2413" t="s">
        <v>1656</v>
      </c>
      <c r="D369" s="2406"/>
      <c r="E369" s="2414">
        <v>616855</v>
      </c>
      <c r="F369" s="2414">
        <f t="shared" si="13"/>
        <v>616855</v>
      </c>
      <c r="G369" s="2414">
        <v>0</v>
      </c>
      <c r="H369" s="2414">
        <v>0</v>
      </c>
      <c r="I369" s="2414">
        <v>0</v>
      </c>
      <c r="J369" s="2404" t="s">
        <v>1319</v>
      </c>
    </row>
    <row r="370" spans="1:10" ht="25.5">
      <c r="A370" s="2411">
        <v>287738</v>
      </c>
      <c r="B370" s="2412">
        <v>320.27</v>
      </c>
      <c r="C370" s="2413" t="s">
        <v>1657</v>
      </c>
      <c r="D370" s="2406"/>
      <c r="E370" s="2414">
        <v>-180677865</v>
      </c>
      <c r="F370" s="2414">
        <f t="shared" si="13"/>
        <v>-180677865</v>
      </c>
      <c r="G370" s="2414">
        <v>0</v>
      </c>
      <c r="H370" s="2414">
        <v>0</v>
      </c>
      <c r="I370" s="2414">
        <v>0</v>
      </c>
      <c r="J370" s="2404" t="s">
        <v>1328</v>
      </c>
    </row>
    <row r="371" spans="1:10" ht="25.5">
      <c r="A371" s="2411">
        <v>287739</v>
      </c>
      <c r="B371" s="2412">
        <v>320.27999999999997</v>
      </c>
      <c r="C371" s="2413" t="s">
        <v>1658</v>
      </c>
      <c r="D371" s="2406"/>
      <c r="E371" s="2414">
        <v>-6352161</v>
      </c>
      <c r="F371" s="2414">
        <f t="shared" si="13"/>
        <v>-6352161</v>
      </c>
      <c r="G371" s="2414">
        <v>0</v>
      </c>
      <c r="H371" s="2414">
        <v>0</v>
      </c>
      <c r="I371" s="2414">
        <v>0</v>
      </c>
      <c r="J371" s="2404" t="s">
        <v>1329</v>
      </c>
    </row>
    <row r="372" spans="1:10" ht="63.75" customHeight="1">
      <c r="A372" s="2411">
        <v>137328</v>
      </c>
      <c r="B372" s="2412">
        <v>425.10199999999998</v>
      </c>
      <c r="C372" s="2413" t="s">
        <v>1659</v>
      </c>
      <c r="D372" s="2406"/>
      <c r="E372" s="2414">
        <v>0</v>
      </c>
      <c r="F372" s="2414">
        <f t="shared" si="13"/>
        <v>0</v>
      </c>
      <c r="G372" s="2414">
        <v>0</v>
      </c>
      <c r="H372" s="2414">
        <v>0</v>
      </c>
      <c r="I372" s="2414">
        <v>0</v>
      </c>
      <c r="J372" s="2407" t="s">
        <v>1660</v>
      </c>
    </row>
    <row r="373" spans="1:10" ht="63" customHeight="1">
      <c r="A373" s="2411">
        <v>287975</v>
      </c>
      <c r="B373" s="2412">
        <v>415.65499999999997</v>
      </c>
      <c r="C373" s="2413" t="s">
        <v>2024</v>
      </c>
      <c r="D373" s="2406"/>
      <c r="E373" s="2414">
        <v>-302328</v>
      </c>
      <c r="F373" s="2414">
        <f t="shared" si="13"/>
        <v>-302328</v>
      </c>
      <c r="G373" s="2414">
        <v>0</v>
      </c>
      <c r="H373" s="2414">
        <v>0</v>
      </c>
      <c r="I373" s="2414">
        <v>0</v>
      </c>
      <c r="J373" s="2407" t="s">
        <v>2023</v>
      </c>
    </row>
    <row r="374" spans="1:10" ht="27" customHeight="1">
      <c r="A374" s="2411">
        <v>287597</v>
      </c>
      <c r="B374" s="2412">
        <v>415.70299999999997</v>
      </c>
      <c r="C374" s="2413" t="s">
        <v>1661</v>
      </c>
      <c r="D374" s="2406"/>
      <c r="E374" s="2414">
        <v>-145162</v>
      </c>
      <c r="F374" s="2414">
        <f t="shared" si="13"/>
        <v>-145162</v>
      </c>
      <c r="G374" s="2414">
        <v>0</v>
      </c>
      <c r="H374" s="2414">
        <v>0</v>
      </c>
      <c r="I374" s="2414">
        <v>0</v>
      </c>
      <c r="J374" s="2404" t="s">
        <v>1320</v>
      </c>
    </row>
    <row r="375" spans="1:10" ht="12.75">
      <c r="A375" s="2411">
        <v>287897</v>
      </c>
      <c r="B375" s="2412">
        <v>425.4</v>
      </c>
      <c r="C375" s="2413" t="s">
        <v>1662</v>
      </c>
      <c r="D375" s="2406"/>
      <c r="E375" s="2414">
        <v>-9931905</v>
      </c>
      <c r="F375" s="2414">
        <f t="shared" si="13"/>
        <v>-9931905</v>
      </c>
      <c r="G375" s="2414">
        <v>0</v>
      </c>
      <c r="H375" s="2414">
        <v>0</v>
      </c>
      <c r="I375" s="2414">
        <v>0</v>
      </c>
      <c r="J375" s="2404" t="s">
        <v>1361</v>
      </c>
    </row>
    <row r="376" spans="1:10" ht="25.5">
      <c r="A376" s="2411">
        <v>287571</v>
      </c>
      <c r="B376" s="2412">
        <v>415.702</v>
      </c>
      <c r="C376" s="2413" t="s">
        <v>1663</v>
      </c>
      <c r="D376" s="2406"/>
      <c r="E376" s="2414">
        <v>-329321</v>
      </c>
      <c r="F376" s="2414">
        <f t="shared" si="13"/>
        <v>-329321</v>
      </c>
      <c r="G376" s="2414">
        <v>0</v>
      </c>
      <c r="H376" s="2414">
        <v>0</v>
      </c>
      <c r="I376" s="2414">
        <v>0</v>
      </c>
      <c r="J376" s="2404" t="s">
        <v>1312</v>
      </c>
    </row>
    <row r="377" spans="1:10" ht="51">
      <c r="A377" s="2411">
        <v>287903</v>
      </c>
      <c r="B377" s="2412">
        <v>415.87900000000002</v>
      </c>
      <c r="C377" s="2413" t="s">
        <v>1664</v>
      </c>
      <c r="D377" s="2406"/>
      <c r="E377" s="2414">
        <v>-38990</v>
      </c>
      <c r="F377" s="2414">
        <f t="shared" si="13"/>
        <v>-38990</v>
      </c>
      <c r="G377" s="2414">
        <v>0</v>
      </c>
      <c r="H377" s="2414">
        <v>0</v>
      </c>
      <c r="I377" s="2414">
        <v>0</v>
      </c>
      <c r="J377" s="2407" t="s">
        <v>1665</v>
      </c>
    </row>
    <row r="378" spans="1:10" ht="25.5">
      <c r="A378" s="2411">
        <v>287979</v>
      </c>
      <c r="B378" s="2412">
        <v>415.91699999999997</v>
      </c>
      <c r="C378" s="2413" t="s">
        <v>1666</v>
      </c>
      <c r="D378" s="2406"/>
      <c r="E378" s="2414">
        <v>0</v>
      </c>
      <c r="F378" s="2414">
        <f t="shared" si="13"/>
        <v>0</v>
      </c>
      <c r="G378" s="2414">
        <v>0</v>
      </c>
      <c r="H378" s="2414">
        <v>0</v>
      </c>
      <c r="I378" s="2414">
        <v>0</v>
      </c>
      <c r="J378" s="2407" t="s">
        <v>1667</v>
      </c>
    </row>
    <row r="379" spans="1:10" ht="15" customHeight="1">
      <c r="A379" s="2411">
        <v>287974</v>
      </c>
      <c r="B379" s="2412">
        <v>415.916</v>
      </c>
      <c r="C379" s="2413" t="s">
        <v>1668</v>
      </c>
      <c r="D379" s="2406"/>
      <c r="E379" s="2414">
        <v>0</v>
      </c>
      <c r="F379" s="2414">
        <f t="shared" si="13"/>
        <v>0</v>
      </c>
      <c r="G379" s="2414">
        <v>0</v>
      </c>
      <c r="H379" s="2414">
        <v>0</v>
      </c>
      <c r="I379" s="2414">
        <v>0</v>
      </c>
      <c r="J379" s="2404" t="s">
        <v>1368</v>
      </c>
    </row>
    <row r="380" spans="1:10" ht="14.25" customHeight="1">
      <c r="A380" s="2411">
        <v>287968</v>
      </c>
      <c r="B380" s="2412">
        <v>415.91399999999999</v>
      </c>
      <c r="C380" s="2413" t="s">
        <v>1669</v>
      </c>
      <c r="D380" s="2406"/>
      <c r="E380" s="2414">
        <v>0</v>
      </c>
      <c r="F380" s="2414">
        <f t="shared" si="13"/>
        <v>0</v>
      </c>
      <c r="G380" s="2414">
        <v>0</v>
      </c>
      <c r="H380" s="2414">
        <v>0</v>
      </c>
      <c r="I380" s="2414">
        <v>0</v>
      </c>
      <c r="J380" s="2404" t="s">
        <v>1365</v>
      </c>
    </row>
    <row r="381" spans="1:10" ht="14.25" customHeight="1">
      <c r="A381" s="2411">
        <v>287969</v>
      </c>
      <c r="B381" s="2412">
        <v>415.91500000000002</v>
      </c>
      <c r="C381" s="2413" t="s">
        <v>1670</v>
      </c>
      <c r="D381" s="2406"/>
      <c r="E381" s="2414">
        <v>0</v>
      </c>
      <c r="F381" s="2414">
        <f t="shared" si="13"/>
        <v>0</v>
      </c>
      <c r="G381" s="2414">
        <v>0</v>
      </c>
      <c r="H381" s="2414">
        <v>0</v>
      </c>
      <c r="I381" s="2414">
        <v>0</v>
      </c>
      <c r="J381" s="2404" t="s">
        <v>1366</v>
      </c>
    </row>
    <row r="382" spans="1:10" ht="40.5" customHeight="1">
      <c r="A382" s="2411">
        <v>287977</v>
      </c>
      <c r="B382" s="2412">
        <v>415.88499999999999</v>
      </c>
      <c r="C382" s="2413" t="s">
        <v>1671</v>
      </c>
      <c r="D382" s="2406"/>
      <c r="E382" s="2414">
        <v>0</v>
      </c>
      <c r="F382" s="2414">
        <f t="shared" si="13"/>
        <v>0</v>
      </c>
      <c r="G382" s="2414">
        <v>0</v>
      </c>
      <c r="H382" s="2414">
        <v>0</v>
      </c>
      <c r="I382" s="2414">
        <v>0</v>
      </c>
      <c r="J382" s="2407" t="s">
        <v>1736</v>
      </c>
    </row>
    <row r="383" spans="1:10" ht="25.5">
      <c r="A383" s="2411">
        <v>137230</v>
      </c>
      <c r="B383" s="2412">
        <v>425.10399999999998</v>
      </c>
      <c r="C383" s="2413" t="s">
        <v>1672</v>
      </c>
      <c r="D383" s="2406"/>
      <c r="E383" s="2414">
        <v>0</v>
      </c>
      <c r="F383" s="2414">
        <f t="shared" si="13"/>
        <v>0</v>
      </c>
      <c r="G383" s="2414">
        <v>0</v>
      </c>
      <c r="H383" s="2414">
        <v>0</v>
      </c>
      <c r="I383" s="2414">
        <v>0</v>
      </c>
      <c r="J383" s="2407" t="s">
        <v>2124</v>
      </c>
    </row>
    <row r="384" spans="1:10" ht="25.5">
      <c r="A384" s="2411">
        <v>287919</v>
      </c>
      <c r="B384" s="2412">
        <v>425.10500000000002</v>
      </c>
      <c r="C384" s="2413" t="s">
        <v>1673</v>
      </c>
      <c r="D384" s="2406"/>
      <c r="E384" s="2414">
        <v>0</v>
      </c>
      <c r="F384" s="2414">
        <f t="shared" si="13"/>
        <v>0</v>
      </c>
      <c r="G384" s="2414">
        <v>0</v>
      </c>
      <c r="H384" s="2414">
        <v>0</v>
      </c>
      <c r="I384" s="2414">
        <v>0</v>
      </c>
      <c r="J384" s="2407" t="s">
        <v>2125</v>
      </c>
    </row>
    <row r="385" spans="1:10" ht="38.25">
      <c r="A385" s="2411">
        <v>137509</v>
      </c>
      <c r="B385" s="2412">
        <v>415.58499999999998</v>
      </c>
      <c r="C385" s="2413" t="s">
        <v>1880</v>
      </c>
      <c r="D385" s="2406"/>
      <c r="E385" s="2414">
        <v>0</v>
      </c>
      <c r="F385" s="2414">
        <f t="shared" ref="F385:F388" si="15">E385</f>
        <v>0</v>
      </c>
      <c r="G385" s="2414">
        <v>0</v>
      </c>
      <c r="H385" s="2414">
        <v>0</v>
      </c>
      <c r="I385" s="2414">
        <v>0</v>
      </c>
      <c r="J385" s="2407" t="s">
        <v>1881</v>
      </c>
    </row>
    <row r="386" spans="1:10" ht="38.25">
      <c r="A386" s="2411">
        <v>287904</v>
      </c>
      <c r="B386" s="2412">
        <v>415.84500000000003</v>
      </c>
      <c r="C386" s="2413" t="s">
        <v>1674</v>
      </c>
      <c r="D386" s="2406"/>
      <c r="E386" s="2414">
        <v>0</v>
      </c>
      <c r="F386" s="2414">
        <f t="shared" si="15"/>
        <v>0</v>
      </c>
      <c r="G386" s="2414">
        <v>0</v>
      </c>
      <c r="H386" s="2414">
        <v>0</v>
      </c>
      <c r="I386" s="2414">
        <v>0</v>
      </c>
      <c r="J386" s="2407" t="s">
        <v>1675</v>
      </c>
    </row>
    <row r="387" spans="1:10" ht="25.5">
      <c r="A387" s="2411">
        <v>287942</v>
      </c>
      <c r="B387" s="2412">
        <v>430.11200000000002</v>
      </c>
      <c r="C387" s="2413" t="s">
        <v>1676</v>
      </c>
      <c r="D387" s="2406"/>
      <c r="E387" s="2414">
        <v>-27905</v>
      </c>
      <c r="F387" s="2414">
        <f t="shared" si="15"/>
        <v>-27905</v>
      </c>
      <c r="G387" s="2414">
        <v>0</v>
      </c>
      <c r="H387" s="2414">
        <v>0</v>
      </c>
      <c r="I387" s="2414">
        <v>0</v>
      </c>
      <c r="J387" s="2404" t="s">
        <v>1225</v>
      </c>
    </row>
    <row r="388" spans="1:10" ht="38.25">
      <c r="A388" s="2411">
        <v>287579</v>
      </c>
      <c r="B388" s="2412">
        <v>415.822</v>
      </c>
      <c r="C388" s="2413" t="s">
        <v>1677</v>
      </c>
      <c r="D388" s="2406"/>
      <c r="E388" s="2414">
        <v>-214937</v>
      </c>
      <c r="F388" s="2414">
        <f t="shared" si="15"/>
        <v>-214937</v>
      </c>
      <c r="G388" s="2414">
        <v>0</v>
      </c>
      <c r="H388" s="2414">
        <v>0</v>
      </c>
      <c r="I388" s="2414">
        <v>0</v>
      </c>
      <c r="J388" s="2404" t="s">
        <v>1314</v>
      </c>
    </row>
    <row r="389" spans="1:10" ht="25.5">
      <c r="A389" s="2411">
        <v>287972</v>
      </c>
      <c r="B389" s="2412">
        <v>320.28500000000003</v>
      </c>
      <c r="C389" s="2413" t="s">
        <v>1678</v>
      </c>
      <c r="D389" s="2406"/>
      <c r="E389" s="2414">
        <v>-1296870</v>
      </c>
      <c r="F389" s="2414">
        <v>0</v>
      </c>
      <c r="G389" s="2414">
        <v>0</v>
      </c>
      <c r="H389" s="2414">
        <v>0</v>
      </c>
      <c r="I389" s="2414">
        <f>E389</f>
        <v>-1296870</v>
      </c>
      <c r="J389" s="2404" t="s">
        <v>1367</v>
      </c>
    </row>
    <row r="390" spans="1:10" ht="38.25">
      <c r="A390" s="2411">
        <v>287675</v>
      </c>
      <c r="B390" s="2412">
        <v>740.1</v>
      </c>
      <c r="C390" s="2413" t="s">
        <v>1679</v>
      </c>
      <c r="D390" s="2406"/>
      <c r="E390" s="2414">
        <v>-2410570</v>
      </c>
      <c r="F390" s="2414">
        <f t="shared" ref="F390:F429" si="16">E390</f>
        <v>-2410570</v>
      </c>
      <c r="G390" s="2414">
        <v>0</v>
      </c>
      <c r="H390" s="2414">
        <v>0</v>
      </c>
      <c r="I390" s="2414">
        <v>0</v>
      </c>
      <c r="J390" s="2404" t="s">
        <v>1355</v>
      </c>
    </row>
    <row r="391" spans="1:10" ht="38.25">
      <c r="A391" s="2411">
        <v>287588</v>
      </c>
      <c r="B391" s="2412">
        <v>415.83100000000002</v>
      </c>
      <c r="C391" s="2413" t="s">
        <v>1680</v>
      </c>
      <c r="D391" s="2406"/>
      <c r="E391" s="2414">
        <v>-19910</v>
      </c>
      <c r="F391" s="2414">
        <f t="shared" si="16"/>
        <v>-19910</v>
      </c>
      <c r="G391" s="2414">
        <v>0</v>
      </c>
      <c r="H391" s="2414">
        <v>0</v>
      </c>
      <c r="I391" s="2414">
        <v>0</v>
      </c>
      <c r="J391" s="2404" t="s">
        <v>1318</v>
      </c>
    </row>
    <row r="392" spans="1:10" ht="38.25">
      <c r="A392" s="2411">
        <v>287584</v>
      </c>
      <c r="B392" s="2412">
        <v>415.827</v>
      </c>
      <c r="C392" s="2413" t="s">
        <v>1681</v>
      </c>
      <c r="D392" s="2406"/>
      <c r="E392" s="2414">
        <v>-219775</v>
      </c>
      <c r="F392" s="2414">
        <f t="shared" si="16"/>
        <v>-219775</v>
      </c>
      <c r="G392" s="2414">
        <v>0</v>
      </c>
      <c r="H392" s="2414">
        <v>0</v>
      </c>
      <c r="I392" s="2414">
        <v>0</v>
      </c>
      <c r="J392" s="2404" t="s">
        <v>1316</v>
      </c>
    </row>
    <row r="393" spans="1:10" ht="38.25">
      <c r="A393" s="2411">
        <v>287586</v>
      </c>
      <c r="B393" s="2412">
        <v>415.82900000000001</v>
      </c>
      <c r="C393" s="2413" t="s">
        <v>1682</v>
      </c>
      <c r="D393" s="2406"/>
      <c r="E393" s="2414">
        <v>-211500</v>
      </c>
      <c r="F393" s="2414">
        <f t="shared" si="16"/>
        <v>-211500</v>
      </c>
      <c r="G393" s="2414">
        <v>0</v>
      </c>
      <c r="H393" s="2414">
        <v>0</v>
      </c>
      <c r="I393" s="2414">
        <v>0</v>
      </c>
      <c r="J393" s="2404" t="s">
        <v>1317</v>
      </c>
    </row>
    <row r="394" spans="1:10" ht="51.75" customHeight="1">
      <c r="A394" s="2411">
        <v>287779</v>
      </c>
      <c r="B394" s="2412">
        <v>415.85</v>
      </c>
      <c r="C394" s="2413" t="s">
        <v>1683</v>
      </c>
      <c r="D394" s="2406"/>
      <c r="E394" s="2414">
        <v>0</v>
      </c>
      <c r="F394" s="2414">
        <f t="shared" si="16"/>
        <v>0</v>
      </c>
      <c r="G394" s="2414">
        <v>0</v>
      </c>
      <c r="H394" s="2414">
        <v>0</v>
      </c>
      <c r="I394" s="2414">
        <v>0</v>
      </c>
      <c r="J394" s="2404" t="s">
        <v>1331</v>
      </c>
    </row>
    <row r="395" spans="1:10" ht="63.75">
      <c r="A395" s="2411">
        <v>287864</v>
      </c>
      <c r="B395" s="2412">
        <v>415.85199999999998</v>
      </c>
      <c r="C395" s="2413" t="s">
        <v>1684</v>
      </c>
      <c r="D395" s="2406"/>
      <c r="E395" s="2414">
        <v>-49392</v>
      </c>
      <c r="F395" s="2414">
        <f t="shared" si="16"/>
        <v>-49392</v>
      </c>
      <c r="G395" s="2414">
        <v>0</v>
      </c>
      <c r="H395" s="2414">
        <v>0</v>
      </c>
      <c r="I395" s="2414">
        <v>0</v>
      </c>
      <c r="J395" s="2404" t="s">
        <v>1334</v>
      </c>
    </row>
    <row r="396" spans="1:10" ht="63.75">
      <c r="A396" s="2411">
        <v>287866</v>
      </c>
      <c r="B396" s="2412">
        <v>415.85399999999998</v>
      </c>
      <c r="C396" s="2413" t="s">
        <v>1685</v>
      </c>
      <c r="D396" s="2406"/>
      <c r="E396" s="2414">
        <v>0</v>
      </c>
      <c r="F396" s="2414">
        <f t="shared" si="16"/>
        <v>0</v>
      </c>
      <c r="G396" s="2414">
        <v>0</v>
      </c>
      <c r="H396" s="2414">
        <v>0</v>
      </c>
      <c r="I396" s="2414">
        <v>0</v>
      </c>
      <c r="J396" s="2404" t="s">
        <v>1335</v>
      </c>
    </row>
    <row r="397" spans="1:10" ht="25.5">
      <c r="A397" s="2411">
        <v>287858</v>
      </c>
      <c r="B397" s="2412">
        <v>415.67599999999999</v>
      </c>
      <c r="C397" s="2413" t="s">
        <v>1882</v>
      </c>
      <c r="D397" s="2406"/>
      <c r="E397" s="2414">
        <v>-88600</v>
      </c>
      <c r="F397" s="2414">
        <f t="shared" si="16"/>
        <v>-88600</v>
      </c>
      <c r="G397" s="2414">
        <v>0</v>
      </c>
      <c r="H397" s="2414">
        <v>0</v>
      </c>
      <c r="I397" s="2414">
        <v>0</v>
      </c>
      <c r="J397" s="2404" t="s">
        <v>1883</v>
      </c>
    </row>
    <row r="398" spans="1:10" ht="25.5">
      <c r="A398" s="2411">
        <v>287996</v>
      </c>
      <c r="B398" s="2412">
        <v>415.67500000000001</v>
      </c>
      <c r="C398" s="2413" t="s">
        <v>1884</v>
      </c>
      <c r="D398" s="2406"/>
      <c r="E398" s="2414">
        <v>-257095</v>
      </c>
      <c r="F398" s="2414">
        <f t="shared" si="16"/>
        <v>-257095</v>
      </c>
      <c r="G398" s="2414">
        <v>0</v>
      </c>
      <c r="H398" s="2414">
        <v>0</v>
      </c>
      <c r="I398" s="2414">
        <v>0</v>
      </c>
      <c r="J398" s="2404" t="s">
        <v>1885</v>
      </c>
    </row>
    <row r="399" spans="1:10" ht="25.5" customHeight="1">
      <c r="A399" s="2411">
        <v>287601</v>
      </c>
      <c r="B399" s="2412">
        <v>415.67700000000002</v>
      </c>
      <c r="C399" s="2413" t="s">
        <v>2022</v>
      </c>
      <c r="D399" s="2406"/>
      <c r="E399" s="2414">
        <v>-41276</v>
      </c>
      <c r="F399" s="2414">
        <f t="shared" si="16"/>
        <v>-41276</v>
      </c>
      <c r="G399" s="2414">
        <v>0</v>
      </c>
      <c r="H399" s="2414">
        <v>0</v>
      </c>
      <c r="I399" s="2414">
        <v>0</v>
      </c>
      <c r="J399" s="2405" t="s">
        <v>2021</v>
      </c>
    </row>
    <row r="400" spans="1:10" ht="25.5">
      <c r="A400" s="2411">
        <v>287932</v>
      </c>
      <c r="B400" s="2412">
        <v>415.89400000000001</v>
      </c>
      <c r="C400" s="2413" t="s">
        <v>2020</v>
      </c>
      <c r="D400" s="2406"/>
      <c r="E400" s="2414">
        <v>-18715</v>
      </c>
      <c r="F400" s="2414">
        <f t="shared" si="16"/>
        <v>-18715</v>
      </c>
      <c r="G400" s="2414">
        <v>0</v>
      </c>
      <c r="H400" s="2414">
        <v>0</v>
      </c>
      <c r="I400" s="2414">
        <v>0</v>
      </c>
      <c r="J400" s="2405" t="s">
        <v>2019</v>
      </c>
    </row>
    <row r="401" spans="1:10" ht="38.25">
      <c r="A401" s="2411">
        <v>137313</v>
      </c>
      <c r="B401" s="2412">
        <v>415.90499999999997</v>
      </c>
      <c r="C401" s="2413" t="s">
        <v>1686</v>
      </c>
      <c r="D401" s="2406"/>
      <c r="E401" s="2414">
        <v>0</v>
      </c>
      <c r="F401" s="2414">
        <f t="shared" si="16"/>
        <v>0</v>
      </c>
      <c r="G401" s="2414">
        <v>0</v>
      </c>
      <c r="H401" s="2414">
        <v>0</v>
      </c>
      <c r="I401" s="2414">
        <v>0</v>
      </c>
      <c r="J401" s="2407" t="s">
        <v>1912</v>
      </c>
    </row>
    <row r="402" spans="1:10" ht="38.25">
      <c r="A402" s="2411">
        <v>287978</v>
      </c>
      <c r="B402" s="2412">
        <v>415.90600000000001</v>
      </c>
      <c r="C402" s="2413" t="s">
        <v>1687</v>
      </c>
      <c r="D402" s="2406"/>
      <c r="E402" s="2414">
        <v>0</v>
      </c>
      <c r="F402" s="2414">
        <f t="shared" si="16"/>
        <v>0</v>
      </c>
      <c r="G402" s="2414">
        <v>0</v>
      </c>
      <c r="H402" s="2414">
        <v>0</v>
      </c>
      <c r="I402" s="2414">
        <v>0</v>
      </c>
      <c r="J402" s="2407" t="s">
        <v>1913</v>
      </c>
    </row>
    <row r="403" spans="1:10" ht="41.25" customHeight="1">
      <c r="A403" s="2411">
        <v>137314</v>
      </c>
      <c r="B403" s="2412">
        <v>415.90199999999999</v>
      </c>
      <c r="C403" s="2413" t="s">
        <v>1688</v>
      </c>
      <c r="D403" s="2406"/>
      <c r="E403" s="2414">
        <v>0</v>
      </c>
      <c r="F403" s="2414">
        <f t="shared" si="16"/>
        <v>0</v>
      </c>
      <c r="G403" s="2414">
        <v>0</v>
      </c>
      <c r="H403" s="2414">
        <v>0</v>
      </c>
      <c r="I403" s="2414">
        <v>0</v>
      </c>
      <c r="J403" s="2407" t="s">
        <v>1737</v>
      </c>
    </row>
    <row r="404" spans="1:10" ht="38.25">
      <c r="A404" s="2411">
        <v>287887</v>
      </c>
      <c r="B404" s="2412">
        <v>415.88099999999997</v>
      </c>
      <c r="C404" s="2413" t="s">
        <v>1689</v>
      </c>
      <c r="D404" s="2406"/>
      <c r="E404" s="2414">
        <v>-4309106</v>
      </c>
      <c r="F404" s="2414">
        <f t="shared" si="16"/>
        <v>-4309106</v>
      </c>
      <c r="G404" s="2414">
        <v>0</v>
      </c>
      <c r="H404" s="2414">
        <v>0</v>
      </c>
      <c r="I404" s="2414">
        <v>0</v>
      </c>
      <c r="J404" s="2407" t="s">
        <v>1738</v>
      </c>
    </row>
    <row r="405" spans="1:10" ht="38.25">
      <c r="A405" s="2411">
        <v>137315</v>
      </c>
      <c r="B405" s="2412">
        <v>415.90300000000002</v>
      </c>
      <c r="C405" s="2413" t="s">
        <v>1886</v>
      </c>
      <c r="D405" s="2406"/>
      <c r="E405" s="2414">
        <v>0</v>
      </c>
      <c r="F405" s="2414">
        <f t="shared" si="16"/>
        <v>0</v>
      </c>
      <c r="G405" s="2414">
        <v>0</v>
      </c>
      <c r="H405" s="2414">
        <v>0</v>
      </c>
      <c r="I405" s="2414">
        <v>0</v>
      </c>
      <c r="J405" s="2407" t="s">
        <v>1887</v>
      </c>
    </row>
    <row r="406" spans="1:10" ht="38.25">
      <c r="A406" s="2411">
        <v>287888</v>
      </c>
      <c r="B406" s="2412">
        <v>415.88200000000001</v>
      </c>
      <c r="C406" s="2413" t="s">
        <v>1888</v>
      </c>
      <c r="D406" s="2406"/>
      <c r="E406" s="2414">
        <v>-1203000</v>
      </c>
      <c r="F406" s="2414">
        <f t="shared" si="16"/>
        <v>-1203000</v>
      </c>
      <c r="G406" s="2414">
        <v>0</v>
      </c>
      <c r="H406" s="2414">
        <v>0</v>
      </c>
      <c r="I406" s="2414">
        <v>0</v>
      </c>
      <c r="J406" s="2407" t="s">
        <v>1889</v>
      </c>
    </row>
    <row r="407" spans="1:10" ht="38.25">
      <c r="A407" s="2411">
        <v>137316</v>
      </c>
      <c r="B407" s="2412">
        <v>415.904</v>
      </c>
      <c r="C407" s="2413" t="s">
        <v>1690</v>
      </c>
      <c r="D407" s="2406"/>
      <c r="E407" s="2414">
        <v>0</v>
      </c>
      <c r="F407" s="2414">
        <f t="shared" si="16"/>
        <v>0</v>
      </c>
      <c r="G407" s="2414">
        <v>0</v>
      </c>
      <c r="H407" s="2414">
        <v>0</v>
      </c>
      <c r="I407" s="2414">
        <v>0</v>
      </c>
      <c r="J407" s="2407" t="s">
        <v>1739</v>
      </c>
    </row>
    <row r="408" spans="1:10" ht="38.25">
      <c r="A408" s="2411">
        <v>287889</v>
      </c>
      <c r="B408" s="2412">
        <v>415.88299999999998</v>
      </c>
      <c r="C408" s="2413" t="s">
        <v>1691</v>
      </c>
      <c r="D408" s="2406"/>
      <c r="E408" s="2414">
        <v>-232974</v>
      </c>
      <c r="F408" s="2414">
        <f t="shared" si="16"/>
        <v>-232974</v>
      </c>
      <c r="G408" s="2414">
        <v>0</v>
      </c>
      <c r="H408" s="2414">
        <v>0</v>
      </c>
      <c r="I408" s="2414">
        <v>0</v>
      </c>
      <c r="J408" s="2407" t="s">
        <v>1740</v>
      </c>
    </row>
    <row r="409" spans="1:10" ht="27" customHeight="1">
      <c r="A409" s="2411">
        <v>137323</v>
      </c>
      <c r="B409" s="2412">
        <v>415.90800000000002</v>
      </c>
      <c r="C409" s="2413" t="s">
        <v>1692</v>
      </c>
      <c r="D409" s="2406"/>
      <c r="E409" s="2414">
        <v>0</v>
      </c>
      <c r="F409" s="2414">
        <f t="shared" si="16"/>
        <v>0</v>
      </c>
      <c r="G409" s="2414">
        <v>0</v>
      </c>
      <c r="H409" s="2414">
        <v>0</v>
      </c>
      <c r="I409" s="2414">
        <v>0</v>
      </c>
      <c r="J409" s="2407" t="s">
        <v>1693</v>
      </c>
    </row>
    <row r="410" spans="1:10" ht="37.5" customHeight="1">
      <c r="A410" s="2411">
        <v>287871</v>
      </c>
      <c r="B410" s="2412">
        <v>415.86599999999999</v>
      </c>
      <c r="C410" s="2413" t="s">
        <v>1694</v>
      </c>
      <c r="D410" s="2406"/>
      <c r="E410" s="2414">
        <v>-2025105</v>
      </c>
      <c r="F410" s="2414">
        <f t="shared" si="16"/>
        <v>-2025105</v>
      </c>
      <c r="G410" s="2414">
        <v>0</v>
      </c>
      <c r="H410" s="2414">
        <v>0</v>
      </c>
      <c r="I410" s="2414">
        <v>0</v>
      </c>
      <c r="J410" s="2407" t="s">
        <v>1695</v>
      </c>
    </row>
    <row r="411" spans="1:10" ht="51">
      <c r="A411" s="2411">
        <v>287881</v>
      </c>
      <c r="B411" s="2412">
        <v>415.70499999999998</v>
      </c>
      <c r="C411" s="2413" t="s">
        <v>1696</v>
      </c>
      <c r="D411" s="2406"/>
      <c r="E411" s="2414">
        <v>-1673</v>
      </c>
      <c r="F411" s="2414">
        <f t="shared" si="16"/>
        <v>-1673</v>
      </c>
      <c r="G411" s="2414">
        <v>0</v>
      </c>
      <c r="H411" s="2414">
        <v>0</v>
      </c>
      <c r="I411" s="2414">
        <v>0</v>
      </c>
      <c r="J411" s="2404" t="s">
        <v>1344</v>
      </c>
    </row>
    <row r="412" spans="1:10" ht="27" customHeight="1">
      <c r="A412" s="2411">
        <v>287899</v>
      </c>
      <c r="B412" s="2412">
        <v>415.87799999999999</v>
      </c>
      <c r="C412" s="2413" t="s">
        <v>1697</v>
      </c>
      <c r="D412" s="2406"/>
      <c r="E412" s="2414">
        <v>-239091</v>
      </c>
      <c r="F412" s="2414">
        <f t="shared" si="16"/>
        <v>-239091</v>
      </c>
      <c r="G412" s="2414">
        <v>0</v>
      </c>
      <c r="H412" s="2414">
        <v>0</v>
      </c>
      <c r="I412" s="2414">
        <v>0</v>
      </c>
      <c r="J412" s="2407" t="s">
        <v>1698</v>
      </c>
    </row>
    <row r="413" spans="1:10" ht="38.25">
      <c r="A413" s="2411">
        <v>287878</v>
      </c>
      <c r="B413" s="2412">
        <v>415.40600000000001</v>
      </c>
      <c r="C413" s="2413" t="s">
        <v>1699</v>
      </c>
      <c r="D413" s="2406"/>
      <c r="E413" s="2414">
        <v>0</v>
      </c>
      <c r="F413" s="2414">
        <f t="shared" si="16"/>
        <v>0</v>
      </c>
      <c r="G413" s="2414">
        <v>0</v>
      </c>
      <c r="H413" s="2414">
        <v>0</v>
      </c>
      <c r="I413" s="2414">
        <v>0</v>
      </c>
      <c r="J413" s="2404" t="s">
        <v>1342</v>
      </c>
    </row>
    <row r="414" spans="1:10" ht="12.75">
      <c r="A414" s="2411">
        <v>287906</v>
      </c>
      <c r="B414" s="2412">
        <v>415.863</v>
      </c>
      <c r="C414" s="2413" t="s">
        <v>2018</v>
      </c>
      <c r="D414" s="2406"/>
      <c r="E414" s="2414">
        <v>-8229</v>
      </c>
      <c r="F414" s="2414">
        <f t="shared" si="16"/>
        <v>-8229</v>
      </c>
      <c r="G414" s="2414">
        <v>0</v>
      </c>
      <c r="H414" s="2414">
        <v>0</v>
      </c>
      <c r="I414" s="2414">
        <v>0</v>
      </c>
      <c r="J414" s="2405" t="s">
        <v>2017</v>
      </c>
    </row>
    <row r="415" spans="1:10" ht="25.5">
      <c r="A415" s="2411">
        <v>287639</v>
      </c>
      <c r="B415" s="2412">
        <v>415.51</v>
      </c>
      <c r="C415" s="2413" t="s">
        <v>1700</v>
      </c>
      <c r="D415" s="2406"/>
      <c r="E415" s="2414">
        <v>-100691</v>
      </c>
      <c r="F415" s="2414">
        <f t="shared" si="16"/>
        <v>-100691</v>
      </c>
      <c r="G415" s="2414">
        <v>0</v>
      </c>
      <c r="H415" s="2414">
        <v>0</v>
      </c>
      <c r="I415" s="2414">
        <v>0</v>
      </c>
      <c r="J415" s="2404" t="s">
        <v>1323</v>
      </c>
    </row>
    <row r="416" spans="1:10" ht="63.75">
      <c r="A416" s="2411">
        <v>287872</v>
      </c>
      <c r="B416" s="2412">
        <v>720.84100000000001</v>
      </c>
      <c r="C416" s="2413" t="s">
        <v>1701</v>
      </c>
      <c r="D416" s="2406"/>
      <c r="E416" s="2414">
        <v>0</v>
      </c>
      <c r="F416" s="2414">
        <f t="shared" si="16"/>
        <v>0</v>
      </c>
      <c r="G416" s="2414">
        <v>0</v>
      </c>
      <c r="H416" s="2414">
        <v>0</v>
      </c>
      <c r="I416" s="2414">
        <v>0</v>
      </c>
      <c r="J416" s="2404" t="s">
        <v>1337</v>
      </c>
    </row>
    <row r="417" spans="1:10" ht="63.75">
      <c r="A417" s="2411">
        <v>287873</v>
      </c>
      <c r="B417" s="2412">
        <v>720.84199999999998</v>
      </c>
      <c r="C417" s="2413" t="s">
        <v>1702</v>
      </c>
      <c r="D417" s="2406"/>
      <c r="E417" s="2414">
        <v>0</v>
      </c>
      <c r="F417" s="2414">
        <f t="shared" si="16"/>
        <v>0</v>
      </c>
      <c r="G417" s="2414">
        <v>0</v>
      </c>
      <c r="H417" s="2414">
        <v>0</v>
      </c>
      <c r="I417" s="2414">
        <v>0</v>
      </c>
      <c r="J417" s="2404" t="s">
        <v>1338</v>
      </c>
    </row>
    <row r="418" spans="1:10" ht="38.25">
      <c r="A418" s="2411">
        <v>287857</v>
      </c>
      <c r="B418" s="2412">
        <v>415.54500000000002</v>
      </c>
      <c r="C418" s="2413" t="s">
        <v>2016</v>
      </c>
      <c r="D418" s="2406"/>
      <c r="E418" s="2414">
        <v>-61703</v>
      </c>
      <c r="F418" s="2414">
        <f t="shared" si="16"/>
        <v>-61703</v>
      </c>
      <c r="G418" s="2414">
        <v>0</v>
      </c>
      <c r="H418" s="2414">
        <v>0</v>
      </c>
      <c r="I418" s="2414">
        <v>0</v>
      </c>
      <c r="J418" s="2405" t="s">
        <v>2117</v>
      </c>
    </row>
    <row r="419" spans="1:10" ht="63.75">
      <c r="A419" s="2411">
        <v>287874</v>
      </c>
      <c r="B419" s="2412">
        <v>720.84299999999996</v>
      </c>
      <c r="C419" s="2413" t="s">
        <v>1703</v>
      </c>
      <c r="D419" s="2406"/>
      <c r="E419" s="2414">
        <v>-678813</v>
      </c>
      <c r="F419" s="2414">
        <f t="shared" si="16"/>
        <v>-678813</v>
      </c>
      <c r="G419" s="2414">
        <v>0</v>
      </c>
      <c r="H419" s="2414">
        <v>0</v>
      </c>
      <c r="I419" s="2414">
        <v>0</v>
      </c>
      <c r="J419" s="2404" t="s">
        <v>1339</v>
      </c>
    </row>
    <row r="420" spans="1:10" ht="63.75">
      <c r="A420" s="2411">
        <v>287875</v>
      </c>
      <c r="B420" s="2412">
        <v>720.84400000000005</v>
      </c>
      <c r="C420" s="2413" t="s">
        <v>1704</v>
      </c>
      <c r="D420" s="2406"/>
      <c r="E420" s="2414">
        <v>0</v>
      </c>
      <c r="F420" s="2414">
        <f t="shared" si="16"/>
        <v>0</v>
      </c>
      <c r="G420" s="2414">
        <v>0</v>
      </c>
      <c r="H420" s="2414">
        <v>0</v>
      </c>
      <c r="I420" s="2414">
        <v>0</v>
      </c>
      <c r="J420" s="2404" t="s">
        <v>1340</v>
      </c>
    </row>
    <row r="421" spans="1:10" ht="63.75">
      <c r="A421" s="2411">
        <v>287877</v>
      </c>
      <c r="B421" s="2412">
        <v>720.846</v>
      </c>
      <c r="C421" s="2413" t="s">
        <v>1705</v>
      </c>
      <c r="D421" s="2406"/>
      <c r="E421" s="2414">
        <v>0</v>
      </c>
      <c r="F421" s="2414">
        <f t="shared" si="16"/>
        <v>0</v>
      </c>
      <c r="G421" s="2414">
        <v>0</v>
      </c>
      <c r="H421" s="2414">
        <v>0</v>
      </c>
      <c r="I421" s="2414">
        <v>0</v>
      </c>
      <c r="J421" s="2404" t="s">
        <v>1341</v>
      </c>
    </row>
    <row r="422" spans="1:10" ht="25.5">
      <c r="A422" s="2411">
        <v>287918</v>
      </c>
      <c r="B422" s="2412">
        <v>705.4</v>
      </c>
      <c r="C422" s="2413" t="s">
        <v>1706</v>
      </c>
      <c r="D422" s="2406"/>
      <c r="E422" s="2414">
        <v>0</v>
      </c>
      <c r="F422" s="2414">
        <f t="shared" si="16"/>
        <v>0</v>
      </c>
      <c r="G422" s="2414">
        <v>0</v>
      </c>
      <c r="H422" s="2414">
        <v>0</v>
      </c>
      <c r="I422" s="2414">
        <v>0</v>
      </c>
      <c r="J422" s="2404" t="s">
        <v>1219</v>
      </c>
    </row>
    <row r="423" spans="1:10" ht="25.5">
      <c r="A423" s="2411">
        <v>287848</v>
      </c>
      <c r="B423" s="2412">
        <v>320.28100000000001</v>
      </c>
      <c r="C423" s="2413" t="s">
        <v>2015</v>
      </c>
      <c r="D423" s="2406"/>
      <c r="E423" s="2414">
        <v>-2859935</v>
      </c>
      <c r="F423" s="2414">
        <f t="shared" si="16"/>
        <v>-2859935</v>
      </c>
      <c r="G423" s="2414">
        <v>0</v>
      </c>
      <c r="H423" s="2414">
        <v>0</v>
      </c>
      <c r="I423" s="2414">
        <v>0</v>
      </c>
      <c r="J423" s="2405" t="s">
        <v>2014</v>
      </c>
    </row>
    <row r="424" spans="1:10" ht="38.25">
      <c r="A424" s="2411">
        <v>287933</v>
      </c>
      <c r="B424" s="2412">
        <v>320.28199999999998</v>
      </c>
      <c r="C424" s="2413" t="s">
        <v>2013</v>
      </c>
      <c r="D424" s="2406"/>
      <c r="E424" s="2414">
        <v>-82356</v>
      </c>
      <c r="F424" s="2414">
        <f t="shared" si="16"/>
        <v>-82356</v>
      </c>
      <c r="G424" s="2414">
        <v>0</v>
      </c>
      <c r="H424" s="2414">
        <v>0</v>
      </c>
      <c r="I424" s="2414">
        <v>0</v>
      </c>
      <c r="J424" s="2405" t="s">
        <v>2118</v>
      </c>
    </row>
    <row r="425" spans="1:10" ht="39.75" customHeight="1">
      <c r="A425" s="2411">
        <v>287934</v>
      </c>
      <c r="B425" s="2412">
        <v>320.28300000000002</v>
      </c>
      <c r="C425" s="2413" t="s">
        <v>2012</v>
      </c>
      <c r="D425" s="2406"/>
      <c r="E425" s="2414">
        <v>-33768</v>
      </c>
      <c r="F425" s="2414">
        <f t="shared" si="16"/>
        <v>-33768</v>
      </c>
      <c r="G425" s="2414">
        <v>0</v>
      </c>
      <c r="H425" s="2414">
        <v>0</v>
      </c>
      <c r="I425" s="2414">
        <v>0</v>
      </c>
      <c r="J425" s="2405" t="s">
        <v>2011</v>
      </c>
    </row>
    <row r="426" spans="1:10" ht="24.75" customHeight="1">
      <c r="A426" s="2411">
        <v>287917</v>
      </c>
      <c r="B426" s="2412">
        <v>705.45100000000002</v>
      </c>
      <c r="C426" s="2413" t="s">
        <v>1707</v>
      </c>
      <c r="D426" s="2406"/>
      <c r="E426" s="2414">
        <v>-180148</v>
      </c>
      <c r="F426" s="2414">
        <f t="shared" si="16"/>
        <v>-180148</v>
      </c>
      <c r="G426" s="2414">
        <v>0</v>
      </c>
      <c r="H426" s="2414">
        <v>0</v>
      </c>
      <c r="I426" s="2414">
        <v>0</v>
      </c>
      <c r="J426" s="2404" t="s">
        <v>1220</v>
      </c>
    </row>
    <row r="427" spans="1:10" ht="38.25" customHeight="1">
      <c r="A427" s="2411">
        <v>287916</v>
      </c>
      <c r="B427" s="2412">
        <v>705.45500000000004</v>
      </c>
      <c r="C427" s="2413" t="s">
        <v>1708</v>
      </c>
      <c r="D427" s="2406"/>
      <c r="E427" s="2414">
        <v>-46513</v>
      </c>
      <c r="F427" s="2414">
        <f t="shared" si="16"/>
        <v>-46513</v>
      </c>
      <c r="G427" s="2414">
        <v>0</v>
      </c>
      <c r="H427" s="2414">
        <v>0</v>
      </c>
      <c r="I427" s="2414">
        <v>0</v>
      </c>
      <c r="J427" s="2404" t="s">
        <v>1223</v>
      </c>
    </row>
    <row r="428" spans="1:10" ht="38.25">
      <c r="A428" s="2411">
        <v>287649</v>
      </c>
      <c r="B428" s="2412">
        <v>730.17</v>
      </c>
      <c r="C428" s="2413" t="s">
        <v>1709</v>
      </c>
      <c r="D428" s="2406"/>
      <c r="E428" s="2414">
        <v>-50301132</v>
      </c>
      <c r="F428" s="2414">
        <f t="shared" si="16"/>
        <v>-50301132</v>
      </c>
      <c r="G428" s="2414">
        <v>0</v>
      </c>
      <c r="H428" s="2414">
        <v>0</v>
      </c>
      <c r="I428" s="2414">
        <v>0</v>
      </c>
      <c r="J428" s="2404" t="s">
        <v>1327</v>
      </c>
    </row>
    <row r="429" spans="1:10" ht="25.5">
      <c r="A429" s="2411">
        <v>287886</v>
      </c>
      <c r="B429" s="2412">
        <v>415.83699999999999</v>
      </c>
      <c r="C429" s="2413" t="s">
        <v>1710</v>
      </c>
      <c r="D429" s="2406"/>
      <c r="E429" s="2414">
        <v>-41773405</v>
      </c>
      <c r="F429" s="2414">
        <f t="shared" si="16"/>
        <v>-41773405</v>
      </c>
      <c r="G429" s="2414">
        <v>0</v>
      </c>
      <c r="H429" s="2414">
        <v>0</v>
      </c>
      <c r="I429" s="2414">
        <v>0</v>
      </c>
      <c r="J429" s="2404" t="s">
        <v>1345</v>
      </c>
    </row>
    <row r="430" spans="1:10" ht="12.75">
      <c r="A430" s="2435" t="s">
        <v>1711</v>
      </c>
      <c r="B430" s="2412"/>
      <c r="C430" s="2413"/>
      <c r="D430" s="2406"/>
      <c r="E430" s="2414"/>
      <c r="F430" s="2436"/>
      <c r="G430" s="2436"/>
      <c r="H430" s="2436"/>
      <c r="I430" s="2436"/>
      <c r="J430" s="2404"/>
    </row>
    <row r="431" spans="1:10" ht="41.25" customHeight="1">
      <c r="A431" s="2437">
        <v>287995</v>
      </c>
      <c r="B431" s="2412">
        <v>720.55</v>
      </c>
      <c r="C431" s="2413" t="s">
        <v>557</v>
      </c>
      <c r="D431" s="2406"/>
      <c r="E431" s="2414">
        <v>0</v>
      </c>
      <c r="F431" s="2414">
        <v>0</v>
      </c>
      <c r="G431" s="2414">
        <v>0</v>
      </c>
      <c r="H431" s="2414">
        <v>0</v>
      </c>
      <c r="I431" s="2414">
        <f>E431</f>
        <v>0</v>
      </c>
      <c r="J431" s="2404" t="s">
        <v>1890</v>
      </c>
    </row>
    <row r="432" spans="1:10" ht="27" customHeight="1">
      <c r="A432" s="2411">
        <v>287891</v>
      </c>
      <c r="B432" s="2412">
        <v>505.18</v>
      </c>
      <c r="C432" s="2413" t="s">
        <v>573</v>
      </c>
      <c r="D432" s="2406"/>
      <c r="E432" s="2414">
        <v>0</v>
      </c>
      <c r="F432" s="2414">
        <f t="shared" ref="F432:F438" si="17">E432</f>
        <v>0</v>
      </c>
      <c r="G432" s="2414">
        <v>0</v>
      </c>
      <c r="H432" s="2414">
        <v>0</v>
      </c>
      <c r="I432" s="2414">
        <v>0</v>
      </c>
      <c r="J432" s="2404" t="s">
        <v>1891</v>
      </c>
    </row>
    <row r="433" spans="1:10" ht="25.5">
      <c r="A433" s="2411">
        <v>287650</v>
      </c>
      <c r="B433" s="2412">
        <v>205.1</v>
      </c>
      <c r="C433" s="2413" t="s">
        <v>572</v>
      </c>
      <c r="D433" s="2406"/>
      <c r="E433" s="2414">
        <v>-473638</v>
      </c>
      <c r="F433" s="2414">
        <f t="shared" si="17"/>
        <v>-473638</v>
      </c>
      <c r="G433" s="2414">
        <v>0</v>
      </c>
      <c r="H433" s="2414">
        <v>0</v>
      </c>
      <c r="I433" s="2414">
        <v>0</v>
      </c>
      <c r="J433" s="2404" t="s">
        <v>1914</v>
      </c>
    </row>
    <row r="434" spans="1:10" ht="38.25">
      <c r="A434" s="2411">
        <v>287879</v>
      </c>
      <c r="B434" s="2412">
        <v>415.89800000000002</v>
      </c>
      <c r="C434" s="2413" t="s">
        <v>591</v>
      </c>
      <c r="D434" s="2406"/>
      <c r="E434" s="2414">
        <v>-522265</v>
      </c>
      <c r="F434" s="2414">
        <f t="shared" si="17"/>
        <v>-522265</v>
      </c>
      <c r="G434" s="2414">
        <v>0</v>
      </c>
      <c r="H434" s="2414">
        <v>0</v>
      </c>
      <c r="I434" s="2414">
        <v>0</v>
      </c>
      <c r="J434" s="2404" t="s">
        <v>1343</v>
      </c>
    </row>
    <row r="435" spans="1:10" ht="12.75">
      <c r="A435" s="2411">
        <v>287460</v>
      </c>
      <c r="B435" s="2412">
        <v>720.8</v>
      </c>
      <c r="C435" s="2413" t="s">
        <v>558</v>
      </c>
      <c r="D435" s="2406"/>
      <c r="E435" s="2414">
        <v>0</v>
      </c>
      <c r="F435" s="2414">
        <f t="shared" si="17"/>
        <v>0</v>
      </c>
      <c r="G435" s="2414">
        <v>0</v>
      </c>
      <c r="H435" s="2414">
        <v>0</v>
      </c>
      <c r="I435" s="2414">
        <v>0</v>
      </c>
      <c r="J435" s="2404" t="s">
        <v>1214</v>
      </c>
    </row>
    <row r="436" spans="1:10" ht="51">
      <c r="A436" s="2411">
        <v>287661</v>
      </c>
      <c r="B436" s="2412">
        <v>425.36</v>
      </c>
      <c r="C436" s="2413" t="s">
        <v>594</v>
      </c>
      <c r="D436" s="2406"/>
      <c r="E436" s="2414">
        <v>-1341196</v>
      </c>
      <c r="F436" s="2414">
        <f t="shared" si="17"/>
        <v>-1341196</v>
      </c>
      <c r="G436" s="2414">
        <v>0</v>
      </c>
      <c r="H436" s="2414">
        <v>0</v>
      </c>
      <c r="I436" s="2414">
        <v>0</v>
      </c>
      <c r="J436" s="2404" t="s">
        <v>1350</v>
      </c>
    </row>
    <row r="437" spans="1:10" ht="28.5" customHeight="1">
      <c r="A437" s="2411">
        <v>287750</v>
      </c>
      <c r="B437" s="2412">
        <v>425.31</v>
      </c>
      <c r="C437" s="2413" t="s">
        <v>1357</v>
      </c>
      <c r="D437" s="2406"/>
      <c r="E437" s="2414">
        <v>0</v>
      </c>
      <c r="F437" s="2414">
        <f t="shared" si="17"/>
        <v>0</v>
      </c>
      <c r="G437" s="2414">
        <v>0</v>
      </c>
      <c r="H437" s="2414">
        <v>0</v>
      </c>
      <c r="I437" s="2414">
        <v>0</v>
      </c>
      <c r="J437" s="2404" t="s">
        <v>1892</v>
      </c>
    </row>
    <row r="438" spans="1:10" ht="39" customHeight="1">
      <c r="A438" s="2411">
        <v>287656</v>
      </c>
      <c r="B438" s="2412">
        <v>425.28</v>
      </c>
      <c r="C438" s="2413" t="s">
        <v>593</v>
      </c>
      <c r="D438" s="2406"/>
      <c r="E438" s="2414">
        <v>-108620</v>
      </c>
      <c r="F438" s="2414">
        <f t="shared" si="17"/>
        <v>-108620</v>
      </c>
      <c r="G438" s="2414">
        <v>0</v>
      </c>
      <c r="H438" s="2414">
        <v>0</v>
      </c>
      <c r="I438" s="2414">
        <v>0</v>
      </c>
      <c r="J438" s="2404" t="s">
        <v>1349</v>
      </c>
    </row>
    <row r="439" spans="1:10" ht="25.5">
      <c r="A439" s="2411">
        <v>287967</v>
      </c>
      <c r="B439" s="2412">
        <v>320.29000000000002</v>
      </c>
      <c r="C439" s="2413" t="s">
        <v>1712</v>
      </c>
      <c r="D439" s="2406"/>
      <c r="E439" s="2414">
        <v>-322659</v>
      </c>
      <c r="F439" s="2414">
        <v>0</v>
      </c>
      <c r="G439" s="2414">
        <v>0</v>
      </c>
      <c r="H439" s="2414">
        <v>0</v>
      </c>
      <c r="I439" s="2414">
        <f>E439</f>
        <v>-322659</v>
      </c>
      <c r="J439" s="2404" t="s">
        <v>1364</v>
      </c>
    </row>
    <row r="440" spans="1:10" ht="38.25">
      <c r="A440" s="2411">
        <v>287609</v>
      </c>
      <c r="B440" s="2412">
        <v>105.241</v>
      </c>
      <c r="C440" s="2413" t="s">
        <v>1713</v>
      </c>
      <c r="D440" s="2406"/>
      <c r="E440" s="2414">
        <v>0</v>
      </c>
      <c r="F440" s="2414">
        <f t="shared" ref="F440:F446" si="18">E440</f>
        <v>0</v>
      </c>
      <c r="G440" s="2414">
        <v>0</v>
      </c>
      <c r="H440" s="2414">
        <v>0</v>
      </c>
      <c r="I440" s="2414">
        <v>0</v>
      </c>
      <c r="J440" s="2404" t="s">
        <v>1360</v>
      </c>
    </row>
    <row r="441" spans="1:10" ht="25.5">
      <c r="A441" s="2411">
        <v>137507</v>
      </c>
      <c r="B441" s="2412">
        <v>210.185</v>
      </c>
      <c r="C441" s="2413" t="s">
        <v>1714</v>
      </c>
      <c r="D441" s="2406"/>
      <c r="E441" s="2414">
        <v>0</v>
      </c>
      <c r="F441" s="2414">
        <f t="shared" si="18"/>
        <v>0</v>
      </c>
      <c r="G441" s="2414">
        <v>0</v>
      </c>
      <c r="H441" s="2414">
        <v>0</v>
      </c>
      <c r="I441" s="2414">
        <v>0</v>
      </c>
      <c r="J441" s="2405" t="s">
        <v>1715</v>
      </c>
    </row>
    <row r="442" spans="1:10" ht="25.5">
      <c r="A442" s="2411">
        <v>137512</v>
      </c>
      <c r="B442" s="2412">
        <v>320.291</v>
      </c>
      <c r="C442" s="2413" t="s">
        <v>1893</v>
      </c>
      <c r="D442" s="2406"/>
      <c r="E442" s="2414">
        <v>0</v>
      </c>
      <c r="F442" s="2414">
        <v>0</v>
      </c>
      <c r="G442" s="2414">
        <v>0</v>
      </c>
      <c r="H442" s="2414">
        <v>0</v>
      </c>
      <c r="I442" s="2414">
        <f>E442</f>
        <v>0</v>
      </c>
      <c r="J442" s="2407" t="s">
        <v>1894</v>
      </c>
    </row>
    <row r="443" spans="1:10" ht="25.5">
      <c r="A443" s="2411">
        <v>287669</v>
      </c>
      <c r="B443" s="2412">
        <v>210.18</v>
      </c>
      <c r="C443" s="2413" t="s">
        <v>598</v>
      </c>
      <c r="D443" s="2406"/>
      <c r="E443" s="2414">
        <v>-2804352</v>
      </c>
      <c r="F443" s="2414">
        <f t="shared" si="18"/>
        <v>-2804352</v>
      </c>
      <c r="G443" s="2414">
        <v>0</v>
      </c>
      <c r="H443" s="2414">
        <v>0</v>
      </c>
      <c r="I443" s="2414">
        <v>0</v>
      </c>
      <c r="J443" s="2404" t="s">
        <v>1354</v>
      </c>
    </row>
    <row r="444" spans="1:10" ht="37.5" customHeight="1">
      <c r="A444" s="2411">
        <v>287909</v>
      </c>
      <c r="B444" s="2412">
        <v>210.19499999999999</v>
      </c>
      <c r="C444" s="2413" t="s">
        <v>1484</v>
      </c>
      <c r="D444" s="2406"/>
      <c r="E444" s="2414">
        <v>-60245</v>
      </c>
      <c r="F444" s="2414">
        <f t="shared" si="18"/>
        <v>-60245</v>
      </c>
      <c r="G444" s="2414">
        <v>0</v>
      </c>
      <c r="H444" s="2414">
        <v>0</v>
      </c>
      <c r="I444" s="2414">
        <v>0</v>
      </c>
      <c r="J444" s="2405" t="s">
        <v>2126</v>
      </c>
    </row>
    <row r="445" spans="1:10" ht="25.5">
      <c r="A445" s="2411">
        <v>287665</v>
      </c>
      <c r="B445" s="2412">
        <v>210.13</v>
      </c>
      <c r="C445" s="2413" t="s">
        <v>597</v>
      </c>
      <c r="D445" s="2406"/>
      <c r="E445" s="2414">
        <v>-132523</v>
      </c>
      <c r="F445" s="2414">
        <f t="shared" si="18"/>
        <v>-132523</v>
      </c>
      <c r="G445" s="2414">
        <v>0</v>
      </c>
      <c r="H445" s="2414">
        <v>0</v>
      </c>
      <c r="I445" s="2414">
        <v>0</v>
      </c>
      <c r="J445" s="2404" t="s">
        <v>1353</v>
      </c>
    </row>
    <row r="446" spans="1:10" ht="25.5">
      <c r="A446" s="2411">
        <v>287662</v>
      </c>
      <c r="B446" s="2412">
        <v>210.1</v>
      </c>
      <c r="C446" s="2413" t="s">
        <v>595</v>
      </c>
      <c r="D446" s="2406"/>
      <c r="E446" s="2414">
        <v>-332528</v>
      </c>
      <c r="F446" s="2414">
        <f t="shared" si="18"/>
        <v>-332528</v>
      </c>
      <c r="G446" s="2414">
        <v>0</v>
      </c>
      <c r="H446" s="2414">
        <v>0</v>
      </c>
      <c r="I446" s="2414">
        <v>0</v>
      </c>
      <c r="J446" s="2404" t="s">
        <v>1351</v>
      </c>
    </row>
    <row r="447" spans="1:10" ht="25.5">
      <c r="A447" s="2411">
        <v>287708</v>
      </c>
      <c r="B447" s="2412">
        <v>210.2</v>
      </c>
      <c r="C447" s="2413" t="s">
        <v>599</v>
      </c>
      <c r="D447" s="2406"/>
      <c r="E447" s="2414">
        <v>-8370903</v>
      </c>
      <c r="F447" s="2414">
        <v>0</v>
      </c>
      <c r="G447" s="2414">
        <v>0</v>
      </c>
      <c r="H447" s="2414">
        <f>E447</f>
        <v>-8370903</v>
      </c>
      <c r="I447" s="2414">
        <v>0</v>
      </c>
      <c r="J447" s="2404" t="s">
        <v>1356</v>
      </c>
    </row>
    <row r="448" spans="1:10" ht="25.5">
      <c r="A448" s="2411">
        <v>287664</v>
      </c>
      <c r="B448" s="2412">
        <v>210.12</v>
      </c>
      <c r="C448" s="2413" t="s">
        <v>596</v>
      </c>
      <c r="D448" s="2406"/>
      <c r="E448" s="2414">
        <v>-1033503</v>
      </c>
      <c r="F448" s="2414">
        <f>E448</f>
        <v>-1033503</v>
      </c>
      <c r="G448" s="2414">
        <v>0</v>
      </c>
      <c r="H448" s="2414">
        <v>0</v>
      </c>
      <c r="I448" s="2414">
        <v>0</v>
      </c>
      <c r="J448" s="2404" t="s">
        <v>1352</v>
      </c>
    </row>
    <row r="449" spans="1:11" ht="25.5">
      <c r="A449" s="2411">
        <v>287908</v>
      </c>
      <c r="B449" s="2412">
        <v>210.19</v>
      </c>
      <c r="C449" s="2413" t="s">
        <v>1895</v>
      </c>
      <c r="D449" s="2406"/>
      <c r="E449" s="2414">
        <v>-320247</v>
      </c>
      <c r="F449" s="2414">
        <f>E449</f>
        <v>-320247</v>
      </c>
      <c r="G449" s="2414">
        <v>0</v>
      </c>
      <c r="H449" s="2414">
        <v>0</v>
      </c>
      <c r="I449" s="2414">
        <v>0</v>
      </c>
      <c r="J449" s="2405" t="s">
        <v>2010</v>
      </c>
    </row>
    <row r="450" spans="1:11" ht="63.75">
      <c r="A450" s="2411">
        <v>287927</v>
      </c>
      <c r="B450" s="2412">
        <v>100.11</v>
      </c>
      <c r="C450" s="2413" t="s">
        <v>1897</v>
      </c>
      <c r="D450" s="2406"/>
      <c r="E450" s="2414">
        <v>-29881</v>
      </c>
      <c r="F450" s="2414">
        <f>E450</f>
        <v>-29881</v>
      </c>
      <c r="G450" s="2414">
        <v>0</v>
      </c>
      <c r="H450" s="2414">
        <v>0</v>
      </c>
      <c r="I450" s="2414">
        <v>0</v>
      </c>
      <c r="J450" s="2404" t="s">
        <v>2130</v>
      </c>
    </row>
    <row r="451" spans="1:11" ht="40.5" customHeight="1">
      <c r="A451" s="2411">
        <v>287653</v>
      </c>
      <c r="B451" s="2412">
        <v>425.25</v>
      </c>
      <c r="C451" s="2413" t="s">
        <v>592</v>
      </c>
      <c r="D451" s="2406"/>
      <c r="E451" s="2414">
        <v>-23980</v>
      </c>
      <c r="F451" s="2414">
        <f>E451</f>
        <v>-23980</v>
      </c>
      <c r="G451" s="2414">
        <v>0</v>
      </c>
      <c r="H451" s="2414">
        <v>0</v>
      </c>
      <c r="I451" s="2414">
        <v>0</v>
      </c>
      <c r="J451" s="2404" t="s">
        <v>1349</v>
      </c>
    </row>
    <row r="452" spans="1:11" ht="25.5">
      <c r="A452" s="2411">
        <v>287770</v>
      </c>
      <c r="B452" s="2412">
        <v>120.205</v>
      </c>
      <c r="C452" s="2413" t="s">
        <v>600</v>
      </c>
      <c r="D452" s="2406"/>
      <c r="E452" s="2414">
        <v>-1469056</v>
      </c>
      <c r="F452" s="2414">
        <f>E452</f>
        <v>-1469056</v>
      </c>
      <c r="G452" s="2414">
        <v>0</v>
      </c>
      <c r="H452" s="2414">
        <v>0</v>
      </c>
      <c r="I452" s="2414">
        <v>0</v>
      </c>
      <c r="J452" s="2404" t="s">
        <v>1358</v>
      </c>
    </row>
    <row r="453" spans="1:11" ht="25.5">
      <c r="A453" s="2411">
        <v>287859</v>
      </c>
      <c r="B453" s="2412">
        <v>910.93499999999995</v>
      </c>
      <c r="C453" s="2413" t="s">
        <v>601</v>
      </c>
      <c r="D453" s="2406"/>
      <c r="E453" s="2414">
        <v>-233496</v>
      </c>
      <c r="F453" s="2414">
        <v>0</v>
      </c>
      <c r="G453" s="2414">
        <v>0</v>
      </c>
      <c r="H453" s="2414">
        <v>0</v>
      </c>
      <c r="I453" s="2414">
        <f>E453</f>
        <v>-233496</v>
      </c>
      <c r="J453" s="2404" t="s">
        <v>1359</v>
      </c>
    </row>
    <row r="454" spans="1:11" ht="25.5">
      <c r="A454" s="2411">
        <v>287965</v>
      </c>
      <c r="B454" s="2412">
        <v>415.83600000000001</v>
      </c>
      <c r="C454" s="2413" t="s">
        <v>1362</v>
      </c>
      <c r="D454" s="2406"/>
      <c r="E454" s="2414">
        <v>-49948</v>
      </c>
      <c r="F454" s="2414">
        <f>E454</f>
        <v>-49948</v>
      </c>
      <c r="G454" s="2414">
        <v>0</v>
      </c>
      <c r="H454" s="2414">
        <v>0</v>
      </c>
      <c r="I454" s="2414">
        <v>0</v>
      </c>
      <c r="J454" s="2404" t="s">
        <v>1363</v>
      </c>
    </row>
    <row r="455" spans="1:11" ht="25.5">
      <c r="A455" s="2411">
        <v>287966</v>
      </c>
      <c r="B455" s="2412">
        <v>415.834</v>
      </c>
      <c r="C455" s="2413" t="s">
        <v>1716</v>
      </c>
      <c r="D455" s="2406"/>
      <c r="E455" s="2414">
        <v>0</v>
      </c>
      <c r="F455" s="2414">
        <f>E455</f>
        <v>0</v>
      </c>
      <c r="G455" s="2414">
        <v>0</v>
      </c>
      <c r="H455" s="2414">
        <v>0</v>
      </c>
      <c r="I455" s="2414">
        <v>0</v>
      </c>
      <c r="J455" s="2404" t="s">
        <v>1363</v>
      </c>
    </row>
    <row r="456" spans="1:11" ht="25.5">
      <c r="A456" s="2411">
        <v>287492</v>
      </c>
      <c r="B456" s="2412" t="s">
        <v>565</v>
      </c>
      <c r="C456" s="2413" t="s">
        <v>1717</v>
      </c>
      <c r="D456" s="2406"/>
      <c r="E456" s="2414">
        <v>-293220</v>
      </c>
      <c r="F456" s="2414">
        <f>E456</f>
        <v>-293220</v>
      </c>
      <c r="G456" s="2414">
        <v>0</v>
      </c>
      <c r="H456" s="2414">
        <v>0</v>
      </c>
      <c r="I456" s="2414">
        <v>0</v>
      </c>
      <c r="J456" s="2405" t="s">
        <v>1741</v>
      </c>
    </row>
    <row r="457" spans="1:11" ht="12.75">
      <c r="A457" s="2438"/>
      <c r="B457" s="2439"/>
      <c r="C457" s="2439"/>
      <c r="D457" s="1924"/>
      <c r="E457" s="2283"/>
      <c r="F457" s="2283"/>
      <c r="G457" s="2283"/>
      <c r="H457" s="2283"/>
      <c r="I457" s="2283"/>
      <c r="J457" s="1925"/>
      <c r="K457" s="437"/>
    </row>
    <row r="458" spans="1:11" ht="12.75">
      <c r="A458" s="2440"/>
      <c r="B458" s="2441"/>
      <c r="C458" s="2442"/>
      <c r="D458" s="926"/>
      <c r="E458" s="2283"/>
      <c r="F458" s="2283"/>
      <c r="G458" s="2283"/>
      <c r="H458" s="2283"/>
      <c r="I458" s="2283"/>
      <c r="J458" s="1926"/>
      <c r="K458" s="437"/>
    </row>
    <row r="459" spans="1:11" ht="12.75">
      <c r="A459" s="2440"/>
      <c r="B459" s="2443"/>
      <c r="C459" s="2444"/>
      <c r="D459" s="1927"/>
      <c r="E459" s="2283"/>
      <c r="F459" s="2283"/>
      <c r="G459" s="2283"/>
      <c r="H459" s="2283"/>
      <c r="I459" s="2283"/>
      <c r="J459" s="1854"/>
      <c r="K459" s="437"/>
    </row>
    <row r="460" spans="1:11" s="1347" customFormat="1" ht="12.75">
      <c r="A460" s="2560" t="s">
        <v>439</v>
      </c>
      <c r="B460" s="2561"/>
      <c r="C460" s="2561"/>
      <c r="D460" s="2445"/>
      <c r="E460" s="2283">
        <v>0</v>
      </c>
      <c r="F460" s="2283">
        <v>0</v>
      </c>
      <c r="G460" s="2283"/>
      <c r="H460" s="2283"/>
      <c r="I460" s="2283"/>
      <c r="J460" s="1929"/>
    </row>
    <row r="461" spans="1:11" s="1390" customFormat="1" ht="12.75">
      <c r="A461" s="2433" t="s">
        <v>322</v>
      </c>
      <c r="B461" s="2434"/>
      <c r="C461" s="2423"/>
      <c r="D461" s="2424"/>
      <c r="E461" s="2425">
        <f>SUBTOTAL(9,E319:E460)</f>
        <v>-657526736</v>
      </c>
      <c r="F461" s="2425">
        <f>SUBTOTAL(9,F319:F460)</f>
        <v>-647302808</v>
      </c>
      <c r="G461" s="2425">
        <f>SUBTOTAL(9,G319:G460)</f>
        <v>0</v>
      </c>
      <c r="H461" s="2425">
        <f>SUBTOTAL(9,H319:H460)</f>
        <v>-8370903</v>
      </c>
      <c r="I461" s="2425">
        <f>SUBTOTAL(9,I319:I460)</f>
        <v>-1853025</v>
      </c>
      <c r="J461" s="2428"/>
      <c r="K461" s="1389"/>
    </row>
    <row r="462" spans="1:11" s="1390" customFormat="1" ht="12.75">
      <c r="A462" s="2433" t="s">
        <v>198</v>
      </c>
      <c r="B462" s="2434"/>
      <c r="C462" s="2423"/>
      <c r="D462" s="2424"/>
      <c r="E462" s="2446">
        <f>+E365+E450</f>
        <v>-165826420</v>
      </c>
      <c r="F462" s="2446">
        <f t="shared" ref="F462:I462" si="19">+F365+F450</f>
        <v>-165826420</v>
      </c>
      <c r="G462" s="2446">
        <f t="shared" si="19"/>
        <v>0</v>
      </c>
      <c r="H462" s="2446">
        <f t="shared" si="19"/>
        <v>0</v>
      </c>
      <c r="I462" s="2446">
        <f t="shared" si="19"/>
        <v>0</v>
      </c>
      <c r="J462" s="2428"/>
      <c r="K462" s="1389"/>
    </row>
    <row r="463" spans="1:11" s="1390" customFormat="1" ht="12.75">
      <c r="A463" s="2433" t="s">
        <v>199</v>
      </c>
      <c r="B463" s="2434"/>
      <c r="C463" s="2423"/>
      <c r="D463" s="2424"/>
      <c r="E463" s="2446">
        <v>0</v>
      </c>
      <c r="F463" s="2446">
        <v>0</v>
      </c>
      <c r="G463" s="2446">
        <v>0</v>
      </c>
      <c r="H463" s="2446">
        <v>0</v>
      </c>
      <c r="I463" s="2446">
        <v>0</v>
      </c>
      <c r="J463" s="2428"/>
      <c r="K463" s="1389"/>
    </row>
    <row r="464" spans="1:11" s="1390" customFormat="1" ht="12.75">
      <c r="A464" s="2447" t="s">
        <v>282</v>
      </c>
      <c r="B464" s="2448"/>
      <c r="C464" s="2449"/>
      <c r="D464" s="2450"/>
      <c r="E464" s="2451">
        <f>SUM(E461-E462-E463)</f>
        <v>-491700316</v>
      </c>
      <c r="F464" s="2451">
        <f>SUM(F461-F462-F463)</f>
        <v>-481476388</v>
      </c>
      <c r="G464" s="2451">
        <f>SUM(G461-G462-G463)</f>
        <v>0</v>
      </c>
      <c r="H464" s="2451">
        <f>SUM(H461-H462-H463)</f>
        <v>-8370903</v>
      </c>
      <c r="I464" s="2451">
        <f>SUM(I461-I462-I463)</f>
        <v>-1853025</v>
      </c>
      <c r="J464" s="2428"/>
      <c r="K464" s="1389"/>
    </row>
    <row r="465" spans="1:11" s="1390" customFormat="1" ht="12.75">
      <c r="A465" s="1312"/>
      <c r="B465" s="1312"/>
      <c r="C465" s="1324"/>
      <c r="D465" s="1314"/>
      <c r="E465" s="1932"/>
      <c r="F465" s="1932"/>
      <c r="G465" s="1932"/>
      <c r="H465" s="1932"/>
      <c r="I465" s="1316"/>
      <c r="J465" s="1389"/>
      <c r="K465" s="1389"/>
    </row>
    <row r="466" spans="1:11" s="1390" customFormat="1" ht="12.75">
      <c r="A466" s="1312"/>
      <c r="B466" s="1312"/>
      <c r="C466" s="1897" t="s">
        <v>65</v>
      </c>
      <c r="D466" s="1898"/>
      <c r="E466" s="1899"/>
      <c r="F466" s="1899"/>
      <c r="G466" s="1900"/>
      <c r="H466" s="1901"/>
      <c r="I466" s="1316"/>
      <c r="J466" s="1389"/>
      <c r="K466" s="1389"/>
    </row>
    <row r="467" spans="1:11" s="1390" customFormat="1" ht="25.5">
      <c r="A467" s="1312"/>
      <c r="B467" s="1312"/>
      <c r="C467" s="1392" t="s">
        <v>132</v>
      </c>
      <c r="D467" s="1393"/>
      <c r="E467" s="1316"/>
      <c r="F467" s="1316"/>
      <c r="G467" s="1316"/>
      <c r="H467" s="1933"/>
      <c r="I467" s="1316"/>
      <c r="J467" s="1389"/>
      <c r="K467" s="1389"/>
    </row>
    <row r="468" spans="1:11" s="1390" customFormat="1" ht="12.75">
      <c r="A468" s="1312"/>
      <c r="B468" s="1312"/>
      <c r="C468" s="1318" t="s">
        <v>133</v>
      </c>
      <c r="D468" s="1313"/>
      <c r="E468" s="1323"/>
      <c r="F468" s="1323"/>
      <c r="G468" s="1315"/>
      <c r="H468" s="1319"/>
      <c r="I468" s="1316"/>
      <c r="J468" s="1389"/>
      <c r="K468" s="1389"/>
    </row>
    <row r="469" spans="1:11" s="1390" customFormat="1" ht="12.75">
      <c r="A469" s="1312"/>
      <c r="B469" s="1312"/>
      <c r="C469" s="1318" t="s">
        <v>262</v>
      </c>
      <c r="D469" s="1313"/>
      <c r="E469" s="1323"/>
      <c r="F469" s="1323"/>
      <c r="G469" s="1315"/>
      <c r="H469" s="1319"/>
      <c r="I469" s="1316"/>
      <c r="J469" s="1389"/>
      <c r="K469" s="1389"/>
    </row>
    <row r="470" spans="1:11" s="1390" customFormat="1" ht="12.75">
      <c r="A470" s="1312"/>
      <c r="B470" s="1312"/>
      <c r="C470" s="1318" t="s">
        <v>264</v>
      </c>
      <c r="D470" s="1313"/>
      <c r="E470" s="1323"/>
      <c r="F470" s="1323"/>
      <c r="G470" s="1323"/>
      <c r="H470" s="1354"/>
      <c r="I470" s="1320"/>
      <c r="J470" s="1389"/>
      <c r="K470" s="1389"/>
    </row>
    <row r="471" spans="1:11" s="1390" customFormat="1" ht="24.75" customHeight="1">
      <c r="A471" s="1312"/>
      <c r="B471" s="1312"/>
      <c r="C471" s="2552" t="s">
        <v>18</v>
      </c>
      <c r="D471" s="2553"/>
      <c r="E471" s="2553"/>
      <c r="F471" s="2553"/>
      <c r="G471" s="2553"/>
      <c r="H471" s="2554"/>
      <c r="I471" s="1316"/>
      <c r="J471" s="1389"/>
      <c r="K471" s="1389"/>
    </row>
    <row r="472" spans="1:11">
      <c r="A472" s="1379"/>
      <c r="B472" s="1379"/>
      <c r="C472" s="1380"/>
      <c r="D472" s="1309"/>
      <c r="E472" s="1330"/>
      <c r="F472" s="1330"/>
      <c r="G472" s="1330"/>
      <c r="H472" s="1330"/>
      <c r="I472" s="1383"/>
    </row>
    <row r="473" spans="1:11" ht="15">
      <c r="A473" s="1382"/>
      <c r="B473" s="1382"/>
      <c r="C473" s="1387"/>
      <c r="D473" s="1329"/>
      <c r="E473" s="1329"/>
      <c r="F473" s="1329"/>
      <c r="G473" s="1329"/>
      <c r="H473" s="1329"/>
      <c r="I473" s="1387"/>
    </row>
    <row r="474" spans="1:11" ht="15">
      <c r="A474" s="1382"/>
      <c r="B474" s="1382"/>
      <c r="C474" s="1382"/>
      <c r="D474" s="831"/>
      <c r="E474" s="831"/>
      <c r="F474" s="831"/>
      <c r="G474" s="831"/>
      <c r="H474" s="831"/>
      <c r="I474" s="1382"/>
    </row>
    <row r="475" spans="1:11">
      <c r="A475" s="1380"/>
      <c r="B475" s="1380"/>
      <c r="C475" s="1380"/>
      <c r="D475" s="1309"/>
      <c r="E475" s="1330"/>
      <c r="F475" s="1330"/>
      <c r="G475" s="1330"/>
      <c r="H475" s="1330"/>
      <c r="I475" s="1383"/>
    </row>
    <row r="476" spans="1:11">
      <c r="A476" s="1380"/>
      <c r="B476" s="1380"/>
      <c r="C476" s="1380"/>
      <c r="D476" s="1309"/>
      <c r="E476" s="1330"/>
      <c r="F476" s="1330"/>
      <c r="G476" s="1330"/>
      <c r="H476" s="1330"/>
      <c r="I476" s="1383"/>
    </row>
    <row r="477" spans="1:11">
      <c r="A477" s="1380"/>
      <c r="B477" s="1380"/>
      <c r="C477" s="1380"/>
      <c r="D477" s="1309"/>
      <c r="E477" s="1330"/>
      <c r="F477" s="1330"/>
      <c r="G477" s="1330"/>
      <c r="H477" s="1330"/>
      <c r="I477" s="1383"/>
    </row>
    <row r="478" spans="1:11" ht="15">
      <c r="A478" s="1331"/>
      <c r="B478" s="1331"/>
      <c r="C478" s="1380"/>
      <c r="D478" s="1309"/>
      <c r="E478" s="1332"/>
      <c r="F478" s="1332"/>
      <c r="G478" s="1332"/>
      <c r="H478" s="1332"/>
      <c r="I478" s="1394"/>
    </row>
    <row r="479" spans="1:11" ht="15">
      <c r="A479" s="1331"/>
      <c r="B479" s="1331"/>
      <c r="C479" s="1380"/>
      <c r="D479" s="1309"/>
      <c r="E479" s="1332"/>
      <c r="F479" s="1332"/>
      <c r="G479" s="1332"/>
      <c r="H479" s="1332"/>
      <c r="I479" s="1394"/>
    </row>
    <row r="480" spans="1:11">
      <c r="A480" s="1379"/>
      <c r="B480" s="1379"/>
      <c r="C480" s="1380"/>
      <c r="D480" s="1309"/>
      <c r="E480" s="1329"/>
      <c r="F480" s="1329"/>
      <c r="G480" s="1330"/>
      <c r="H480" s="1330"/>
      <c r="I480" s="1383"/>
    </row>
    <row r="481" spans="1:9">
      <c r="A481" s="1379"/>
      <c r="B481" s="1379"/>
      <c r="C481" s="1379"/>
      <c r="D481" s="1309"/>
      <c r="E481" s="1934"/>
      <c r="F481" s="1934"/>
      <c r="G481" s="1330"/>
      <c r="H481" s="1330"/>
      <c r="I481" s="1383"/>
    </row>
    <row r="482" spans="1:9">
      <c r="A482" s="1379"/>
      <c r="B482" s="1379"/>
      <c r="C482" s="1380"/>
      <c r="D482" s="1309"/>
      <c r="E482" s="1934"/>
      <c r="F482" s="1934"/>
      <c r="G482" s="1330"/>
      <c r="H482" s="1330"/>
      <c r="I482" s="1383"/>
    </row>
    <row r="483" spans="1:9">
      <c r="A483" s="1379"/>
      <c r="B483" s="1379"/>
      <c r="C483" s="1380"/>
      <c r="D483" s="1309"/>
      <c r="E483" s="1934"/>
      <c r="F483" s="1934"/>
      <c r="G483" s="1330"/>
      <c r="H483" s="1330"/>
      <c r="I483" s="1383"/>
    </row>
    <row r="484" spans="1:9">
      <c r="A484" s="1379"/>
      <c r="B484" s="1379"/>
      <c r="C484" s="1380"/>
      <c r="D484" s="1309"/>
      <c r="E484" s="1934"/>
      <c r="F484" s="1934"/>
      <c r="G484" s="1330"/>
      <c r="H484" s="1330"/>
      <c r="I484" s="1383"/>
    </row>
    <row r="485" spans="1:9">
      <c r="A485" s="1379"/>
      <c r="B485" s="1379"/>
      <c r="C485" s="1380"/>
      <c r="D485" s="1309"/>
      <c r="E485" s="1934"/>
      <c r="F485" s="1934"/>
      <c r="G485" s="1330"/>
      <c r="H485" s="1330"/>
      <c r="I485" s="1383"/>
    </row>
    <row r="486" spans="1:9">
      <c r="A486" s="1379"/>
      <c r="B486" s="1379"/>
      <c r="C486" s="1380"/>
      <c r="D486" s="1309"/>
      <c r="E486" s="1934"/>
      <c r="F486" s="1934"/>
      <c r="G486" s="1330"/>
      <c r="H486" s="1330"/>
      <c r="I486" s="1383"/>
    </row>
    <row r="487" spans="1:9">
      <c r="A487" s="1379"/>
      <c r="B487" s="1379"/>
      <c r="C487" s="1380"/>
      <c r="D487" s="1309"/>
      <c r="E487" s="1934"/>
      <c r="F487" s="1934"/>
      <c r="G487" s="1330"/>
      <c r="H487" s="1330"/>
      <c r="I487" s="1383"/>
    </row>
    <row r="488" spans="1:9">
      <c r="A488" s="1379"/>
      <c r="B488" s="1379"/>
      <c r="C488" s="1380"/>
      <c r="D488" s="1309"/>
      <c r="E488" s="1934"/>
      <c r="F488" s="1934"/>
      <c r="G488" s="1330"/>
      <c r="H488" s="1330"/>
      <c r="I488" s="1383"/>
    </row>
    <row r="489" spans="1:9">
      <c r="A489" s="1379"/>
      <c r="B489" s="1379"/>
      <c r="C489" s="1380"/>
      <c r="D489" s="1309"/>
      <c r="E489" s="1934"/>
      <c r="F489" s="1934"/>
      <c r="G489" s="1330"/>
      <c r="H489" s="1330"/>
      <c r="I489" s="1383"/>
    </row>
    <row r="490" spans="1:9">
      <c r="A490" s="1379"/>
      <c r="B490" s="1379"/>
      <c r="C490" s="1380"/>
      <c r="D490" s="1309"/>
      <c r="E490" s="1934"/>
      <c r="F490" s="1934"/>
      <c r="G490" s="1330"/>
      <c r="H490" s="1330"/>
      <c r="I490" s="1383"/>
    </row>
    <row r="491" spans="1:9">
      <c r="A491" s="1380"/>
      <c r="B491" s="1380"/>
      <c r="C491" s="1380"/>
      <c r="D491" s="1309"/>
      <c r="E491" s="1934"/>
      <c r="F491" s="1934"/>
      <c r="G491" s="1330"/>
      <c r="H491" s="1330"/>
      <c r="I491" s="1383"/>
    </row>
    <row r="492" spans="1:9">
      <c r="A492" s="1379"/>
      <c r="B492" s="1379"/>
      <c r="C492" s="1380"/>
      <c r="D492" s="1309"/>
      <c r="E492" s="1934"/>
      <c r="F492" s="1934"/>
      <c r="G492" s="1330"/>
      <c r="H492" s="1330"/>
      <c r="I492" s="1383"/>
    </row>
    <row r="493" spans="1:9">
      <c r="A493" s="1380"/>
      <c r="B493" s="1380"/>
      <c r="C493" s="1380"/>
      <c r="D493" s="1309"/>
      <c r="E493" s="1934"/>
      <c r="F493" s="1934"/>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row r="830" spans="1:9">
      <c r="A830" s="1379"/>
      <c r="B830" s="1379"/>
      <c r="C830" s="1380"/>
      <c r="D830" s="1309"/>
      <c r="E830" s="1330"/>
      <c r="F830" s="1330"/>
      <c r="G830" s="1330"/>
      <c r="H830" s="1330"/>
      <c r="I830" s="1383"/>
    </row>
    <row r="831" spans="1:9">
      <c r="A831" s="1379"/>
      <c r="B831" s="1379"/>
      <c r="C831" s="1380"/>
      <c r="D831" s="1309"/>
      <c r="E831" s="1330"/>
      <c r="F831" s="1330"/>
      <c r="G831" s="1330"/>
      <c r="H831" s="1330"/>
      <c r="I831" s="1383"/>
    </row>
    <row r="832" spans="1:9">
      <c r="A832" s="1379"/>
      <c r="B832" s="1379"/>
      <c r="C832" s="1380"/>
      <c r="D832" s="1309"/>
      <c r="E832" s="1330"/>
      <c r="F832" s="1330"/>
      <c r="G832" s="1330"/>
      <c r="H832" s="1330"/>
      <c r="I832" s="1383"/>
    </row>
    <row r="833" spans="1:9">
      <c r="A833" s="1379"/>
      <c r="B833" s="1379"/>
      <c r="C833" s="1380"/>
      <c r="D833" s="1309"/>
      <c r="E833" s="1330"/>
      <c r="F833" s="1330"/>
      <c r="G833" s="1330"/>
      <c r="H833" s="1330"/>
      <c r="I833" s="1383"/>
    </row>
    <row r="834" spans="1:9">
      <c r="A834" s="1379"/>
      <c r="B834" s="1379"/>
      <c r="C834" s="1380"/>
      <c r="D834" s="1309"/>
      <c r="E834" s="1330"/>
      <c r="F834" s="1330"/>
      <c r="G834" s="1330"/>
      <c r="H834" s="1330"/>
      <c r="I834" s="1383"/>
    </row>
    <row r="835" spans="1:9">
      <c r="A835" s="1379"/>
      <c r="B835" s="1379"/>
      <c r="C835" s="1380"/>
      <c r="D835" s="1309"/>
      <c r="E835" s="1330"/>
      <c r="F835" s="1330"/>
      <c r="G835" s="1330"/>
      <c r="H835" s="1330"/>
      <c r="I835" s="1383"/>
    </row>
    <row r="836" spans="1:9">
      <c r="A836" s="1379"/>
      <c r="B836" s="1379"/>
      <c r="C836" s="1380"/>
      <c r="D836" s="1309"/>
      <c r="E836" s="1330"/>
      <c r="F836" s="1330"/>
      <c r="G836" s="1330"/>
      <c r="H836" s="1330"/>
      <c r="I836" s="1383"/>
    </row>
    <row r="837" spans="1:9">
      <c r="A837" s="1379"/>
      <c r="B837" s="1379"/>
      <c r="C837" s="1380"/>
      <c r="D837" s="1309"/>
      <c r="E837" s="1330"/>
      <c r="F837" s="1330"/>
      <c r="G837" s="1330"/>
      <c r="H837" s="1330"/>
      <c r="I837" s="1383"/>
    </row>
    <row r="838" spans="1:9">
      <c r="A838" s="1379"/>
      <c r="B838" s="1379"/>
      <c r="C838" s="1380"/>
      <c r="D838" s="1309"/>
      <c r="E838" s="1330"/>
      <c r="F838" s="1330"/>
      <c r="G838" s="1330"/>
      <c r="H838" s="1330"/>
      <c r="I838" s="1383"/>
    </row>
    <row r="839" spans="1:9">
      <c r="A839" s="1379"/>
      <c r="B839" s="1379"/>
      <c r="C839" s="1380"/>
      <c r="D839" s="1309"/>
      <c r="E839" s="1330"/>
      <c r="F839" s="1330"/>
      <c r="G839" s="1330"/>
      <c r="H839" s="1330"/>
      <c r="I839" s="1383"/>
    </row>
    <row r="840" spans="1:9">
      <c r="A840" s="1379"/>
      <c r="B840" s="1379"/>
      <c r="C840" s="1380"/>
      <c r="D840" s="1309"/>
      <c r="E840" s="1330"/>
      <c r="F840" s="1330"/>
      <c r="G840" s="1330"/>
      <c r="H840" s="1330"/>
      <c r="I840" s="1383"/>
    </row>
    <row r="841" spans="1:9">
      <c r="A841" s="1379"/>
      <c r="B841" s="1379"/>
      <c r="C841" s="1380"/>
      <c r="D841" s="1309"/>
      <c r="E841" s="1330"/>
      <c r="F841" s="1330"/>
      <c r="G841" s="1330"/>
      <c r="H841" s="1330"/>
      <c r="I841" s="1383"/>
    </row>
    <row r="842" spans="1:9">
      <c r="A842" s="1379"/>
      <c r="B842" s="1379"/>
      <c r="C842" s="1380"/>
      <c r="D842" s="1309"/>
      <c r="E842" s="1330"/>
      <c r="F842" s="1330"/>
      <c r="G842" s="1330"/>
      <c r="H842" s="1330"/>
      <c r="I842" s="1383"/>
    </row>
    <row r="843" spans="1:9">
      <c r="A843" s="1379"/>
      <c r="B843" s="1379"/>
      <c r="C843" s="1380"/>
      <c r="D843" s="1309"/>
      <c r="E843" s="1330"/>
      <c r="F843" s="1330"/>
      <c r="G843" s="1330"/>
      <c r="H843" s="1330"/>
      <c r="I843" s="1383"/>
    </row>
    <row r="844" spans="1:9">
      <c r="A844" s="1379"/>
      <c r="B844" s="1379"/>
      <c r="C844" s="1380"/>
      <c r="D844" s="1309"/>
      <c r="E844" s="1330"/>
      <c r="F844" s="1330"/>
      <c r="G844" s="1330"/>
      <c r="H844" s="1330"/>
      <c r="I844" s="1383"/>
    </row>
    <row r="845" spans="1:9">
      <c r="A845" s="1379"/>
      <c r="B845" s="1379"/>
      <c r="C845" s="1380"/>
      <c r="D845" s="1309"/>
      <c r="E845" s="1330"/>
      <c r="F845" s="1330"/>
      <c r="G845" s="1330"/>
      <c r="H845" s="1330"/>
      <c r="I845" s="1383"/>
    </row>
    <row r="846" spans="1:9">
      <c r="A846" s="1379"/>
      <c r="B846" s="1379"/>
      <c r="C846" s="1380"/>
      <c r="D846" s="1309"/>
      <c r="E846" s="1330"/>
      <c r="F846" s="1330"/>
      <c r="G846" s="1330"/>
      <c r="H846" s="1330"/>
      <c r="I846" s="1383"/>
    </row>
    <row r="847" spans="1:9">
      <c r="A847" s="1379"/>
      <c r="B847" s="1379"/>
      <c r="C847" s="1380"/>
      <c r="D847" s="1309"/>
      <c r="E847" s="1330"/>
      <c r="F847" s="1330"/>
      <c r="G847" s="1330"/>
      <c r="H847" s="1330"/>
      <c r="I847" s="1383"/>
    </row>
    <row r="848" spans="1:9">
      <c r="A848" s="1379"/>
      <c r="B848" s="1379"/>
      <c r="C848" s="1380"/>
      <c r="D848" s="1309"/>
      <c r="E848" s="1330"/>
      <c r="F848" s="1330"/>
      <c r="G848" s="1330"/>
      <c r="H848" s="1330"/>
      <c r="I848" s="1383"/>
    </row>
    <row r="849" spans="1:9">
      <c r="A849" s="1379"/>
      <c r="B849" s="1379"/>
      <c r="C849" s="1380"/>
      <c r="D849" s="1309"/>
      <c r="E849" s="1330"/>
      <c r="F849" s="1330"/>
      <c r="G849" s="1330"/>
      <c r="H849" s="1330"/>
      <c r="I849" s="1383"/>
    </row>
    <row r="850" spans="1:9">
      <c r="A850" s="1379"/>
      <c r="B850" s="1379"/>
      <c r="C850" s="1380"/>
      <c r="D850" s="1309"/>
      <c r="E850" s="1330"/>
      <c r="F850" s="1330"/>
      <c r="G850" s="1330"/>
      <c r="H850" s="1330"/>
      <c r="I850" s="1383"/>
    </row>
    <row r="851" spans="1:9">
      <c r="A851" s="1379"/>
      <c r="B851" s="1379"/>
      <c r="C851" s="1380"/>
      <c r="D851" s="1309"/>
      <c r="E851" s="1330"/>
      <c r="F851" s="1330"/>
      <c r="G851" s="1330"/>
      <c r="H851" s="1330"/>
      <c r="I851" s="1383"/>
    </row>
    <row r="852" spans="1:9">
      <c r="A852" s="1379"/>
      <c r="B852" s="1379"/>
      <c r="C852" s="1380"/>
      <c r="D852" s="1309"/>
      <c r="E852" s="1330"/>
      <c r="F852" s="1330"/>
      <c r="G852" s="1330"/>
      <c r="H852" s="1330"/>
      <c r="I852" s="1383"/>
    </row>
    <row r="853" spans="1:9">
      <c r="A853" s="1379"/>
      <c r="B853" s="1379"/>
      <c r="C853" s="1380"/>
      <c r="D853" s="1309"/>
      <c r="E853" s="1330"/>
      <c r="F853" s="1330"/>
      <c r="G853" s="1330"/>
      <c r="H853" s="1330"/>
      <c r="I853" s="1383"/>
    </row>
    <row r="854" spans="1:9">
      <c r="A854" s="1379"/>
      <c r="B854" s="1379"/>
      <c r="C854" s="1380"/>
      <c r="D854" s="1309"/>
      <c r="E854" s="1330"/>
      <c r="F854" s="1330"/>
      <c r="G854" s="1330"/>
      <c r="H854" s="1330"/>
      <c r="I854" s="1383"/>
    </row>
    <row r="855" spans="1:9">
      <c r="A855" s="1379"/>
      <c r="B855" s="1379"/>
      <c r="C855" s="1380"/>
      <c r="D855" s="1309"/>
      <c r="E855" s="1330"/>
      <c r="F855" s="1330"/>
      <c r="G855" s="1330"/>
      <c r="H855" s="1330"/>
      <c r="I855" s="1383"/>
    </row>
    <row r="856" spans="1:9">
      <c r="A856" s="1379"/>
      <c r="B856" s="1379"/>
      <c r="C856" s="1380"/>
      <c r="D856" s="1309"/>
      <c r="E856" s="1330"/>
      <c r="F856" s="1330"/>
      <c r="G856" s="1330"/>
      <c r="H856" s="1330"/>
      <c r="I856" s="1383"/>
    </row>
    <row r="857" spans="1:9">
      <c r="A857" s="1379"/>
      <c r="B857" s="1379"/>
      <c r="C857" s="1380"/>
      <c r="D857" s="1309"/>
      <c r="E857" s="1330"/>
      <c r="F857" s="1330"/>
      <c r="G857" s="1330"/>
      <c r="H857" s="1330"/>
      <c r="I857" s="1383"/>
    </row>
    <row r="858" spans="1:9">
      <c r="A858" s="1379"/>
      <c r="B858" s="1379"/>
      <c r="C858" s="1380"/>
      <c r="D858" s="1309"/>
      <c r="E858" s="1330"/>
      <c r="F858" s="1330"/>
      <c r="G858" s="1330"/>
      <c r="H858" s="1330"/>
      <c r="I858" s="1383"/>
    </row>
    <row r="859" spans="1:9">
      <c r="A859" s="1379"/>
      <c r="B859" s="1379"/>
      <c r="C859" s="1380"/>
      <c r="D859" s="1309"/>
      <c r="E859" s="1330"/>
      <c r="F859" s="1330"/>
      <c r="G859" s="1330"/>
      <c r="H859" s="1330"/>
      <c r="I859" s="1383"/>
    </row>
    <row r="860" spans="1:9">
      <c r="A860" s="1379"/>
      <c r="B860" s="1379"/>
      <c r="C860" s="1380"/>
      <c r="D860" s="1309"/>
      <c r="E860" s="1330"/>
      <c r="F860" s="1330"/>
      <c r="G860" s="1330"/>
      <c r="H860" s="1330"/>
      <c r="I860" s="1383"/>
    </row>
    <row r="861" spans="1:9">
      <c r="A861" s="1379"/>
      <c r="B861" s="1379"/>
      <c r="C861" s="1380"/>
      <c r="D861" s="1309"/>
      <c r="E861" s="1330"/>
      <c r="F861" s="1330"/>
      <c r="G861" s="1330"/>
      <c r="H861" s="1330"/>
      <c r="I861" s="1383"/>
    </row>
    <row r="862" spans="1:9">
      <c r="A862" s="1379"/>
      <c r="B862" s="1379"/>
      <c r="C862" s="1380"/>
      <c r="D862" s="1309"/>
      <c r="E862" s="1330"/>
      <c r="F862" s="1330"/>
      <c r="G862" s="1330"/>
      <c r="H862" s="1330"/>
      <c r="I862" s="1383"/>
    </row>
    <row r="863" spans="1:9">
      <c r="A863" s="1379"/>
      <c r="B863" s="1379"/>
      <c r="C863" s="1380"/>
      <c r="D863" s="1309"/>
      <c r="E863" s="1330"/>
      <c r="F863" s="1330"/>
      <c r="G863" s="1330"/>
      <c r="H863" s="1330"/>
      <c r="I863" s="1383"/>
    </row>
    <row r="864" spans="1:9">
      <c r="A864" s="1379"/>
      <c r="B864" s="1379"/>
      <c r="C864" s="1380"/>
      <c r="D864" s="1309"/>
      <c r="E864" s="1330"/>
      <c r="F864" s="1330"/>
      <c r="G864" s="1330"/>
      <c r="H864" s="1330"/>
      <c r="I864" s="1383"/>
    </row>
    <row r="865" spans="1:9">
      <c r="A865" s="1379"/>
      <c r="B865" s="1379"/>
      <c r="C865" s="1380"/>
      <c r="D865" s="1309"/>
      <c r="E865" s="1330"/>
      <c r="F865" s="1330"/>
      <c r="G865" s="1330"/>
      <c r="H865" s="1330"/>
      <c r="I865" s="1383"/>
    </row>
    <row r="866" spans="1:9">
      <c r="A866" s="1379"/>
      <c r="B866" s="1379"/>
      <c r="C866" s="1380"/>
      <c r="D866" s="1309"/>
      <c r="E866" s="1330"/>
      <c r="F866" s="1330"/>
      <c r="G866" s="1330"/>
      <c r="H866" s="1330"/>
      <c r="I866" s="1383"/>
    </row>
    <row r="867" spans="1:9">
      <c r="A867" s="1379"/>
      <c r="B867" s="1379"/>
      <c r="C867" s="1380"/>
      <c r="D867" s="1309"/>
      <c r="E867" s="1330"/>
      <c r="F867" s="1330"/>
      <c r="G867" s="1330"/>
      <c r="H867" s="1330"/>
      <c r="I867" s="1383"/>
    </row>
    <row r="868" spans="1:9">
      <c r="A868" s="1379"/>
      <c r="B868" s="1379"/>
      <c r="C868" s="1380"/>
      <c r="D868" s="1309"/>
      <c r="E868" s="1330"/>
      <c r="F868" s="1330"/>
      <c r="G868" s="1330"/>
      <c r="H868" s="1330"/>
      <c r="I868" s="1383"/>
    </row>
    <row r="869" spans="1:9">
      <c r="A869" s="1379"/>
      <c r="B869" s="1379"/>
      <c r="C869" s="1380"/>
      <c r="D869" s="1309"/>
      <c r="E869" s="1330"/>
      <c r="F869" s="1330"/>
      <c r="G869" s="1330"/>
      <c r="H869" s="1330"/>
      <c r="I869" s="1383"/>
    </row>
    <row r="870" spans="1:9">
      <c r="A870" s="1379"/>
      <c r="B870" s="1379"/>
      <c r="C870" s="1380"/>
      <c r="D870" s="1309"/>
      <c r="E870" s="1330"/>
      <c r="F870" s="1330"/>
      <c r="G870" s="1330"/>
      <c r="H870" s="1330"/>
      <c r="I870" s="1383"/>
    </row>
    <row r="871" spans="1:9">
      <c r="A871" s="1379"/>
      <c r="B871" s="1379"/>
      <c r="C871" s="1380"/>
      <c r="D871" s="1309"/>
      <c r="E871" s="1330"/>
      <c r="F871" s="1330"/>
      <c r="G871" s="1330"/>
      <c r="H871" s="1330"/>
      <c r="I871" s="1383"/>
    </row>
    <row r="872" spans="1:9">
      <c r="A872" s="1379"/>
      <c r="B872" s="1379"/>
      <c r="C872" s="1380"/>
      <c r="D872" s="1309"/>
      <c r="E872" s="1330"/>
      <c r="F872" s="1330"/>
      <c r="G872" s="1330"/>
      <c r="H872" s="1330"/>
      <c r="I872" s="1383"/>
    </row>
    <row r="873" spans="1:9">
      <c r="A873" s="1379"/>
      <c r="B873" s="1379"/>
      <c r="C873" s="1380"/>
      <c r="D873" s="1309"/>
      <c r="E873" s="1330"/>
      <c r="F873" s="1330"/>
      <c r="G873" s="1330"/>
      <c r="H873" s="1330"/>
      <c r="I873" s="1383"/>
    </row>
    <row r="874" spans="1:9">
      <c r="A874" s="1379"/>
      <c r="B874" s="1379"/>
      <c r="C874" s="1380"/>
      <c r="D874" s="1309"/>
      <c r="E874" s="1330"/>
      <c r="F874" s="1330"/>
      <c r="G874" s="1330"/>
      <c r="H874" s="1330"/>
      <c r="I874" s="1383"/>
    </row>
    <row r="875" spans="1:9">
      <c r="A875" s="1379"/>
      <c r="B875" s="1379"/>
      <c r="C875" s="1380"/>
      <c r="D875" s="1309"/>
      <c r="E875" s="1330"/>
      <c r="F875" s="1330"/>
      <c r="G875" s="1330"/>
      <c r="H875" s="1330"/>
      <c r="I875" s="1383"/>
    </row>
    <row r="876" spans="1:9">
      <c r="A876" s="1379"/>
      <c r="B876" s="1379"/>
      <c r="C876" s="1380"/>
      <c r="D876" s="1309"/>
      <c r="E876" s="1330"/>
      <c r="F876" s="1330"/>
      <c r="G876" s="1330"/>
      <c r="H876" s="1330"/>
      <c r="I876" s="1383"/>
    </row>
    <row r="877" spans="1:9">
      <c r="A877" s="1379"/>
      <c r="B877" s="1379"/>
      <c r="C877" s="1380"/>
      <c r="D877" s="1309"/>
      <c r="E877" s="1330"/>
      <c r="F877" s="1330"/>
      <c r="G877" s="1330"/>
      <c r="H877" s="1330"/>
      <c r="I877" s="1383"/>
    </row>
    <row r="878" spans="1:9">
      <c r="A878" s="1379"/>
      <c r="B878" s="1379"/>
      <c r="C878" s="1380"/>
      <c r="D878" s="1309"/>
      <c r="E878" s="1330"/>
      <c r="F878" s="1330"/>
      <c r="G878" s="1330"/>
      <c r="H878" s="1330"/>
      <c r="I878" s="1383"/>
    </row>
    <row r="879" spans="1:9">
      <c r="A879" s="1379"/>
      <c r="B879" s="1379"/>
      <c r="C879" s="1380"/>
      <c r="D879" s="1309"/>
      <c r="E879" s="1330"/>
      <c r="F879" s="1330"/>
      <c r="G879" s="1330"/>
      <c r="H879" s="1330"/>
      <c r="I879" s="1383"/>
    </row>
    <row r="880" spans="1:9">
      <c r="A880" s="1379"/>
      <c r="B880" s="1379"/>
      <c r="C880" s="1380"/>
      <c r="D880" s="1309"/>
      <c r="E880" s="1330"/>
      <c r="F880" s="1330"/>
      <c r="G880" s="1330"/>
      <c r="H880" s="1330"/>
      <c r="I880" s="1383"/>
    </row>
    <row r="881" spans="1:9">
      <c r="A881" s="1379"/>
      <c r="B881" s="1379"/>
      <c r="C881" s="1380"/>
      <c r="D881" s="1309"/>
      <c r="E881" s="1330"/>
      <c r="F881" s="1330"/>
      <c r="G881" s="1330"/>
      <c r="H881" s="1330"/>
      <c r="I881" s="1383"/>
    </row>
    <row r="882" spans="1:9">
      <c r="A882" s="1379"/>
      <c r="B882" s="1379"/>
      <c r="C882" s="1380"/>
      <c r="D882" s="1309"/>
      <c r="E882" s="1330"/>
      <c r="F882" s="1330"/>
      <c r="G882" s="1330"/>
      <c r="H882" s="1330"/>
      <c r="I882" s="1383"/>
    </row>
    <row r="883" spans="1:9">
      <c r="A883" s="1379"/>
      <c r="B883" s="1379"/>
      <c r="C883" s="1380"/>
      <c r="D883" s="1309"/>
      <c r="E883" s="1330"/>
      <c r="F883" s="1330"/>
      <c r="G883" s="1330"/>
      <c r="H883" s="1330"/>
      <c r="I883" s="1383"/>
    </row>
    <row r="884" spans="1:9">
      <c r="A884" s="1379"/>
      <c r="B884" s="1379"/>
      <c r="C884" s="1380"/>
      <c r="D884" s="1309"/>
      <c r="E884" s="1330"/>
      <c r="F884" s="1330"/>
      <c r="G884" s="1330"/>
      <c r="H884" s="1330"/>
      <c r="I884" s="1383"/>
    </row>
    <row r="885" spans="1:9">
      <c r="A885" s="1379"/>
      <c r="B885" s="1379"/>
      <c r="C885" s="1380"/>
      <c r="D885" s="1309"/>
      <c r="E885" s="1330"/>
      <c r="F885" s="1330"/>
      <c r="G885" s="1330"/>
      <c r="H885" s="1330"/>
      <c r="I885" s="1383"/>
    </row>
    <row r="886" spans="1:9">
      <c r="A886" s="1379"/>
      <c r="B886" s="1379"/>
      <c r="C886" s="1380"/>
      <c r="D886" s="1309"/>
      <c r="E886" s="1330"/>
      <c r="F886" s="1330"/>
      <c r="G886" s="1330"/>
      <c r="H886" s="1330"/>
      <c r="I886" s="1383"/>
    </row>
    <row r="887" spans="1:9">
      <c r="A887" s="1379"/>
      <c r="B887" s="1379"/>
      <c r="C887" s="1380"/>
      <c r="D887" s="1309"/>
      <c r="E887" s="1330"/>
      <c r="F887" s="1330"/>
      <c r="G887" s="1330"/>
      <c r="H887" s="1330"/>
      <c r="I887" s="1383"/>
    </row>
    <row r="888" spans="1:9">
      <c r="A888" s="1379"/>
      <c r="B888" s="1379"/>
      <c r="C888" s="1380"/>
      <c r="D888" s="1309"/>
      <c r="E888" s="1330"/>
      <c r="F888" s="1330"/>
      <c r="G888" s="1330"/>
      <c r="H888" s="1330"/>
      <c r="I888" s="1383"/>
    </row>
    <row r="889" spans="1:9">
      <c r="A889" s="1379"/>
      <c r="B889" s="1379"/>
      <c r="C889" s="1380"/>
      <c r="D889" s="1309"/>
      <c r="E889" s="1330"/>
      <c r="F889" s="1330"/>
      <c r="G889" s="1330"/>
      <c r="H889" s="1330"/>
      <c r="I889" s="1383"/>
    </row>
    <row r="890" spans="1:9">
      <c r="A890" s="1379"/>
      <c r="B890" s="1379"/>
      <c r="C890" s="1380"/>
      <c r="D890" s="1309"/>
      <c r="E890" s="1330"/>
      <c r="F890" s="1330"/>
      <c r="G890" s="1330"/>
      <c r="H890" s="1330"/>
      <c r="I890" s="1383"/>
    </row>
  </sheetData>
  <mergeCells count="6">
    <mergeCell ref="C206:H206"/>
    <mergeCell ref="C471:H471"/>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121"/>
  <sheetViews>
    <sheetView topLeftCell="B1" zoomScale="85" zoomScaleNormal="85" workbookViewId="0">
      <selection activeCell="O10" sqref="O10"/>
    </sheetView>
  </sheetViews>
  <sheetFormatPr defaultColWidth="9.140625" defaultRowHeight="12.75"/>
  <cols>
    <col min="1" max="2" width="4.7109375" style="437" customWidth="1"/>
    <col min="3" max="3" width="59.85546875" style="437" customWidth="1"/>
    <col min="4" max="4" width="14.7109375" style="437" customWidth="1"/>
    <col min="5" max="5" width="14.7109375" style="1401"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8"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98" t="s">
        <v>225</v>
      </c>
      <c r="B1" s="1398"/>
      <c r="C1" s="1398"/>
      <c r="D1" s="1398"/>
      <c r="E1" s="1398"/>
      <c r="F1" s="1398"/>
      <c r="G1" s="1398"/>
      <c r="H1" s="1399"/>
      <c r="J1" s="1308"/>
      <c r="K1" s="437"/>
    </row>
    <row r="2" spans="1:11" ht="18">
      <c r="A2" s="1398" t="s">
        <v>174</v>
      </c>
      <c r="B2" s="1400"/>
      <c r="C2" s="1400"/>
      <c r="D2" s="1400"/>
      <c r="E2" s="1400"/>
      <c r="F2" s="1400"/>
      <c r="G2" s="1400"/>
      <c r="H2" s="1399"/>
      <c r="J2" s="1308"/>
      <c r="K2" s="437"/>
    </row>
    <row r="3" spans="1:11">
      <c r="D3" s="1401"/>
      <c r="E3" s="437"/>
      <c r="J3" s="1308"/>
      <c r="K3" s="437"/>
    </row>
    <row r="4" spans="1:11">
      <c r="D4" s="1401"/>
      <c r="E4" s="437"/>
      <c r="J4" s="1308"/>
      <c r="K4" s="437"/>
    </row>
    <row r="5" spans="1:11">
      <c r="D5" s="830"/>
      <c r="E5" s="830"/>
      <c r="F5" s="830"/>
      <c r="G5" s="830"/>
      <c r="H5" s="830"/>
      <c r="J5" s="1308"/>
      <c r="K5" s="437"/>
    </row>
    <row r="6" spans="1:11" ht="25.5">
      <c r="A6" s="1402" t="s">
        <v>232</v>
      </c>
      <c r="B6" s="1402"/>
      <c r="C6" s="1403"/>
      <c r="D6" s="621" t="s">
        <v>987</v>
      </c>
      <c r="E6" s="614" t="s">
        <v>305</v>
      </c>
      <c r="F6" s="621" t="s">
        <v>988</v>
      </c>
      <c r="G6" s="830"/>
      <c r="H6" s="830"/>
      <c r="K6" s="437"/>
    </row>
    <row r="7" spans="1:11">
      <c r="D7" s="1404"/>
      <c r="E7" s="437"/>
      <c r="F7" s="830"/>
      <c r="G7" s="830"/>
      <c r="H7" s="607"/>
      <c r="K7" s="437"/>
    </row>
    <row r="8" spans="1:11" ht="25.5">
      <c r="A8" s="601"/>
      <c r="B8" s="1402" t="s">
        <v>72</v>
      </c>
      <c r="C8" s="1403"/>
      <c r="D8" s="1405"/>
      <c r="E8" s="1406" t="s">
        <v>277</v>
      </c>
      <c r="F8" s="614"/>
      <c r="G8" s="830"/>
      <c r="H8" s="607"/>
      <c r="K8" s="437"/>
    </row>
    <row r="9" spans="1:11" ht="12.75" customHeight="1">
      <c r="A9" s="601"/>
      <c r="B9" s="1407" t="s">
        <v>412</v>
      </c>
      <c r="C9" s="725"/>
      <c r="D9" s="1408">
        <f>SUM(G66:G75)</f>
        <v>136315479</v>
      </c>
      <c r="E9" s="1409"/>
      <c r="F9" s="833"/>
      <c r="G9" s="833"/>
      <c r="H9" s="1410"/>
      <c r="K9" s="437"/>
    </row>
    <row r="10" spans="1:11" ht="12.75" customHeight="1">
      <c r="A10" s="601"/>
      <c r="B10" s="1407" t="s">
        <v>348</v>
      </c>
      <c r="C10" s="725"/>
      <c r="D10" s="1408">
        <f>SUM(G76:G81)</f>
        <v>480993</v>
      </c>
      <c r="E10" s="1409"/>
      <c r="F10" s="833"/>
      <c r="G10" s="833"/>
      <c r="H10" s="1410"/>
      <c r="K10" s="437"/>
    </row>
    <row r="11" spans="1:11" ht="12.75" customHeight="1">
      <c r="A11" s="601"/>
      <c r="B11" s="1407"/>
      <c r="C11" s="1411"/>
      <c r="D11" s="1408"/>
      <c r="E11" s="437"/>
      <c r="H11" s="1410"/>
      <c r="K11" s="437"/>
    </row>
    <row r="12" spans="1:11" ht="12.75" customHeight="1">
      <c r="A12" s="601">
        <v>1</v>
      </c>
      <c r="B12" s="1412" t="s">
        <v>75</v>
      </c>
      <c r="C12" s="1413"/>
      <c r="D12" s="1414">
        <f>SUM(D9:D11)</f>
        <v>136796472</v>
      </c>
      <c r="E12" s="1585">
        <f>Allocator.net.plant</f>
        <v>0.26273925856404062</v>
      </c>
      <c r="F12" s="1414">
        <f>+D12*E12</f>
        <v>35941803.627456546</v>
      </c>
      <c r="G12" s="1415"/>
      <c r="H12" s="436"/>
      <c r="I12" s="436"/>
      <c r="K12" s="437"/>
    </row>
    <row r="13" spans="1:11" ht="12.75" customHeight="1">
      <c r="A13" s="601"/>
      <c r="D13" s="1416"/>
      <c r="E13" s="1417"/>
      <c r="F13" s="1417"/>
      <c r="G13" s="1417"/>
      <c r="H13" s="436"/>
      <c r="I13" s="436"/>
      <c r="K13" s="437"/>
    </row>
    <row r="14" spans="1:11" ht="25.5">
      <c r="A14" s="601"/>
      <c r="B14" s="1402" t="s">
        <v>73</v>
      </c>
      <c r="C14" s="1403"/>
      <c r="D14" s="1418"/>
      <c r="E14" s="1419" t="s">
        <v>271</v>
      </c>
      <c r="F14" s="1420"/>
      <c r="G14" s="1417"/>
      <c r="H14" s="1410"/>
      <c r="K14" s="437"/>
    </row>
    <row r="15" spans="1:11" ht="12.75" customHeight="1">
      <c r="A15" s="601"/>
      <c r="B15" s="1407" t="s">
        <v>36</v>
      </c>
      <c r="C15" s="725"/>
      <c r="D15" s="1421">
        <v>0</v>
      </c>
      <c r="E15" s="1422"/>
      <c r="F15" s="1422"/>
      <c r="G15" s="1422"/>
      <c r="H15" s="1410"/>
      <c r="K15" s="437"/>
    </row>
    <row r="16" spans="1:11" ht="12.75" customHeight="1">
      <c r="A16" s="601"/>
      <c r="B16" s="1407" t="s">
        <v>37</v>
      </c>
      <c r="C16" s="725"/>
      <c r="D16" s="1421">
        <v>0</v>
      </c>
      <c r="E16" s="437"/>
      <c r="H16" s="1410"/>
      <c r="K16" s="437"/>
    </row>
    <row r="17" spans="1:18" ht="12.75" customHeight="1">
      <c r="A17" s="601"/>
      <c r="B17" s="1407" t="s">
        <v>419</v>
      </c>
      <c r="C17" s="725"/>
      <c r="D17" s="1421">
        <v>0</v>
      </c>
      <c r="E17" s="437"/>
      <c r="H17" s="1410"/>
      <c r="K17" s="437"/>
    </row>
    <row r="18" spans="1:18" ht="12.75" customHeight="1">
      <c r="A18" s="601"/>
      <c r="B18" s="1407"/>
      <c r="C18" s="725"/>
      <c r="D18" s="1421"/>
      <c r="E18" s="437"/>
      <c r="H18" s="1423"/>
      <c r="K18" s="437"/>
    </row>
    <row r="19" spans="1:18" ht="12.75" customHeight="1">
      <c r="A19" s="601">
        <f>A12+1</f>
        <v>2</v>
      </c>
      <c r="B19" s="1412" t="s">
        <v>76</v>
      </c>
      <c r="C19" s="1413"/>
      <c r="D19" s="1414">
        <f>SUM(D15:D18)</f>
        <v>0</v>
      </c>
      <c r="E19" s="1586">
        <f>Allocator.wages.salary</f>
        <v>7.8815542097072699E-2</v>
      </c>
      <c r="F19" s="1414">
        <f>+E19*D19</f>
        <v>0</v>
      </c>
      <c r="G19" s="1415"/>
      <c r="H19" s="1423"/>
      <c r="K19" s="437"/>
    </row>
    <row r="20" spans="1:18" ht="12.75" customHeight="1">
      <c r="A20" s="601"/>
      <c r="B20" s="606"/>
      <c r="C20" s="1416"/>
      <c r="D20" s="1401"/>
      <c r="E20" s="833"/>
      <c r="H20" s="1423"/>
      <c r="K20" s="437"/>
    </row>
    <row r="21" spans="1:18" ht="12.75" customHeight="1">
      <c r="A21" s="601"/>
      <c r="D21" s="1401"/>
      <c r="E21" s="437"/>
      <c r="H21" s="1423"/>
      <c r="K21" s="437"/>
    </row>
    <row r="22" spans="1:18" ht="25.5">
      <c r="A22" s="601"/>
      <c r="B22" s="1402" t="s">
        <v>74</v>
      </c>
      <c r="C22" s="1403"/>
      <c r="D22" s="1424"/>
      <c r="E22" s="1406" t="s">
        <v>277</v>
      </c>
      <c r="F22" s="1403"/>
      <c r="H22" s="1423"/>
      <c r="K22" s="437"/>
    </row>
    <row r="23" spans="1:18" ht="12.75" customHeight="1">
      <c r="A23" s="601"/>
      <c r="B23" s="1407" t="s">
        <v>421</v>
      </c>
      <c r="C23" s="725"/>
      <c r="D23" s="1408">
        <f>G82</f>
        <v>70261</v>
      </c>
      <c r="E23" s="437" t="s">
        <v>0</v>
      </c>
      <c r="H23" s="1425"/>
      <c r="K23" s="437"/>
    </row>
    <row r="24" spans="1:18">
      <c r="A24" s="601"/>
      <c r="B24" s="1407"/>
      <c r="C24" s="725"/>
      <c r="D24" s="1426"/>
      <c r="E24" s="437"/>
      <c r="F24" s="1427"/>
      <c r="G24" s="1427"/>
      <c r="K24" s="437"/>
    </row>
    <row r="25" spans="1:18">
      <c r="A25" s="601">
        <f>A19+1</f>
        <v>3</v>
      </c>
      <c r="B25" s="1412" t="s">
        <v>77</v>
      </c>
      <c r="C25" s="1413"/>
      <c r="D25" s="1414">
        <f>SUM(D23:D24)</f>
        <v>70261</v>
      </c>
      <c r="E25" s="1585">
        <f>Allocator.net.plant</f>
        <v>0.26273925856404062</v>
      </c>
      <c r="F25" s="1414">
        <f>+E25*D25</f>
        <v>18460.32304596806</v>
      </c>
      <c r="G25" s="1415"/>
      <c r="K25" s="437"/>
    </row>
    <row r="26" spans="1:18">
      <c r="A26" s="601"/>
      <c r="D26" s="1401"/>
      <c r="E26" s="437"/>
      <c r="K26" s="437"/>
    </row>
    <row r="27" spans="1:18" ht="13.5" thickBot="1">
      <c r="A27" s="601">
        <f>A25+1</f>
        <v>4</v>
      </c>
      <c r="B27" s="1412" t="str">
        <f>"Appendix A input: Total Included Taxes (Lines "&amp;A12&amp;" + "&amp;A19&amp;" + "&amp;A25&amp;")"</f>
        <v>Appendix A input: Total Included Taxes (Lines 1 + 2 + 3)</v>
      </c>
      <c r="C27" s="1413"/>
      <c r="D27" s="1428">
        <f>D12+D19+D25</f>
        <v>136866733</v>
      </c>
      <c r="E27" s="1413"/>
      <c r="F27" s="1429">
        <f>+F25+F19+F12</f>
        <v>35960263.950502515</v>
      </c>
      <c r="G27" s="1415"/>
      <c r="H27" s="2342" t="s">
        <v>1088</v>
      </c>
      <c r="K27" s="437"/>
    </row>
    <row r="28" spans="1:18" ht="13.5" thickTop="1">
      <c r="A28" s="601"/>
      <c r="C28" s="1430"/>
      <c r="D28" s="1401"/>
      <c r="E28" s="437"/>
      <c r="K28" s="437"/>
    </row>
    <row r="29" spans="1:18">
      <c r="A29" s="601"/>
      <c r="C29" s="1430"/>
      <c r="D29" s="1401"/>
      <c r="E29" s="1431"/>
      <c r="J29" s="1308"/>
      <c r="K29" s="833"/>
      <c r="N29" s="330"/>
      <c r="O29" s="833"/>
      <c r="P29" s="833"/>
      <c r="Q29" s="833"/>
      <c r="R29" s="833"/>
    </row>
    <row r="30" spans="1:18">
      <c r="A30" s="601"/>
      <c r="B30" s="1402" t="s">
        <v>78</v>
      </c>
      <c r="C30" s="1403"/>
      <c r="D30" s="1424"/>
      <c r="E30" s="437"/>
      <c r="F30" s="833"/>
      <c r="G30" s="833"/>
      <c r="H30" s="436"/>
      <c r="J30" s="1432"/>
      <c r="K30" s="437"/>
      <c r="N30" s="833"/>
      <c r="O30" s="833"/>
      <c r="P30" s="1433"/>
      <c r="Q30" s="833"/>
      <c r="R30" s="833"/>
    </row>
    <row r="31" spans="1:18">
      <c r="A31" s="601"/>
      <c r="B31" s="703" t="str">
        <f>C85</f>
        <v>Local Franchise</v>
      </c>
      <c r="C31" s="725"/>
      <c r="D31" s="1408">
        <f>G85</f>
        <v>31829699</v>
      </c>
      <c r="E31" s="1434"/>
      <c r="F31" s="833"/>
      <c r="G31" s="833"/>
      <c r="H31" s="436"/>
      <c r="J31" s="1308"/>
      <c r="K31" s="437"/>
      <c r="N31" s="833"/>
      <c r="O31" s="833"/>
      <c r="P31" s="1433"/>
      <c r="Q31" s="833"/>
      <c r="R31" s="833"/>
    </row>
    <row r="32" spans="1:18">
      <c r="A32" s="601"/>
      <c r="B32" s="703" t="str">
        <f t="shared" ref="B32:B38" si="0">C89</f>
        <v>Montana Energy License</v>
      </c>
      <c r="C32" s="725"/>
      <c r="D32" s="1408">
        <f t="shared" ref="D32:D38" si="1">G89</f>
        <v>241715</v>
      </c>
      <c r="E32" s="1435"/>
      <c r="F32" s="833"/>
      <c r="G32" s="833"/>
      <c r="H32" s="436"/>
      <c r="J32" s="1308"/>
      <c r="K32" s="437"/>
      <c r="N32" s="833"/>
      <c r="O32" s="833"/>
      <c r="P32" s="1433"/>
      <c r="Q32" s="833"/>
      <c r="R32" s="833"/>
    </row>
    <row r="33" spans="1:19">
      <c r="A33" s="601"/>
      <c r="B33" s="703" t="str">
        <f t="shared" si="0"/>
        <v>Montana Wholesale Energy</v>
      </c>
      <c r="C33" s="725"/>
      <c r="D33" s="1408">
        <f t="shared" si="1"/>
        <v>172224</v>
      </c>
      <c r="E33" s="1435"/>
      <c r="F33" s="833"/>
      <c r="G33" s="833"/>
      <c r="H33" s="436"/>
      <c r="J33" s="1308"/>
      <c r="K33" s="437"/>
      <c r="N33" s="833"/>
      <c r="O33" s="833"/>
      <c r="P33" s="1433"/>
      <c r="Q33" s="833"/>
      <c r="R33" s="833"/>
    </row>
    <row r="34" spans="1:19">
      <c r="A34" s="601"/>
      <c r="B34" s="703" t="str">
        <f t="shared" si="0"/>
        <v>Idaho Generation Tax (KWh)</v>
      </c>
      <c r="C34" s="725"/>
      <c r="D34" s="1408">
        <f t="shared" si="1"/>
        <v>37280</v>
      </c>
      <c r="E34" s="1436"/>
      <c r="F34" s="833"/>
      <c r="G34" s="833"/>
      <c r="H34" s="436"/>
      <c r="J34" s="1308"/>
      <c r="K34" s="437"/>
      <c r="N34" s="833"/>
      <c r="O34" s="833"/>
      <c r="P34" s="1433"/>
      <c r="Q34" s="833"/>
      <c r="R34" s="833"/>
    </row>
    <row r="35" spans="1:19">
      <c r="A35" s="601"/>
      <c r="B35" s="703" t="str">
        <f t="shared" si="0"/>
        <v>Oregon Department of Energy</v>
      </c>
      <c r="C35" s="1437"/>
      <c r="D35" s="1408">
        <f t="shared" si="1"/>
        <v>1247564</v>
      </c>
      <c r="E35" s="1435"/>
      <c r="F35" s="833"/>
      <c r="G35" s="833"/>
      <c r="H35" s="436"/>
      <c r="J35" s="1308"/>
      <c r="K35" s="437"/>
      <c r="N35" s="833"/>
      <c r="O35" s="833"/>
      <c r="P35" s="1433"/>
      <c r="Q35" s="833"/>
      <c r="R35" s="833"/>
    </row>
    <row r="36" spans="1:19">
      <c r="A36" s="601"/>
      <c r="B36" s="1438" t="str">
        <f t="shared" si="0"/>
        <v>Wyoming Wind Generation Tax</v>
      </c>
      <c r="C36" s="1437"/>
      <c r="D36" s="1408">
        <f t="shared" si="1"/>
        <v>1738070</v>
      </c>
      <c r="E36" s="1435"/>
      <c r="F36" s="833"/>
      <c r="G36" s="833"/>
      <c r="H36" s="436"/>
      <c r="J36" s="1308"/>
      <c r="K36" s="437"/>
      <c r="N36" s="833"/>
      <c r="O36" s="833"/>
      <c r="P36" s="1433"/>
      <c r="Q36" s="833"/>
      <c r="R36" s="833"/>
    </row>
    <row r="37" spans="1:19">
      <c r="A37" s="601"/>
      <c r="B37" s="703" t="str">
        <f t="shared" si="0"/>
        <v>Washington Public Utility Tax</v>
      </c>
      <c r="C37" s="703"/>
      <c r="D37" s="1408">
        <f t="shared" si="1"/>
        <v>13134413</v>
      </c>
      <c r="E37" s="1435"/>
      <c r="F37" s="833"/>
      <c r="G37" s="833"/>
      <c r="H37" s="436"/>
      <c r="J37" s="1308"/>
      <c r="K37" s="437"/>
    </row>
    <row r="38" spans="1:19">
      <c r="A38" s="601"/>
      <c r="B38" s="703" t="str">
        <f t="shared" si="0"/>
        <v>Other (Navajo Nation, Business &amp; Occupation, Other)</v>
      </c>
      <c r="C38" s="703"/>
      <c r="D38" s="1408">
        <f t="shared" si="1"/>
        <v>34610</v>
      </c>
      <c r="E38" s="1435"/>
      <c r="F38" s="833"/>
      <c r="G38" s="833"/>
      <c r="H38" s="436"/>
      <c r="J38" s="1308"/>
      <c r="K38" s="437"/>
    </row>
    <row r="39" spans="1:19">
      <c r="A39" s="601"/>
      <c r="B39" s="703"/>
      <c r="C39" s="703"/>
      <c r="D39" s="1408"/>
      <c r="E39" s="1435"/>
      <c r="F39" s="833"/>
      <c r="G39" s="833"/>
      <c r="H39" s="436"/>
      <c r="J39" s="1308"/>
      <c r="K39" s="437"/>
    </row>
    <row r="40" spans="1:19">
      <c r="A40" s="601">
        <f>A27+1</f>
        <v>5</v>
      </c>
      <c r="B40" s="1439" t="s">
        <v>1129</v>
      </c>
      <c r="C40" s="1439"/>
      <c r="D40" s="1414">
        <f>SUM(D31:D39)</f>
        <v>48435575</v>
      </c>
      <c r="E40" s="1440"/>
      <c r="F40" s="1440"/>
      <c r="G40" s="1440"/>
      <c r="H40" s="436"/>
      <c r="J40" s="1308"/>
      <c r="K40" s="437"/>
    </row>
    <row r="41" spans="1:19">
      <c r="A41" s="601"/>
      <c r="C41" s="833"/>
      <c r="D41" s="1441"/>
      <c r="E41" s="437"/>
      <c r="H41" s="436"/>
      <c r="J41" s="1308"/>
      <c r="K41" s="437"/>
    </row>
    <row r="42" spans="1:19">
      <c r="A42" s="601">
        <f>+A40+1</f>
        <v>6</v>
      </c>
      <c r="B42" s="1442" t="str">
        <f>"Total Other Taxes Included and Excluded (Line "&amp;A27&amp;" + Line "&amp;A40&amp;")"</f>
        <v>Total Other Taxes Included and Excluded (Line 4 + Line 5)</v>
      </c>
      <c r="C42" s="1324"/>
      <c r="D42" s="1443">
        <f>D40+D27</f>
        <v>185302308</v>
      </c>
      <c r="E42" s="1440"/>
      <c r="F42" s="1440"/>
      <c r="G42" s="1440"/>
      <c r="H42" s="436"/>
      <c r="J42" s="1308"/>
      <c r="K42" s="437"/>
    </row>
    <row r="43" spans="1:19">
      <c r="A43" s="601"/>
      <c r="B43" s="833"/>
      <c r="C43" s="1313"/>
      <c r="D43" s="1444"/>
      <c r="E43" s="833"/>
      <c r="J43" s="1308"/>
      <c r="K43" s="437"/>
    </row>
    <row r="44" spans="1:19">
      <c r="B44" s="1442" t="s">
        <v>1202</v>
      </c>
      <c r="C44" s="1324"/>
      <c r="E44" s="1445"/>
      <c r="F44" s="1445"/>
      <c r="G44" s="1445"/>
      <c r="J44" s="1308"/>
      <c r="K44" s="437"/>
    </row>
    <row r="45" spans="1:19">
      <c r="A45" s="601">
        <f>+A42+1</f>
        <v>7</v>
      </c>
      <c r="B45" s="833"/>
      <c r="C45" s="1446" t="s">
        <v>1199</v>
      </c>
      <c r="D45" s="1447">
        <f>INDEX(Inputs_EndYrBal,MATCH(C45,Inputs_FF1_Map,0))</f>
        <v>185302308</v>
      </c>
      <c r="E45" s="1445"/>
      <c r="F45" s="1445"/>
      <c r="G45" s="1445"/>
      <c r="H45" s="2342" t="s">
        <v>2002</v>
      </c>
      <c r="I45" s="833"/>
      <c r="J45" s="1299"/>
      <c r="K45" s="437"/>
    </row>
    <row r="46" spans="1:19">
      <c r="B46" s="833"/>
      <c r="C46" s="1300"/>
      <c r="D46" s="1448"/>
      <c r="E46" s="1445"/>
      <c r="F46" s="1445"/>
      <c r="G46" s="1445"/>
      <c r="H46" s="833"/>
      <c r="I46" s="833"/>
      <c r="J46" s="1299"/>
      <c r="K46" s="437"/>
    </row>
    <row r="47" spans="1:19">
      <c r="A47" s="601">
        <f>A45+1</f>
        <v>8</v>
      </c>
      <c r="B47" s="833"/>
      <c r="C47" s="1300" t="str">
        <f>"Difference  (Line "&amp;A42&amp;" - Line "&amp;A45&amp;")"</f>
        <v>Difference  (Line 6 - Line 7)</v>
      </c>
      <c r="D47" s="1449">
        <f>+D42-D45</f>
        <v>0</v>
      </c>
      <c r="E47" s="1450"/>
      <c r="G47" s="436"/>
      <c r="H47" s="2343" t="s">
        <v>1469</v>
      </c>
      <c r="I47" s="436"/>
      <c r="J47" s="1299"/>
      <c r="K47" s="437"/>
      <c r="M47" s="833"/>
      <c r="N47" s="321"/>
      <c r="O47" s="833"/>
      <c r="P47" s="833"/>
      <c r="Q47" s="833"/>
      <c r="R47" s="833"/>
      <c r="S47" s="833"/>
    </row>
    <row r="48" spans="1:19">
      <c r="B48" s="833"/>
      <c r="C48" s="1300"/>
      <c r="D48" s="1451"/>
      <c r="E48" s="1445"/>
      <c r="F48" s="1445"/>
      <c r="G48" s="1445"/>
      <c r="H48" s="833"/>
      <c r="I48" s="833"/>
      <c r="J48" s="1299"/>
      <c r="K48" s="437"/>
      <c r="M48" s="833"/>
      <c r="N48" s="833"/>
      <c r="O48" s="833"/>
      <c r="P48" s="833"/>
      <c r="Q48" s="833"/>
      <c r="R48" s="833"/>
      <c r="S48" s="833"/>
    </row>
    <row r="49" spans="2:19">
      <c r="B49" s="833" t="s">
        <v>291</v>
      </c>
      <c r="C49" s="833"/>
      <c r="D49" s="1431"/>
      <c r="E49" s="1452"/>
      <c r="F49" s="1452"/>
      <c r="G49" s="1452"/>
      <c r="H49" s="833"/>
      <c r="I49" s="833"/>
      <c r="J49" s="1299"/>
      <c r="K49" s="437"/>
      <c r="M49" s="833"/>
      <c r="N49" s="833"/>
      <c r="O49" s="833"/>
      <c r="P49" s="833"/>
      <c r="Q49" s="833"/>
      <c r="R49" s="833"/>
      <c r="S49" s="833"/>
    </row>
    <row r="50" spans="2:19">
      <c r="B50" s="833" t="s">
        <v>227</v>
      </c>
      <c r="C50" s="833" t="s">
        <v>39</v>
      </c>
      <c r="D50" s="1431"/>
      <c r="E50" s="1452"/>
      <c r="F50" s="1452"/>
      <c r="G50" s="1452"/>
      <c r="H50" s="833"/>
      <c r="I50" s="833"/>
      <c r="J50" s="1299"/>
      <c r="K50" s="437"/>
      <c r="M50" s="833"/>
      <c r="N50" s="833"/>
      <c r="O50" s="833"/>
      <c r="P50" s="833"/>
      <c r="Q50" s="833"/>
      <c r="R50" s="833"/>
      <c r="S50" s="833"/>
    </row>
    <row r="51" spans="2:19">
      <c r="B51" s="833"/>
      <c r="C51" s="1299" t="s">
        <v>40</v>
      </c>
      <c r="D51" s="1431"/>
      <c r="E51" s="833"/>
      <c r="F51" s="1452"/>
      <c r="G51" s="1452"/>
      <c r="H51" s="833"/>
      <c r="I51" s="833"/>
      <c r="J51" s="1299"/>
      <c r="K51" s="437"/>
    </row>
    <row r="52" spans="2:19">
      <c r="B52" s="833" t="s">
        <v>283</v>
      </c>
      <c r="C52" s="833" t="s">
        <v>203</v>
      </c>
      <c r="D52" s="1431"/>
      <c r="E52" s="833"/>
      <c r="F52" s="1452"/>
      <c r="G52" s="1452"/>
      <c r="H52" s="833"/>
      <c r="I52" s="833"/>
      <c r="J52" s="1299"/>
      <c r="K52" s="437"/>
    </row>
    <row r="53" spans="2:19">
      <c r="B53" s="833"/>
      <c r="C53" s="1299" t="s">
        <v>40</v>
      </c>
      <c r="D53" s="1431"/>
      <c r="E53" s="833"/>
      <c r="F53" s="1452"/>
      <c r="G53" s="1452"/>
      <c r="H53" s="833"/>
      <c r="I53" s="833"/>
      <c r="J53" s="1299"/>
      <c r="K53" s="437"/>
    </row>
    <row r="54" spans="2:19">
      <c r="B54" s="833" t="s">
        <v>215</v>
      </c>
      <c r="C54" s="833" t="s">
        <v>47</v>
      </c>
      <c r="D54" s="1431"/>
      <c r="E54" s="833"/>
      <c r="F54" s="1452"/>
      <c r="G54" s="1452"/>
      <c r="H54" s="833"/>
      <c r="I54" s="833"/>
      <c r="J54" s="1299"/>
      <c r="K54" s="437"/>
    </row>
    <row r="55" spans="2:19">
      <c r="B55" s="833" t="s">
        <v>228</v>
      </c>
      <c r="C55" s="1299" t="s">
        <v>41</v>
      </c>
      <c r="D55" s="1431"/>
      <c r="E55" s="833"/>
      <c r="F55" s="1452"/>
      <c r="G55" s="1452"/>
      <c r="H55" s="833"/>
      <c r="I55" s="833"/>
      <c r="J55" s="1299"/>
      <c r="K55" s="437"/>
    </row>
    <row r="56" spans="2:19">
      <c r="B56" s="833"/>
      <c r="C56" s="833" t="s">
        <v>42</v>
      </c>
      <c r="D56" s="1431"/>
      <c r="E56" s="833"/>
      <c r="F56" s="833"/>
      <c r="G56" s="833"/>
      <c r="H56" s="833"/>
      <c r="I56" s="833"/>
      <c r="J56" s="1299"/>
      <c r="K56" s="437"/>
    </row>
    <row r="57" spans="2:19">
      <c r="B57" s="833"/>
      <c r="C57" s="833" t="s">
        <v>1370</v>
      </c>
      <c r="D57" s="1401"/>
      <c r="E57" s="437"/>
      <c r="H57" s="833"/>
      <c r="I57" s="833"/>
      <c r="J57" s="1299"/>
      <c r="K57" s="437"/>
    </row>
    <row r="58" spans="2:19">
      <c r="B58" s="833" t="s">
        <v>226</v>
      </c>
      <c r="C58" s="833" t="s">
        <v>324</v>
      </c>
      <c r="D58" s="1401"/>
      <c r="E58" s="437"/>
      <c r="J58" s="1308"/>
      <c r="K58" s="437"/>
    </row>
    <row r="59" spans="2:19">
      <c r="C59" s="833"/>
      <c r="D59" s="1401"/>
      <c r="E59" s="437"/>
      <c r="J59" s="1308"/>
      <c r="K59" s="437"/>
    </row>
    <row r="60" spans="2:19">
      <c r="C60" s="833"/>
      <c r="D60" s="1401"/>
      <c r="E60" s="437"/>
      <c r="H60" s="1322"/>
      <c r="J60" s="1308"/>
      <c r="K60" s="437"/>
    </row>
    <row r="61" spans="2:19">
      <c r="C61" s="833"/>
      <c r="I61" s="1322"/>
    </row>
    <row r="62" spans="2:19" ht="13.5" thickBot="1">
      <c r="C62" s="833"/>
      <c r="I62" s="1322"/>
    </row>
    <row r="63" spans="2:19" ht="13.5" thickBot="1">
      <c r="B63" s="1453" t="s">
        <v>1959</v>
      </c>
      <c r="C63" s="1454"/>
      <c r="D63" s="1454"/>
      <c r="E63" s="1455"/>
      <c r="F63" s="1454"/>
      <c r="G63" s="1454"/>
      <c r="H63" s="1454"/>
      <c r="I63" s="1456"/>
      <c r="J63" s="1457"/>
    </row>
    <row r="64" spans="2:19">
      <c r="B64" s="1458"/>
      <c r="C64" s="1427"/>
      <c r="D64" s="1427"/>
      <c r="E64" s="1459"/>
      <c r="F64" s="1427"/>
      <c r="G64" s="1427"/>
      <c r="H64" s="1427"/>
      <c r="I64" s="1322"/>
      <c r="J64" s="1460"/>
    </row>
    <row r="65" spans="2:11">
      <c r="B65" s="1461"/>
      <c r="C65" s="1462"/>
      <c r="D65" s="831" t="s">
        <v>327</v>
      </c>
      <c r="E65" s="831" t="s">
        <v>8</v>
      </c>
      <c r="F65" s="831" t="s">
        <v>328</v>
      </c>
      <c r="G65" s="831" t="s">
        <v>1371</v>
      </c>
      <c r="H65" s="831"/>
      <c r="I65" s="1427"/>
      <c r="J65" s="1460"/>
      <c r="K65" s="437"/>
    </row>
    <row r="66" spans="2:11">
      <c r="B66" s="1463"/>
      <c r="C66" s="1815" t="s">
        <v>336</v>
      </c>
      <c r="D66" s="1464">
        <v>263</v>
      </c>
      <c r="E66" s="1464">
        <v>12</v>
      </c>
      <c r="F66" s="1465" t="s">
        <v>334</v>
      </c>
      <c r="G66" s="825">
        <v>3649984</v>
      </c>
      <c r="H66" s="1816">
        <v>2015</v>
      </c>
      <c r="I66" s="1313"/>
      <c r="J66" s="1460"/>
      <c r="K66" s="437"/>
    </row>
    <row r="67" spans="2:11">
      <c r="B67" s="1463"/>
      <c r="C67" s="1815" t="s">
        <v>337</v>
      </c>
      <c r="D67" s="1464">
        <v>263</v>
      </c>
      <c r="E67" s="1464">
        <v>17</v>
      </c>
      <c r="F67" s="1465" t="s">
        <v>334</v>
      </c>
      <c r="G67" s="825">
        <v>2193537</v>
      </c>
      <c r="H67" s="1816">
        <v>2015</v>
      </c>
      <c r="I67" s="1313"/>
      <c r="J67" s="1460"/>
      <c r="K67" s="437"/>
    </row>
    <row r="68" spans="2:11">
      <c r="B68" s="1463"/>
      <c r="C68" s="1815" t="s">
        <v>338</v>
      </c>
      <c r="D68" s="1464">
        <v>263</v>
      </c>
      <c r="E68" s="1464">
        <v>25</v>
      </c>
      <c r="F68" s="1465" t="s">
        <v>334</v>
      </c>
      <c r="G68" s="825">
        <v>1754352</v>
      </c>
      <c r="H68" s="1816">
        <v>2015</v>
      </c>
      <c r="I68" s="1313"/>
      <c r="J68" s="1460"/>
      <c r="K68" s="437"/>
    </row>
    <row r="69" spans="2:11">
      <c r="B69" s="1463"/>
      <c r="C69" s="1815" t="s">
        <v>339</v>
      </c>
      <c r="D69" s="1464">
        <v>263</v>
      </c>
      <c r="E69" s="1464">
        <v>30</v>
      </c>
      <c r="F69" s="1465" t="s">
        <v>334</v>
      </c>
      <c r="G69" s="825">
        <v>5529969</v>
      </c>
      <c r="H69" s="1816">
        <v>2015</v>
      </c>
      <c r="I69" s="1313"/>
      <c r="J69" s="1460"/>
      <c r="K69" s="437"/>
    </row>
    <row r="70" spans="2:11">
      <c r="B70" s="1463"/>
      <c r="C70" s="1815" t="s">
        <v>340</v>
      </c>
      <c r="D70" s="1464">
        <v>263</v>
      </c>
      <c r="E70" s="1464">
        <v>38</v>
      </c>
      <c r="F70" s="1465" t="s">
        <v>334</v>
      </c>
      <c r="G70" s="825">
        <v>4700074</v>
      </c>
      <c r="H70" s="1816">
        <v>2015</v>
      </c>
      <c r="I70" s="1313"/>
      <c r="J70" s="1460"/>
      <c r="K70" s="1466"/>
    </row>
    <row r="71" spans="2:11">
      <c r="B71" s="1463"/>
      <c r="C71" s="1815" t="s">
        <v>341</v>
      </c>
      <c r="D71" s="1464">
        <v>263.10000000000002</v>
      </c>
      <c r="E71" s="1464">
        <v>10</v>
      </c>
      <c r="F71" s="1465" t="s">
        <v>334</v>
      </c>
      <c r="G71" s="825">
        <v>22851</v>
      </c>
      <c r="H71" s="1816">
        <v>2015</v>
      </c>
      <c r="I71" s="1313"/>
      <c r="J71" s="1460"/>
      <c r="K71" s="1466"/>
    </row>
    <row r="72" spans="2:11">
      <c r="B72" s="1463"/>
      <c r="C72" s="1815" t="s">
        <v>342</v>
      </c>
      <c r="D72" s="1464">
        <v>263.10000000000002</v>
      </c>
      <c r="E72" s="1464">
        <v>15</v>
      </c>
      <c r="F72" s="1465" t="s">
        <v>334</v>
      </c>
      <c r="G72" s="825">
        <v>22872553</v>
      </c>
      <c r="H72" s="1816">
        <v>2015</v>
      </c>
      <c r="I72" s="1313"/>
      <c r="J72" s="1460"/>
      <c r="K72" s="1466"/>
    </row>
    <row r="73" spans="2:11">
      <c r="B73" s="1463"/>
      <c r="C73" s="1815" t="s">
        <v>343</v>
      </c>
      <c r="D73" s="1464">
        <v>263.10000000000002</v>
      </c>
      <c r="E73" s="1464">
        <v>30</v>
      </c>
      <c r="F73" s="1465" t="s">
        <v>334</v>
      </c>
      <c r="G73" s="825">
        <v>69285776</v>
      </c>
      <c r="H73" s="1816">
        <v>2015</v>
      </c>
      <c r="I73" s="1313"/>
      <c r="J73" s="1460"/>
      <c r="K73" s="1466"/>
    </row>
    <row r="74" spans="2:11">
      <c r="B74" s="1463"/>
      <c r="C74" s="1815" t="s">
        <v>344</v>
      </c>
      <c r="D74" s="1464">
        <v>263.10000000000002</v>
      </c>
      <c r="E74" s="1464">
        <v>38</v>
      </c>
      <c r="F74" s="1465" t="s">
        <v>334</v>
      </c>
      <c r="G74" s="825">
        <v>11206730</v>
      </c>
      <c r="H74" s="1816">
        <v>2015</v>
      </c>
      <c r="I74" s="1313"/>
      <c r="J74" s="1460"/>
      <c r="K74" s="1466"/>
    </row>
    <row r="75" spans="2:11">
      <c r="B75" s="1463"/>
      <c r="C75" s="1815" t="s">
        <v>345</v>
      </c>
      <c r="D75" s="1464">
        <v>263.2</v>
      </c>
      <c r="E75" s="1464">
        <v>8</v>
      </c>
      <c r="F75" s="1465" t="s">
        <v>334</v>
      </c>
      <c r="G75" s="825">
        <v>15099653</v>
      </c>
      <c r="H75" s="1816">
        <v>2015</v>
      </c>
      <c r="I75" s="1313"/>
      <c r="J75" s="1460"/>
      <c r="K75" s="1466"/>
    </row>
    <row r="76" spans="2:11">
      <c r="B76" s="1463"/>
      <c r="C76" s="1815" t="s">
        <v>413</v>
      </c>
      <c r="D76" s="1464">
        <v>263.2</v>
      </c>
      <c r="E76" s="1464">
        <v>19</v>
      </c>
      <c r="F76" s="1465" t="s">
        <v>334</v>
      </c>
      <c r="G76" s="825">
        <v>23401</v>
      </c>
      <c r="H76" s="1816">
        <v>2015</v>
      </c>
      <c r="I76" s="1313"/>
      <c r="J76" s="1460"/>
      <c r="K76" s="1466"/>
    </row>
    <row r="77" spans="2:11">
      <c r="B77" s="1463"/>
      <c r="C77" s="1815" t="s">
        <v>414</v>
      </c>
      <c r="D77" s="1464">
        <v>263.2</v>
      </c>
      <c r="E77" s="1464">
        <v>20</v>
      </c>
      <c r="F77" s="1465" t="s">
        <v>334</v>
      </c>
      <c r="G77" s="825">
        <v>241948</v>
      </c>
      <c r="H77" s="1816">
        <v>2015</v>
      </c>
      <c r="I77" s="1467"/>
      <c r="J77" s="1460"/>
      <c r="K77" s="1466"/>
    </row>
    <row r="78" spans="2:11">
      <c r="B78" s="1463"/>
      <c r="C78" s="1815" t="s">
        <v>415</v>
      </c>
      <c r="D78" s="1464">
        <v>263.2</v>
      </c>
      <c r="E78" s="1464">
        <v>21</v>
      </c>
      <c r="F78" s="1465" t="s">
        <v>334</v>
      </c>
      <c r="G78" s="825">
        <v>39579</v>
      </c>
      <c r="H78" s="1816">
        <v>2015</v>
      </c>
      <c r="I78" s="1427"/>
      <c r="J78" s="1460"/>
      <c r="K78" s="437"/>
    </row>
    <row r="79" spans="2:11">
      <c r="B79" s="1461"/>
      <c r="C79" s="1815" t="s">
        <v>416</v>
      </c>
      <c r="D79" s="1464">
        <v>263.2</v>
      </c>
      <c r="E79" s="1464">
        <v>22</v>
      </c>
      <c r="F79" s="1465" t="s">
        <v>334</v>
      </c>
      <c r="G79" s="825">
        <v>38782</v>
      </c>
      <c r="H79" s="1816">
        <v>2015</v>
      </c>
      <c r="I79" s="1427"/>
      <c r="J79" s="1460"/>
      <c r="K79" s="437"/>
    </row>
    <row r="80" spans="2:11">
      <c r="B80" s="1461"/>
      <c r="C80" s="1815" t="s">
        <v>417</v>
      </c>
      <c r="D80" s="1464">
        <v>263.2</v>
      </c>
      <c r="E80" s="1464">
        <v>23</v>
      </c>
      <c r="F80" s="1465" t="s">
        <v>334</v>
      </c>
      <c r="G80" s="825">
        <v>70632</v>
      </c>
      <c r="H80" s="1816">
        <v>2015</v>
      </c>
      <c r="I80" s="1427"/>
      <c r="J80" s="1460"/>
      <c r="K80" s="437"/>
    </row>
    <row r="81" spans="2:12">
      <c r="B81" s="1461"/>
      <c r="C81" s="1815" t="s">
        <v>418</v>
      </c>
      <c r="D81" s="1464">
        <v>263.2</v>
      </c>
      <c r="E81" s="1464">
        <v>24</v>
      </c>
      <c r="F81" s="1465" t="s">
        <v>334</v>
      </c>
      <c r="G81" s="825">
        <v>66651</v>
      </c>
      <c r="H81" s="1816">
        <v>2015</v>
      </c>
      <c r="I81" s="1427"/>
      <c r="J81" s="1460"/>
      <c r="K81" s="1468"/>
    </row>
    <row r="82" spans="2:12">
      <c r="B82" s="1461"/>
      <c r="C82" s="1815" t="s">
        <v>420</v>
      </c>
      <c r="D82" s="1464">
        <v>263.2</v>
      </c>
      <c r="E82" s="1464">
        <v>13</v>
      </c>
      <c r="F82" s="1465" t="s">
        <v>334</v>
      </c>
      <c r="G82" s="825">
        <v>70261</v>
      </c>
      <c r="H82" s="1816">
        <v>2015</v>
      </c>
      <c r="I82" s="1313"/>
      <c r="J82" s="1469"/>
      <c r="K82" s="833"/>
      <c r="L82" s="330"/>
    </row>
    <row r="83" spans="2:12">
      <c r="B83" s="1461"/>
      <c r="C83" s="1462"/>
      <c r="D83" s="1427"/>
      <c r="E83" s="1427"/>
      <c r="F83" s="1427"/>
      <c r="G83" s="1427"/>
      <c r="H83" s="1427"/>
      <c r="I83" s="1427"/>
      <c r="J83" s="1469"/>
      <c r="K83" s="833"/>
      <c r="L83" s="330"/>
    </row>
    <row r="84" spans="2:12" s="1389" customFormat="1">
      <c r="B84" s="1470"/>
      <c r="C84" s="1471" t="s">
        <v>1372</v>
      </c>
      <c r="D84" s="1472"/>
      <c r="E84" s="1472"/>
      <c r="F84" s="1472"/>
      <c r="G84" s="1472"/>
      <c r="H84" s="1472"/>
      <c r="I84" s="1473"/>
      <c r="J84" s="1474"/>
      <c r="K84" s="1475"/>
      <c r="L84" s="345"/>
    </row>
    <row r="85" spans="2:12" s="1389" customFormat="1" ht="25.5">
      <c r="B85" s="1470">
        <v>1</v>
      </c>
      <c r="C85" s="1476" t="s">
        <v>1373</v>
      </c>
      <c r="D85" s="1477" t="s">
        <v>1374</v>
      </c>
      <c r="E85" s="1478" t="s">
        <v>1375</v>
      </c>
      <c r="F85" s="1479" t="s">
        <v>1375</v>
      </c>
      <c r="G85" s="1480">
        <f>SUM(G86:G88)</f>
        <v>31829699</v>
      </c>
      <c r="H85" s="1481"/>
      <c r="I85" s="1482" t="s">
        <v>456</v>
      </c>
      <c r="J85" s="1474"/>
      <c r="K85" s="1475"/>
      <c r="L85" s="345"/>
    </row>
    <row r="86" spans="2:12" s="1389" customFormat="1" ht="25.5">
      <c r="B86" s="1470"/>
      <c r="C86" s="1483" t="s">
        <v>1376</v>
      </c>
      <c r="D86" s="1484">
        <v>263</v>
      </c>
      <c r="E86" s="1484">
        <v>21</v>
      </c>
      <c r="F86" s="1485" t="s">
        <v>334</v>
      </c>
      <c r="G86" s="1486">
        <v>1094371</v>
      </c>
      <c r="H86" s="1816">
        <v>2015</v>
      </c>
      <c r="I86" s="1487" t="s">
        <v>1377</v>
      </c>
      <c r="J86" s="1474"/>
      <c r="K86" s="2244"/>
      <c r="L86" s="345"/>
    </row>
    <row r="87" spans="2:12" s="1389" customFormat="1" ht="25.5">
      <c r="B87" s="1470"/>
      <c r="C87" s="1488" t="s">
        <v>1378</v>
      </c>
      <c r="D87" s="1489">
        <v>263.10000000000002</v>
      </c>
      <c r="E87" s="1490">
        <v>22</v>
      </c>
      <c r="F87" s="1491" t="s">
        <v>334</v>
      </c>
      <c r="G87" s="1492">
        <v>28784862</v>
      </c>
      <c r="H87" s="1816">
        <v>2015</v>
      </c>
      <c r="I87" s="1493" t="s">
        <v>1379</v>
      </c>
      <c r="J87" s="1474"/>
      <c r="K87" s="1475"/>
      <c r="L87" s="1475"/>
    </row>
    <row r="88" spans="2:12" s="1389" customFormat="1" ht="25.5">
      <c r="B88" s="1470"/>
      <c r="C88" s="1494" t="s">
        <v>1380</v>
      </c>
      <c r="D88" s="1495">
        <v>263.2</v>
      </c>
      <c r="E88" s="1496">
        <v>11</v>
      </c>
      <c r="F88" s="1497" t="s">
        <v>334</v>
      </c>
      <c r="G88" s="1498">
        <v>1950466</v>
      </c>
      <c r="H88" s="1816">
        <v>2015</v>
      </c>
      <c r="I88" s="1499" t="s">
        <v>1381</v>
      </c>
      <c r="J88" s="1474"/>
      <c r="K88" s="2244"/>
      <c r="L88" s="1475"/>
    </row>
    <row r="89" spans="2:12" s="1389" customFormat="1" ht="25.5">
      <c r="B89" s="1470">
        <v>2</v>
      </c>
      <c r="C89" s="1500" t="s">
        <v>1382</v>
      </c>
      <c r="D89" s="1501">
        <v>263.10000000000002</v>
      </c>
      <c r="E89" s="1502">
        <v>1</v>
      </c>
      <c r="F89" s="1503" t="s">
        <v>334</v>
      </c>
      <c r="G89" s="1504">
        <v>241715</v>
      </c>
      <c r="H89" s="1817">
        <v>2015</v>
      </c>
      <c r="I89" s="1505" t="s">
        <v>452</v>
      </c>
      <c r="J89" s="1474"/>
      <c r="K89" s="1475"/>
      <c r="L89" s="345"/>
    </row>
    <row r="90" spans="2:12" s="1389" customFormat="1" ht="25.5">
      <c r="B90" s="1470">
        <v>3</v>
      </c>
      <c r="C90" s="1500" t="s">
        <v>1383</v>
      </c>
      <c r="D90" s="1501">
        <v>263.10000000000002</v>
      </c>
      <c r="E90" s="1502">
        <v>2</v>
      </c>
      <c r="F90" s="1503" t="s">
        <v>334</v>
      </c>
      <c r="G90" s="1504">
        <v>172224</v>
      </c>
      <c r="H90" s="1817">
        <v>2015</v>
      </c>
      <c r="I90" s="1505" t="s">
        <v>452</v>
      </c>
      <c r="J90" s="1474"/>
      <c r="K90" s="1475"/>
      <c r="L90" s="345"/>
    </row>
    <row r="91" spans="2:12" s="1389" customFormat="1">
      <c r="B91" s="1470">
        <v>4</v>
      </c>
      <c r="C91" s="1500" t="s">
        <v>1384</v>
      </c>
      <c r="D91" s="1501">
        <v>263</v>
      </c>
      <c r="E91" s="1502">
        <v>32</v>
      </c>
      <c r="F91" s="1503" t="s">
        <v>334</v>
      </c>
      <c r="G91" s="1504">
        <v>37280</v>
      </c>
      <c r="H91" s="1817">
        <v>2015</v>
      </c>
      <c r="I91" s="1505" t="s">
        <v>453</v>
      </c>
      <c r="J91" s="1474"/>
      <c r="K91" s="1475"/>
      <c r="L91" s="345"/>
    </row>
    <row r="92" spans="2:12" s="1389" customFormat="1" ht="42.75" customHeight="1">
      <c r="B92" s="1470">
        <v>5</v>
      </c>
      <c r="C92" s="1500" t="s">
        <v>1385</v>
      </c>
      <c r="D92" s="1501">
        <v>263.10000000000002</v>
      </c>
      <c r="E92" s="1502">
        <v>19</v>
      </c>
      <c r="F92" s="1503" t="s">
        <v>334</v>
      </c>
      <c r="G92" s="1504">
        <v>1247564</v>
      </c>
      <c r="H92" s="1817">
        <v>2015</v>
      </c>
      <c r="I92" s="1505" t="s">
        <v>454</v>
      </c>
      <c r="J92" s="1474"/>
      <c r="K92" s="1475"/>
      <c r="L92" s="345"/>
    </row>
    <row r="93" spans="2:12" s="1389" customFormat="1" ht="28.5" customHeight="1">
      <c r="B93" s="1470">
        <v>6</v>
      </c>
      <c r="C93" s="1500" t="s">
        <v>1386</v>
      </c>
      <c r="D93" s="1501">
        <v>263.2</v>
      </c>
      <c r="E93" s="1502">
        <v>9</v>
      </c>
      <c r="F93" s="1503" t="s">
        <v>334</v>
      </c>
      <c r="G93" s="1504">
        <v>1738070</v>
      </c>
      <c r="H93" s="1817">
        <v>2015</v>
      </c>
      <c r="I93" s="1505" t="s">
        <v>1387</v>
      </c>
      <c r="J93" s="1474"/>
      <c r="K93" s="1475"/>
      <c r="L93" s="345"/>
    </row>
    <row r="94" spans="2:12" s="1389" customFormat="1" ht="25.5">
      <c r="B94" s="1470">
        <v>7</v>
      </c>
      <c r="C94" s="1500" t="s">
        <v>1388</v>
      </c>
      <c r="D94" s="1501">
        <v>263.2</v>
      </c>
      <c r="E94" s="1502">
        <v>1</v>
      </c>
      <c r="F94" s="1503" t="s">
        <v>334</v>
      </c>
      <c r="G94" s="1504">
        <v>13134413</v>
      </c>
      <c r="H94" s="1817">
        <v>2015</v>
      </c>
      <c r="I94" s="1505" t="s">
        <v>457</v>
      </c>
      <c r="J94" s="1474"/>
      <c r="K94" s="1475"/>
      <c r="L94" s="1475"/>
    </row>
    <row r="95" spans="2:12" s="1389" customFormat="1" ht="25.5">
      <c r="B95" s="1470">
        <v>8</v>
      </c>
      <c r="C95" s="2377" t="s">
        <v>1389</v>
      </c>
      <c r="D95" s="2381" t="s">
        <v>1374</v>
      </c>
      <c r="E95" s="2385" t="s">
        <v>1375</v>
      </c>
      <c r="F95" s="2389" t="s">
        <v>1375</v>
      </c>
      <c r="G95" s="2391">
        <f>SUM(G96:G98)</f>
        <v>34610</v>
      </c>
      <c r="H95" s="1504"/>
      <c r="I95" s="2394" t="s">
        <v>455</v>
      </c>
      <c r="J95" s="1474"/>
      <c r="K95" s="1475"/>
      <c r="L95" s="1475"/>
    </row>
    <row r="96" spans="2:12">
      <c r="B96" s="1461"/>
      <c r="C96" s="2378" t="s">
        <v>605</v>
      </c>
      <c r="D96" s="2382">
        <v>263.10000000000002</v>
      </c>
      <c r="E96" s="2386">
        <v>40</v>
      </c>
      <c r="F96" s="2382" t="s">
        <v>334</v>
      </c>
      <c r="G96" s="2393">
        <v>24000</v>
      </c>
      <c r="H96" s="1816">
        <v>2015</v>
      </c>
      <c r="I96" s="2395"/>
      <c r="J96" s="1460"/>
    </row>
    <row r="97" spans="1:19" s="1308" customFormat="1">
      <c r="A97" s="437"/>
      <c r="B97" s="1461"/>
      <c r="C97" s="2379" t="s">
        <v>604</v>
      </c>
      <c r="D97" s="2383">
        <v>263.10000000000002</v>
      </c>
      <c r="E97" s="2387">
        <v>33</v>
      </c>
      <c r="F97" s="2383" t="s">
        <v>334</v>
      </c>
      <c r="G97" s="2375">
        <v>610</v>
      </c>
      <c r="H97" s="1816">
        <v>2015</v>
      </c>
      <c r="I97" s="2376"/>
      <c r="J97" s="1460"/>
      <c r="L97" s="437"/>
      <c r="M97" s="437"/>
      <c r="N97" s="437"/>
      <c r="O97" s="437"/>
      <c r="P97" s="437"/>
      <c r="Q97" s="437"/>
      <c r="R97" s="437"/>
      <c r="S97" s="437"/>
    </row>
    <row r="98" spans="1:19" s="1308" customFormat="1">
      <c r="A98" s="437"/>
      <c r="B98" s="1461"/>
      <c r="C98" s="2380" t="s">
        <v>2003</v>
      </c>
      <c r="D98" s="2384">
        <v>263.10000000000002</v>
      </c>
      <c r="E98" s="2388">
        <v>6</v>
      </c>
      <c r="F98" s="2384" t="s">
        <v>334</v>
      </c>
      <c r="G98" s="1510">
        <v>10000</v>
      </c>
      <c r="H98" s="1816">
        <v>2015</v>
      </c>
      <c r="I98" s="1509"/>
      <c r="J98" s="1460"/>
      <c r="L98" s="437"/>
      <c r="M98" s="437"/>
      <c r="N98" s="437"/>
      <c r="O98" s="437"/>
      <c r="P98" s="437"/>
      <c r="Q98" s="437"/>
      <c r="R98" s="437"/>
      <c r="S98" s="437"/>
    </row>
    <row r="99" spans="1:19" s="1308" customFormat="1">
      <c r="A99" s="437"/>
      <c r="B99" s="1461"/>
      <c r="C99" s="1506"/>
      <c r="D99" s="1507"/>
      <c r="E99" s="1508"/>
      <c r="F99" s="2390"/>
      <c r="G99" s="2392"/>
      <c r="H99" s="1511"/>
      <c r="I99" s="1509"/>
      <c r="J99" s="1460"/>
      <c r="L99" s="437"/>
      <c r="M99" s="437"/>
      <c r="N99" s="437"/>
      <c r="O99" s="437"/>
      <c r="P99" s="437"/>
      <c r="Q99" s="437"/>
      <c r="R99" s="437"/>
      <c r="S99" s="437"/>
    </row>
    <row r="100" spans="1:19" s="1308" customFormat="1" ht="13.5" thickBot="1">
      <c r="A100" s="437"/>
      <c r="B100" s="1512"/>
      <c r="C100" s="1513"/>
      <c r="D100" s="1513"/>
      <c r="E100" s="1514"/>
      <c r="F100" s="1513"/>
      <c r="G100" s="1513"/>
      <c r="H100" s="1513"/>
      <c r="I100" s="1513"/>
      <c r="J100" s="1515"/>
      <c r="L100" s="437"/>
      <c r="M100" s="437"/>
      <c r="N100" s="437"/>
      <c r="O100" s="437"/>
      <c r="P100" s="437"/>
      <c r="Q100" s="437"/>
      <c r="R100" s="437"/>
      <c r="S100" s="437"/>
    </row>
    <row r="103" spans="1:19">
      <c r="D103" s="2363"/>
      <c r="E103" s="437"/>
    </row>
    <row r="104" spans="1:19">
      <c r="D104" s="2363"/>
      <c r="E104" s="437"/>
    </row>
    <row r="105" spans="1:19">
      <c r="D105" s="2363"/>
      <c r="E105" s="437"/>
    </row>
    <row r="106" spans="1:19">
      <c r="D106" s="2363"/>
      <c r="E106" s="437"/>
    </row>
    <row r="107" spans="1:19">
      <c r="D107" s="2363"/>
      <c r="E107" s="437"/>
    </row>
    <row r="108" spans="1:19">
      <c r="D108" s="2363"/>
      <c r="E108" s="437"/>
    </row>
    <row r="109" spans="1:19">
      <c r="D109" s="2363"/>
      <c r="E109" s="437"/>
    </row>
    <row r="110" spans="1:19">
      <c r="D110" s="2363"/>
      <c r="E110" s="437"/>
    </row>
    <row r="111" spans="1:19">
      <c r="E111" s="2363"/>
    </row>
    <row r="112" spans="1:19">
      <c r="E112" s="2363"/>
    </row>
    <row r="113" spans="4:6">
      <c r="D113" s="1427"/>
      <c r="E113" s="2397"/>
      <c r="F113" s="1427"/>
    </row>
    <row r="114" spans="4:6">
      <c r="D114" s="2398"/>
      <c r="E114" s="2398"/>
      <c r="F114" s="2398"/>
    </row>
    <row r="115" spans="4:6">
      <c r="D115" s="2562"/>
      <c r="E115" s="2562"/>
      <c r="F115" s="2397"/>
    </row>
    <row r="116" spans="4:6">
      <c r="D116" s="1427"/>
      <c r="E116" s="1427"/>
      <c r="F116" s="2399"/>
    </row>
    <row r="117" spans="4:6">
      <c r="D117" s="2363"/>
      <c r="E117" s="437"/>
    </row>
    <row r="118" spans="4:6">
      <c r="D118" s="2363"/>
      <c r="E118" s="437"/>
    </row>
    <row r="119" spans="4:6">
      <c r="E119" s="437"/>
    </row>
    <row r="120" spans="4:6">
      <c r="E120" s="437"/>
    </row>
    <row r="121" spans="4:6">
      <c r="D121" s="2396"/>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N55"/>
  <sheetViews>
    <sheetView zoomScaleNormal="100" workbookViewId="0">
      <selection activeCell="O10" sqref="O10"/>
    </sheetView>
  </sheetViews>
  <sheetFormatPr defaultRowHeight="12.75"/>
  <cols>
    <col min="1" max="1" width="8.28515625" style="2127"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2075" t="s">
        <v>365</v>
      </c>
      <c r="B1" s="2075"/>
      <c r="C1" s="2075"/>
      <c r="D1" s="2075"/>
      <c r="E1" s="2075"/>
      <c r="F1" s="1310"/>
    </row>
    <row r="2" spans="1:66" ht="15.75">
      <c r="A2" s="2075" t="s">
        <v>247</v>
      </c>
      <c r="B2" s="2076"/>
      <c r="C2" s="2076"/>
      <c r="D2" s="2076"/>
      <c r="E2" s="2076"/>
    </row>
    <row r="3" spans="1:66" ht="15.75">
      <c r="A3" s="2563"/>
      <c r="B3" s="2563"/>
      <c r="C3" s="2563"/>
      <c r="D3" s="2563"/>
      <c r="E3" s="2563"/>
    </row>
    <row r="4" spans="1:66">
      <c r="A4" s="2077" t="s">
        <v>8</v>
      </c>
      <c r="B4" s="2078" t="s">
        <v>24</v>
      </c>
      <c r="C4" s="2079" t="s">
        <v>304</v>
      </c>
      <c r="D4" s="2079" t="s">
        <v>526</v>
      </c>
      <c r="E4" s="570" t="s">
        <v>326</v>
      </c>
    </row>
    <row r="5" spans="1:66">
      <c r="A5" s="2080"/>
      <c r="B5" s="2081"/>
      <c r="C5" s="2080"/>
      <c r="D5" s="2080"/>
      <c r="E5" s="163"/>
    </row>
    <row r="6" spans="1:66">
      <c r="A6" s="2080"/>
      <c r="B6" s="2082" t="s">
        <v>173</v>
      </c>
      <c r="C6" s="1310"/>
      <c r="D6" s="1310"/>
      <c r="E6" s="163"/>
    </row>
    <row r="7" spans="1:66">
      <c r="A7" s="2083">
        <v>1</v>
      </c>
      <c r="B7" s="2084" t="s">
        <v>3</v>
      </c>
      <c r="C7" s="2085"/>
      <c r="D7" s="2085"/>
      <c r="E7" s="1688">
        <f>Inputs!$E$94</f>
        <v>3579420.42</v>
      </c>
      <c r="G7" s="2163" t="s">
        <v>2151</v>
      </c>
    </row>
    <row r="8" spans="1:66">
      <c r="A8" s="2086">
        <f>A7+1</f>
        <v>2</v>
      </c>
      <c r="B8" s="2084" t="s">
        <v>679</v>
      </c>
      <c r="C8" s="2085"/>
      <c r="D8" s="2085"/>
      <c r="E8" s="1687">
        <v>191238</v>
      </c>
      <c r="G8" s="2163" t="s">
        <v>2151</v>
      </c>
    </row>
    <row r="9" spans="1:66">
      <c r="A9" s="2086">
        <f>A8+1</f>
        <v>3</v>
      </c>
      <c r="B9" s="2084" t="s">
        <v>680</v>
      </c>
      <c r="C9" s="459"/>
      <c r="D9" s="2087" t="s">
        <v>892</v>
      </c>
      <c r="E9" s="1688">
        <f>E42</f>
        <v>555768</v>
      </c>
    </row>
    <row r="10" spans="1:66">
      <c r="A10" s="2086">
        <f>A9+1</f>
        <v>4</v>
      </c>
      <c r="B10" s="2084" t="s">
        <v>681</v>
      </c>
      <c r="C10" s="2085"/>
      <c r="D10" s="2085"/>
      <c r="E10" s="1687">
        <v>952354.99</v>
      </c>
      <c r="G10" s="2163" t="s">
        <v>2151</v>
      </c>
    </row>
    <row r="11" spans="1:66">
      <c r="A11" s="2086">
        <f>A10+1</f>
        <v>5</v>
      </c>
      <c r="B11" s="2088" t="s">
        <v>894</v>
      </c>
      <c r="C11" s="459"/>
      <c r="D11" s="2087" t="s">
        <v>892</v>
      </c>
      <c r="E11" s="1688">
        <f>E36</f>
        <v>310409.33861844533</v>
      </c>
      <c r="G11" s="2163"/>
    </row>
    <row r="12" spans="1:66">
      <c r="A12" s="2080">
        <f>A11+1</f>
        <v>6</v>
      </c>
      <c r="B12" s="2089" t="s">
        <v>956</v>
      </c>
      <c r="C12" s="2090"/>
      <c r="D12" s="1900" t="str">
        <f>"(Sum Lines "&amp;A7&amp;"-"&amp;A11&amp;")"</f>
        <v>(Sum Lines 1-5)</v>
      </c>
      <c r="E12" s="2091">
        <f>SUM(E7:E11)</f>
        <v>5589190.7486184454</v>
      </c>
      <c r="G12" s="2163" t="s">
        <v>1726</v>
      </c>
    </row>
    <row r="13" spans="1:66">
      <c r="A13" s="2080"/>
      <c r="B13" s="2093"/>
      <c r="C13" s="2080"/>
      <c r="D13" s="2080"/>
      <c r="E13" s="569"/>
      <c r="G13" s="2092"/>
    </row>
    <row r="14" spans="1:66" s="2094" customFormat="1">
      <c r="A14" s="2080"/>
      <c r="B14" s="2082" t="s">
        <v>131</v>
      </c>
      <c r="C14" s="2080"/>
      <c r="D14" s="2080"/>
      <c r="E14" s="163"/>
      <c r="F14" s="436"/>
      <c r="G14" s="2092"/>
      <c r="H14" s="1310"/>
      <c r="I14" s="1310"/>
      <c r="J14" s="1310"/>
      <c r="K14" s="1310"/>
      <c r="L14" s="1310"/>
      <c r="M14" s="1310"/>
      <c r="N14" s="1310"/>
      <c r="O14" s="1310"/>
      <c r="P14" s="1310"/>
      <c r="Q14" s="1310"/>
      <c r="R14" s="1310"/>
      <c r="S14" s="1310"/>
      <c r="T14" s="1310"/>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row>
    <row r="15" spans="1:66" s="2094" customFormat="1">
      <c r="A15" s="2086">
        <f>A12+1</f>
        <v>7</v>
      </c>
      <c r="B15" s="827" t="s">
        <v>950</v>
      </c>
      <c r="C15" s="2095" t="str">
        <f>$A$49</f>
        <v>Note 3</v>
      </c>
      <c r="D15" s="835" t="s">
        <v>890</v>
      </c>
      <c r="E15" s="1689">
        <f>'Att 13 - Revenue Credit Detail'!D35</f>
        <v>23548070.368000001</v>
      </c>
      <c r="F15" s="436"/>
      <c r="G15" s="2163" t="s">
        <v>2151</v>
      </c>
      <c r="H15" s="1310"/>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row>
    <row r="16" spans="1:66" ht="25.5">
      <c r="A16" s="2086">
        <f>A15+1</f>
        <v>8</v>
      </c>
      <c r="B16" s="2096" t="s">
        <v>951</v>
      </c>
      <c r="C16" s="2095" t="str">
        <f>$A$49</f>
        <v>Note 3</v>
      </c>
      <c r="D16" s="832"/>
      <c r="E16" s="1686">
        <v>0</v>
      </c>
      <c r="G16" s="2163" t="s">
        <v>2151</v>
      </c>
    </row>
    <row r="17" spans="1:19" ht="25.5">
      <c r="A17" s="2086">
        <f>A16+1</f>
        <v>9</v>
      </c>
      <c r="B17" s="2097" t="s">
        <v>425</v>
      </c>
      <c r="C17" s="2098"/>
      <c r="D17" s="835" t="s">
        <v>890</v>
      </c>
      <c r="E17" s="1689">
        <f>'Att 13 - Revenue Credit Detail'!D54</f>
        <v>120928143.11</v>
      </c>
      <c r="G17" s="2163" t="s">
        <v>2151</v>
      </c>
    </row>
    <row r="18" spans="1:19">
      <c r="A18" s="2086">
        <f>A17+1</f>
        <v>10</v>
      </c>
      <c r="B18" s="827" t="s">
        <v>953</v>
      </c>
      <c r="C18" s="2095" t="str">
        <f>$A$48</f>
        <v>Note 2</v>
      </c>
      <c r="D18" s="835"/>
      <c r="E18" s="2182">
        <f>SUM(Inputs!E95,Inputs!E96,Inputs!E97)</f>
        <v>2255619.0319983354</v>
      </c>
      <c r="G18" s="2163" t="s">
        <v>2198</v>
      </c>
    </row>
    <row r="19" spans="1:19">
      <c r="A19" s="2086">
        <f>A18+1</f>
        <v>11</v>
      </c>
      <c r="B19" s="827" t="s">
        <v>955</v>
      </c>
      <c r="C19" s="832"/>
      <c r="D19" s="832" t="s">
        <v>954</v>
      </c>
      <c r="E19" s="1686">
        <v>374060.13</v>
      </c>
      <c r="G19" s="2163" t="s">
        <v>2151</v>
      </c>
      <c r="J19" s="2473"/>
    </row>
    <row r="20" spans="1:19">
      <c r="A20" s="2086">
        <f>A19+1</f>
        <v>12</v>
      </c>
      <c r="B20" s="2099" t="s">
        <v>957</v>
      </c>
      <c r="C20" s="2100"/>
      <c r="D20" s="2100" t="str">
        <f>"(Sum Lines "&amp;A15&amp;"-"&amp;A19&amp;")"</f>
        <v>(Sum Lines 7-11)</v>
      </c>
      <c r="E20" s="2101">
        <f>SUM(E15:E19)</f>
        <v>147105892.63999832</v>
      </c>
      <c r="G20" s="2163" t="s">
        <v>1726</v>
      </c>
    </row>
    <row r="21" spans="1:19">
      <c r="A21" s="2080"/>
      <c r="B21" s="2093"/>
      <c r="C21" s="829"/>
      <c r="D21" s="829"/>
      <c r="E21" s="567"/>
    </row>
    <row r="22" spans="1:19" ht="13.5" thickBot="1">
      <c r="A22" s="2086">
        <f>A20+1</f>
        <v>13</v>
      </c>
      <c r="B22" s="2102" t="s">
        <v>1724</v>
      </c>
      <c r="C22" s="2090"/>
      <c r="D22" s="1900" t="str">
        <f>"(Sum Lines "&amp;A12&amp;" &amp;"&amp;A20&amp;")"</f>
        <v>(Sum Lines 6 &amp;12)</v>
      </c>
      <c r="E22" s="1242">
        <f>SUM(E12,E20)</f>
        <v>152695083.38861677</v>
      </c>
      <c r="G22" s="2163" t="s">
        <v>1727</v>
      </c>
      <c r="H22" s="1310"/>
      <c r="I22" s="1310"/>
      <c r="J22" s="1310"/>
      <c r="K22" s="1310"/>
      <c r="L22" s="1310"/>
      <c r="M22" s="1310"/>
      <c r="N22" s="1310"/>
      <c r="O22" s="1310"/>
      <c r="P22" s="1310"/>
      <c r="Q22" s="1310"/>
      <c r="R22" s="1310"/>
      <c r="S22" s="1310"/>
    </row>
    <row r="23" spans="1:19" ht="13.5" thickTop="1">
      <c r="A23" s="2080"/>
      <c r="B23" s="2093"/>
      <c r="C23" s="833"/>
      <c r="D23" s="833"/>
      <c r="E23" s="2103"/>
      <c r="H23" s="1310"/>
      <c r="I23" s="1310"/>
      <c r="J23" s="1310"/>
      <c r="K23" s="1310"/>
      <c r="L23" s="1310"/>
      <c r="M23" s="1310"/>
      <c r="N23" s="1310"/>
      <c r="O23" s="1310"/>
      <c r="P23" s="1310"/>
      <c r="Q23" s="1310"/>
      <c r="R23" s="1310"/>
      <c r="S23" s="1310"/>
    </row>
    <row r="24" spans="1:19" ht="13.5" thickBot="1">
      <c r="A24" s="2104"/>
      <c r="B24" s="2105"/>
      <c r="C24" s="2106"/>
      <c r="D24" s="2106"/>
      <c r="E24" s="2107"/>
      <c r="H24" s="1310"/>
      <c r="I24" s="1310"/>
      <c r="J24" s="1310"/>
      <c r="K24" s="1310"/>
      <c r="L24" s="1310"/>
      <c r="M24" s="1310"/>
      <c r="N24" s="1310"/>
      <c r="O24" s="1310"/>
      <c r="P24" s="1310"/>
      <c r="Q24" s="1310"/>
      <c r="R24" s="1310"/>
      <c r="S24" s="1310"/>
    </row>
    <row r="25" spans="1:19">
      <c r="A25" s="2080"/>
      <c r="B25" s="2093"/>
      <c r="C25" s="833"/>
      <c r="D25" s="833"/>
      <c r="E25" s="2103"/>
      <c r="H25" s="1310"/>
      <c r="I25" s="1310"/>
      <c r="J25" s="1310"/>
      <c r="K25" s="1310"/>
      <c r="L25" s="1310"/>
      <c r="M25" s="1310"/>
      <c r="N25" s="1310"/>
      <c r="O25" s="1310"/>
      <c r="P25" s="1310"/>
      <c r="Q25" s="1310"/>
      <c r="R25" s="1310"/>
      <c r="S25" s="1310"/>
    </row>
    <row r="26" spans="1:19">
      <c r="A26" s="2080"/>
      <c r="B26" s="2108" t="s">
        <v>893</v>
      </c>
      <c r="C26" s="833"/>
      <c r="D26" s="833"/>
      <c r="E26" s="1310"/>
      <c r="H26" s="1310"/>
      <c r="I26" s="1310"/>
      <c r="J26" s="1310"/>
      <c r="K26" s="1310"/>
      <c r="L26" s="1310"/>
      <c r="M26" s="1310"/>
      <c r="N26" s="1310"/>
      <c r="O26" s="1310"/>
      <c r="P26" s="1310"/>
      <c r="Q26" s="1310"/>
      <c r="R26" s="1310"/>
      <c r="S26" s="1310"/>
    </row>
    <row r="27" spans="1:19">
      <c r="A27" s="2080"/>
      <c r="B27" s="2108"/>
      <c r="C27" s="833"/>
      <c r="D27" s="833"/>
      <c r="E27" s="1310"/>
      <c r="H27" s="1310"/>
      <c r="I27" s="1310"/>
      <c r="J27" s="1310"/>
      <c r="K27" s="1310"/>
      <c r="L27" s="1310"/>
      <c r="M27" s="1310"/>
      <c r="N27" s="1310"/>
      <c r="O27" s="1310"/>
      <c r="P27" s="1310"/>
      <c r="Q27" s="1310"/>
      <c r="R27" s="1310"/>
      <c r="S27" s="1310"/>
    </row>
    <row r="28" spans="1:19">
      <c r="A28" s="2080"/>
      <c r="B28" s="1442" t="s">
        <v>894</v>
      </c>
      <c r="C28" s="833"/>
      <c r="D28" s="833"/>
      <c r="E28" s="1310"/>
      <c r="H28" s="1310"/>
      <c r="I28" s="1310"/>
      <c r="J28" s="1310"/>
      <c r="K28" s="1310"/>
      <c r="L28" s="1310"/>
      <c r="M28" s="1310"/>
      <c r="N28" s="1310"/>
      <c r="O28" s="1310"/>
      <c r="P28" s="1310"/>
      <c r="Q28" s="1310"/>
      <c r="R28" s="1310"/>
      <c r="S28" s="1310"/>
    </row>
    <row r="29" spans="1:19">
      <c r="A29" s="2080"/>
      <c r="B29" s="2109" t="s">
        <v>2362</v>
      </c>
      <c r="C29" s="833"/>
      <c r="D29" s="833"/>
      <c r="E29" s="2170">
        <v>282949.26</v>
      </c>
      <c r="G29" s="2163" t="s">
        <v>2151</v>
      </c>
      <c r="H29" s="1310"/>
      <c r="I29" s="1310"/>
      <c r="J29" s="1310"/>
      <c r="K29" s="1310"/>
      <c r="L29" s="1310"/>
      <c r="M29" s="1310"/>
      <c r="N29" s="1310"/>
      <c r="O29" s="1310"/>
      <c r="P29" s="1310"/>
      <c r="Q29" s="1310"/>
      <c r="R29" s="1310"/>
      <c r="S29" s="1310"/>
    </row>
    <row r="30" spans="1:19">
      <c r="A30" s="2080"/>
      <c r="B30" s="2109" t="s">
        <v>2363</v>
      </c>
      <c r="C30" s="833"/>
      <c r="D30" s="833"/>
      <c r="E30" s="2170">
        <v>2880365.22</v>
      </c>
      <c r="G30" s="2163" t="s">
        <v>2151</v>
      </c>
      <c r="H30" s="1310"/>
      <c r="I30" s="1310"/>
      <c r="J30" s="1310"/>
      <c r="K30" s="1310"/>
      <c r="L30" s="1310"/>
      <c r="M30" s="1310"/>
      <c r="N30" s="1310"/>
      <c r="O30" s="1310"/>
      <c r="P30" s="1310"/>
      <c r="Q30" s="1310"/>
      <c r="R30" s="1310"/>
      <c r="S30" s="1310"/>
    </row>
    <row r="31" spans="1:19">
      <c r="A31" s="2080"/>
      <c r="B31" s="2109" t="s">
        <v>2364</v>
      </c>
      <c r="C31" s="833"/>
      <c r="D31" s="833"/>
      <c r="E31" s="2170">
        <v>732418.53</v>
      </c>
      <c r="G31" s="2163" t="s">
        <v>2151</v>
      </c>
      <c r="H31" s="1310"/>
      <c r="I31" s="1310"/>
      <c r="J31" s="1310"/>
      <c r="K31" s="1310"/>
      <c r="L31" s="1310"/>
      <c r="M31" s="1310"/>
      <c r="N31" s="1310"/>
      <c r="O31" s="1310"/>
      <c r="P31" s="1310"/>
      <c r="Q31" s="1310"/>
      <c r="R31" s="1310"/>
      <c r="S31" s="1310"/>
    </row>
    <row r="32" spans="1:19">
      <c r="A32" s="2080"/>
      <c r="B32" s="2109" t="s">
        <v>2365</v>
      </c>
      <c r="C32" s="833"/>
      <c r="D32" s="833"/>
      <c r="E32" s="2170">
        <v>28822</v>
      </c>
      <c r="G32" s="2163" t="s">
        <v>2151</v>
      </c>
      <c r="H32" s="1310"/>
      <c r="I32" s="1310"/>
      <c r="J32" s="1310"/>
      <c r="K32" s="1310"/>
      <c r="L32" s="1310"/>
      <c r="M32" s="1310"/>
      <c r="N32" s="1310"/>
      <c r="O32" s="1310"/>
      <c r="P32" s="1310"/>
      <c r="Q32" s="1310"/>
      <c r="R32" s="1310"/>
      <c r="S32" s="1310"/>
    </row>
    <row r="33" spans="1:19">
      <c r="A33" s="2080"/>
      <c r="B33" s="2109" t="s">
        <v>2366</v>
      </c>
      <c r="C33" s="833"/>
      <c r="D33" s="833"/>
      <c r="E33" s="2535">
        <v>13873</v>
      </c>
      <c r="G33" s="2163" t="s">
        <v>2151</v>
      </c>
      <c r="H33" s="833"/>
      <c r="I33" s="1310"/>
      <c r="J33" s="1310"/>
      <c r="K33" s="1310"/>
      <c r="L33" s="1310"/>
      <c r="M33" s="1310"/>
      <c r="N33" s="1310"/>
      <c r="O33" s="1310"/>
      <c r="P33" s="1310"/>
      <c r="Q33" s="1310"/>
      <c r="R33" s="1310"/>
      <c r="S33" s="1310"/>
    </row>
    <row r="34" spans="1:19">
      <c r="A34" s="2080"/>
      <c r="B34" s="2110" t="s">
        <v>997</v>
      </c>
      <c r="C34" s="833"/>
      <c r="D34" s="833"/>
      <c r="E34" s="2111">
        <f>SUM(E29:E33)</f>
        <v>3938428.0100000007</v>
      </c>
      <c r="H34" s="1310"/>
      <c r="I34" s="1310"/>
      <c r="J34" s="1310"/>
      <c r="K34" s="1310"/>
      <c r="L34" s="1310"/>
      <c r="M34" s="1310"/>
      <c r="N34" s="1310"/>
      <c r="O34" s="1310"/>
      <c r="P34" s="1310"/>
      <c r="Q34" s="1310"/>
      <c r="R34" s="1310"/>
      <c r="S34" s="1310"/>
    </row>
    <row r="35" spans="1:19">
      <c r="A35" s="2080"/>
      <c r="B35" s="2093" t="s">
        <v>271</v>
      </c>
      <c r="C35" s="833"/>
      <c r="D35" s="833"/>
      <c r="E35" s="568">
        <f>Allocator.wages.salary</f>
        <v>7.8815542097072699E-2</v>
      </c>
      <c r="H35" s="1310"/>
      <c r="I35" s="1310"/>
      <c r="J35" s="1310"/>
      <c r="K35" s="1310"/>
      <c r="L35" s="1310"/>
      <c r="M35" s="1310"/>
      <c r="N35" s="1310"/>
      <c r="O35" s="1310"/>
      <c r="P35" s="1310"/>
      <c r="Q35" s="1310"/>
      <c r="R35" s="1310"/>
      <c r="S35" s="1310"/>
    </row>
    <row r="36" spans="1:19">
      <c r="A36" s="2080"/>
      <c r="B36" s="2112" t="s">
        <v>1003</v>
      </c>
      <c r="C36" s="833"/>
      <c r="D36" s="833"/>
      <c r="E36" s="2113">
        <f>E34*E35</f>
        <v>310409.33861844533</v>
      </c>
      <c r="H36" s="1310"/>
      <c r="I36" s="1310"/>
      <c r="J36" s="1310"/>
      <c r="K36" s="1310"/>
      <c r="L36" s="1310"/>
      <c r="M36" s="1310"/>
      <c r="N36" s="1310"/>
      <c r="O36" s="1310"/>
      <c r="P36" s="1310"/>
      <c r="Q36" s="1310"/>
      <c r="R36" s="1310"/>
      <c r="S36" s="1310"/>
    </row>
    <row r="37" spans="1:19">
      <c r="A37" s="2080"/>
      <c r="B37" s="2093"/>
      <c r="C37" s="833"/>
      <c r="D37" s="833"/>
      <c r="E37" s="2114"/>
      <c r="H37" s="1310"/>
      <c r="I37" s="1310"/>
      <c r="J37" s="1310"/>
      <c r="K37" s="1310"/>
      <c r="L37" s="1310"/>
      <c r="M37" s="1310"/>
      <c r="N37" s="1310"/>
      <c r="O37" s="1310"/>
      <c r="P37" s="1310"/>
      <c r="Q37" s="1310"/>
      <c r="R37" s="1310"/>
      <c r="S37" s="1310"/>
    </row>
    <row r="38" spans="1:19">
      <c r="A38" s="2080"/>
      <c r="B38" s="2093"/>
      <c r="C38" s="833"/>
      <c r="D38" s="833"/>
      <c r="E38" s="1310"/>
      <c r="H38" s="1310"/>
      <c r="I38" s="1310"/>
      <c r="J38" s="1310"/>
      <c r="K38" s="1310"/>
      <c r="L38" s="1310"/>
      <c r="M38" s="1310"/>
      <c r="N38" s="1310"/>
      <c r="O38" s="1310"/>
      <c r="P38" s="1310"/>
      <c r="Q38" s="1310"/>
      <c r="R38" s="1310"/>
      <c r="S38" s="1310"/>
    </row>
    <row r="39" spans="1:19">
      <c r="A39" s="2080"/>
      <c r="B39" s="1442" t="s">
        <v>682</v>
      </c>
      <c r="C39" s="833"/>
      <c r="D39" s="833"/>
      <c r="E39" s="1310"/>
      <c r="H39" s="1310"/>
      <c r="I39" s="1310"/>
      <c r="J39" s="1310"/>
      <c r="K39" s="1310"/>
      <c r="L39" s="1310"/>
      <c r="M39" s="1310"/>
      <c r="N39" s="1310"/>
      <c r="O39" s="1310"/>
      <c r="P39" s="1310"/>
      <c r="Q39" s="1310"/>
      <c r="R39" s="1310"/>
      <c r="S39" s="1310"/>
    </row>
    <row r="40" spans="1:19">
      <c r="A40" s="2080"/>
      <c r="B40" s="2115" t="s">
        <v>961</v>
      </c>
      <c r="C40" s="833"/>
      <c r="D40" s="833"/>
      <c r="E40" s="1238">
        <v>0</v>
      </c>
      <c r="G40" s="2163" t="s">
        <v>2151</v>
      </c>
      <c r="H40" s="1310"/>
      <c r="I40" s="1310"/>
      <c r="J40" s="1310"/>
      <c r="K40" s="1310"/>
      <c r="L40" s="1310"/>
      <c r="M40" s="1310"/>
      <c r="N40" s="1310"/>
      <c r="O40" s="1310"/>
      <c r="P40" s="1310"/>
      <c r="Q40" s="1310"/>
      <c r="R40" s="1310"/>
      <c r="S40" s="1310"/>
    </row>
    <row r="41" spans="1:19">
      <c r="A41" s="2080"/>
      <c r="B41" s="1834" t="s">
        <v>962</v>
      </c>
      <c r="C41" s="833"/>
      <c r="D41" s="829" t="s">
        <v>1054</v>
      </c>
      <c r="E41" s="1243">
        <v>555768</v>
      </c>
      <c r="G41" s="2163" t="s">
        <v>1472</v>
      </c>
      <c r="H41" s="1310"/>
      <c r="I41" s="1310"/>
      <c r="J41" s="1310"/>
      <c r="K41" s="1310"/>
      <c r="L41" s="1310"/>
      <c r="M41" s="1310"/>
      <c r="N41" s="1310"/>
      <c r="O41" s="1310"/>
      <c r="P41" s="1310"/>
      <c r="Q41" s="1310"/>
      <c r="R41" s="1310"/>
      <c r="S41" s="1310"/>
    </row>
    <row r="42" spans="1:19">
      <c r="A42" s="2080"/>
      <c r="B42" s="2112" t="s">
        <v>891</v>
      </c>
      <c r="C42" s="1310"/>
      <c r="D42" s="1310"/>
      <c r="E42" s="2113">
        <f>SUM(E40:E41)</f>
        <v>555768</v>
      </c>
      <c r="G42" s="2163" t="s">
        <v>2151</v>
      </c>
      <c r="H42" s="1310"/>
      <c r="I42" s="1310"/>
      <c r="J42" s="1310"/>
      <c r="K42" s="1310"/>
      <c r="L42" s="1310"/>
      <c r="M42" s="1310"/>
      <c r="N42" s="1310"/>
      <c r="O42" s="1310"/>
      <c r="P42" s="1310"/>
      <c r="Q42" s="1310"/>
      <c r="R42" s="1310"/>
      <c r="S42" s="1310"/>
    </row>
    <row r="43" spans="1:19">
      <c r="A43" s="2080"/>
      <c r="B43" s="2093"/>
      <c r="C43" s="833"/>
      <c r="D43" s="833"/>
      <c r="E43" s="2114"/>
      <c r="G43" s="2163"/>
      <c r="H43" s="1310"/>
      <c r="I43" s="1310"/>
      <c r="J43" s="1310"/>
      <c r="K43" s="1310"/>
      <c r="L43" s="1310"/>
      <c r="M43" s="1310"/>
      <c r="N43" s="1310"/>
      <c r="O43" s="1310"/>
      <c r="P43" s="1310"/>
      <c r="Q43" s="1310"/>
      <c r="R43" s="1310"/>
      <c r="S43" s="1310"/>
    </row>
    <row r="44" spans="1:19">
      <c r="A44" s="2080"/>
      <c r="B44" s="2093"/>
      <c r="C44" s="833"/>
      <c r="D44" s="833"/>
      <c r="E44" s="2114"/>
      <c r="G44" s="2163"/>
      <c r="H44" s="1310"/>
      <c r="I44" s="1310"/>
      <c r="J44" s="1310"/>
      <c r="K44" s="1310"/>
      <c r="L44" s="1310"/>
      <c r="M44" s="1310"/>
      <c r="N44" s="1310"/>
      <c r="O44" s="1310"/>
      <c r="P44" s="1310"/>
      <c r="Q44" s="1310"/>
      <c r="R44" s="1310"/>
      <c r="S44" s="1310"/>
    </row>
    <row r="45" spans="1:19">
      <c r="A45" s="2079" t="s">
        <v>304</v>
      </c>
      <c r="B45" s="2116"/>
      <c r="C45" s="2117"/>
      <c r="D45" s="2117"/>
      <c r="E45" s="572"/>
    </row>
    <row r="46" spans="1:19">
      <c r="A46" s="436"/>
      <c r="E46" s="436"/>
    </row>
    <row r="47" spans="1:19" ht="53.25" customHeight="1">
      <c r="A47" s="2118" t="s">
        <v>958</v>
      </c>
      <c r="B47" s="2119"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3"/>
      <c r="D47" s="833"/>
      <c r="E47" s="2103"/>
    </row>
    <row r="48" spans="1:19" ht="54" customHeight="1">
      <c r="A48" s="2118" t="s">
        <v>952</v>
      </c>
      <c r="B48" s="2119" t="s">
        <v>959</v>
      </c>
      <c r="C48" s="2120"/>
      <c r="D48" s="2120"/>
      <c r="E48" s="2121"/>
      <c r="F48" s="2122"/>
      <c r="G48" s="1310"/>
    </row>
    <row r="49" spans="1:7" ht="38.25">
      <c r="A49" s="2118" t="s">
        <v>949</v>
      </c>
      <c r="B49" s="2119" t="s">
        <v>1072</v>
      </c>
      <c r="C49" s="2123"/>
      <c r="D49" s="2123"/>
      <c r="E49" s="2121"/>
      <c r="F49" s="2122"/>
      <c r="G49" s="1310"/>
    </row>
    <row r="50" spans="1:7" ht="13.5" thickBot="1">
      <c r="A50" s="2104"/>
      <c r="B50" s="2124"/>
      <c r="C50" s="2124"/>
      <c r="D50" s="2124"/>
      <c r="E50" s="573"/>
      <c r="F50" s="1310"/>
      <c r="G50" s="1310"/>
    </row>
    <row r="51" spans="1:7">
      <c r="A51" s="2080"/>
      <c r="B51" s="1310"/>
      <c r="C51" s="1310"/>
      <c r="D51" s="1310"/>
      <c r="E51" s="163"/>
      <c r="F51" s="2125"/>
      <c r="G51" s="1310"/>
    </row>
    <row r="52" spans="1:7">
      <c r="A52" s="2080"/>
      <c r="B52" s="1310"/>
      <c r="C52" s="1310"/>
      <c r="D52" s="1310"/>
      <c r="E52" s="164"/>
      <c r="F52" s="2080"/>
      <c r="G52" s="1310"/>
    </row>
    <row r="53" spans="1:7">
      <c r="A53" s="2080"/>
      <c r="B53" s="1310"/>
      <c r="C53" s="833"/>
      <c r="D53" s="833"/>
      <c r="E53" s="2126"/>
      <c r="F53" s="2103"/>
      <c r="G53" s="1310"/>
    </row>
    <row r="54" spans="1:7">
      <c r="B54" s="2128"/>
      <c r="C54" s="2119"/>
      <c r="D54" s="2119"/>
      <c r="E54" s="163"/>
      <c r="F54" s="1310"/>
      <c r="G54" s="1310"/>
    </row>
    <row r="55" spans="1:7">
      <c r="E55" s="163"/>
      <c r="F55" s="1310"/>
      <c r="G55" s="1310"/>
    </row>
  </sheetData>
  <mergeCells count="1">
    <mergeCell ref="A3:E3"/>
  </mergeCells>
  <pageMargins left="0.5" right="0.5" top="1.01" bottom="0.5" header="0.4" footer="0.5"/>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O10" sqref="O10"/>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4" t="s">
        <v>365</v>
      </c>
      <c r="B1" s="354"/>
      <c r="C1" s="354"/>
      <c r="D1" s="354"/>
      <c r="E1" s="354"/>
      <c r="F1" s="354"/>
      <c r="G1" s="354"/>
      <c r="H1" s="680"/>
      <c r="I1" s="680"/>
    </row>
    <row r="2" spans="1:10" ht="18">
      <c r="A2" s="676" t="s">
        <v>1122</v>
      </c>
      <c r="B2" s="676"/>
      <c r="C2" s="676"/>
      <c r="D2" s="676"/>
      <c r="E2" s="676"/>
      <c r="F2" s="676"/>
      <c r="G2" s="676"/>
      <c r="H2" s="711"/>
      <c r="I2" s="711"/>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732</v>
      </c>
      <c r="D7" s="23"/>
      <c r="E7" s="23"/>
      <c r="F7" s="349"/>
      <c r="G7" s="349"/>
      <c r="H7" s="349"/>
      <c r="I7" s="349"/>
    </row>
    <row r="8" spans="1:10" s="18" customFormat="1" ht="15">
      <c r="A8" s="44" t="s">
        <v>227</v>
      </c>
      <c r="B8" s="44"/>
      <c r="C8" s="23"/>
      <c r="D8" s="23" t="s">
        <v>733</v>
      </c>
      <c r="E8" s="23"/>
      <c r="F8" s="349"/>
      <c r="G8" s="242" t="str">
        <f>"Appendix A input: Line "&amp;A28&amp;" + Line "&amp;A50&amp;" from below"</f>
        <v>Appendix A input: Line 127 + Line 137 from below</v>
      </c>
      <c r="H8" s="349"/>
      <c r="I8" s="1245">
        <f>+I28+I50</f>
        <v>395822607.8505637</v>
      </c>
    </row>
    <row r="9" spans="1:10" s="18" customFormat="1" ht="15">
      <c r="A9" s="44" t="s">
        <v>283</v>
      </c>
      <c r="B9" s="44"/>
      <c r="C9" s="349"/>
      <c r="D9" s="349" t="str">
        <f>I9*10000&amp;" Basis Point increase in ROE"</f>
        <v>100 Basis Point increase in ROE</v>
      </c>
      <c r="E9" s="349"/>
      <c r="F9" s="349"/>
      <c r="G9" s="349"/>
      <c r="H9" s="349"/>
      <c r="I9" s="702">
        <v>0.01</v>
      </c>
    </row>
    <row r="10" spans="1:10" s="23" customFormat="1" ht="15">
      <c r="A10" s="44"/>
      <c r="B10" s="44"/>
      <c r="C10" s="349"/>
      <c r="D10" s="349"/>
      <c r="E10" s="349"/>
      <c r="F10" s="349"/>
      <c r="G10" s="349"/>
      <c r="H10" s="349"/>
    </row>
    <row r="11" spans="1:10" s="23" customFormat="1" ht="15.75">
      <c r="A11" s="1059" t="s">
        <v>170</v>
      </c>
      <c r="B11" s="63"/>
      <c r="C11" s="63"/>
      <c r="D11" s="63"/>
      <c r="E11" s="63"/>
      <c r="F11" s="63"/>
      <c r="G11" s="63"/>
      <c r="H11" s="63"/>
      <c r="I11" s="63"/>
    </row>
    <row r="12" spans="1:10" s="23" customFormat="1" ht="15.75">
      <c r="A12" s="1060"/>
      <c r="F12" s="23" t="s">
        <v>304</v>
      </c>
      <c r="G12" s="224" t="s">
        <v>960</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61"/>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0.49262319623971046</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1.6608696718620536E-4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0.50721071679310337</v>
      </c>
    </row>
    <row r="18" spans="1:10" s="18" customFormat="1" ht="15">
      <c r="A18" s="438"/>
      <c r="B18" s="30"/>
      <c r="C18" s="30"/>
      <c r="D18" s="19"/>
      <c r="E18" s="30"/>
      <c r="F18" s="531"/>
      <c r="G18" s="1062"/>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5.1199522543167848E-2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2"/>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2.5222072441162455E-2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1.1215300933392697E-5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5.4778757413655163E-2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8.0012045155751013E-2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280398381.38282949</v>
      </c>
    </row>
    <row r="29" spans="1:10" s="18" customFormat="1" ht="15.75" thickTop="1">
      <c r="A29" s="34"/>
      <c r="B29" s="8"/>
      <c r="C29" s="8"/>
      <c r="D29" s="506"/>
      <c r="E29" s="9"/>
      <c r="F29" s="44"/>
      <c r="G29" s="254"/>
      <c r="H29" s="476"/>
      <c r="I29" s="534"/>
    </row>
    <row r="30" spans="1:10" s="18" customFormat="1" ht="15.75">
      <c r="A30" s="1063" t="s">
        <v>134</v>
      </c>
      <c r="B30" s="1064"/>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923</v>
      </c>
      <c r="E33" s="9"/>
      <c r="F33" s="44"/>
      <c r="G33" s="167"/>
      <c r="H33" s="473"/>
      <c r="I33" s="1065">
        <f>+'Appendix A'!H226</f>
        <v>0.35</v>
      </c>
    </row>
    <row r="34" spans="1:10" s="18" customFormat="1" ht="15">
      <c r="A34" s="34">
        <f>+A33+1</f>
        <v>129</v>
      </c>
      <c r="B34" s="44"/>
      <c r="C34" s="8"/>
      <c r="D34" s="473" t="s">
        <v>924</v>
      </c>
      <c r="E34" s="536"/>
      <c r="F34" s="44"/>
      <c r="G34" s="167"/>
      <c r="H34" s="473"/>
      <c r="I34" s="1065">
        <f>+'Appendix A'!H227</f>
        <v>4.5400000000000003E-2</v>
      </c>
    </row>
    <row r="35" spans="1:10" s="18" customFormat="1" ht="15">
      <c r="A35" s="34">
        <f>+A34+1</f>
        <v>130</v>
      </c>
      <c r="B35" s="44"/>
      <c r="C35" s="8"/>
      <c r="D35" s="473" t="s">
        <v>100</v>
      </c>
      <c r="E35" s="473"/>
      <c r="F35" s="44"/>
      <c r="G35" s="42" t="str">
        <f>+'Appendix A'!F228</f>
        <v>Per state tax code</v>
      </c>
      <c r="H35" s="473"/>
      <c r="I35" s="1065">
        <f>+'Appendix A'!H228</f>
        <v>0</v>
      </c>
    </row>
    <row r="36" spans="1:10" s="18" customFormat="1" ht="15">
      <c r="A36" s="34">
        <f>+A35+1</f>
        <v>131</v>
      </c>
      <c r="B36" s="44"/>
      <c r="C36" s="8"/>
      <c r="D36" s="473" t="s">
        <v>307</v>
      </c>
      <c r="E36" s="538" t="s">
        <v>922</v>
      </c>
      <c r="F36" s="44"/>
      <c r="G36" s="349"/>
      <c r="H36" s="473"/>
      <c r="I36" s="1065">
        <f>+'Appendix A'!H229</f>
        <v>0.37951000000000001</v>
      </c>
    </row>
    <row r="37" spans="1:10" s="18" customFormat="1" ht="15">
      <c r="A37" s="34">
        <f>A36+1</f>
        <v>132</v>
      </c>
      <c r="B37" s="45"/>
      <c r="C37" s="34"/>
      <c r="D37" s="473" t="s">
        <v>29</v>
      </c>
      <c r="E37" s="323"/>
      <c r="F37" s="323"/>
      <c r="G37" s="323"/>
      <c r="H37" s="323"/>
      <c r="I37" s="1065">
        <f>I36/(1-I36)</f>
        <v>0.6116295186062628</v>
      </c>
      <c r="J37" s="23"/>
    </row>
    <row r="38" spans="1:10" s="18" customFormat="1" ht="15">
      <c r="A38" s="34">
        <f>A37+1</f>
        <v>133</v>
      </c>
      <c r="B38" s="45"/>
      <c r="C38" s="34"/>
      <c r="D38" s="473" t="s">
        <v>28</v>
      </c>
      <c r="E38" s="1066"/>
      <c r="F38" s="45"/>
      <c r="G38" s="22"/>
      <c r="H38" s="473"/>
      <c r="I38" s="1065">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48"/>
      <c r="F41" s="1067"/>
      <c r="G41" s="1068" t="str">
        <f>+'Appendix A'!F233</f>
        <v>Attachment 5</v>
      </c>
      <c r="H41" s="1069"/>
      <c r="I41" s="660">
        <f>+'Appendix A'!H233</f>
        <v>-1249695.1113480714</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8"/>
      <c r="H43" s="543"/>
      <c r="I43" s="654"/>
    </row>
    <row r="44" spans="1:10" s="18" customFormat="1" ht="15.75">
      <c r="A44" s="34">
        <f>+A41+1</f>
        <v>135</v>
      </c>
      <c r="B44" s="44"/>
      <c r="C44" s="8"/>
      <c r="D44" s="82" t="s">
        <v>109</v>
      </c>
      <c r="E44" s="349"/>
      <c r="F44" s="37"/>
      <c r="G44" s="242" t="str">
        <f>"(Line "&amp;A41&amp;" * (1 / (1 - Line "&amp;A36&amp;")"</f>
        <v>(Line 134 * (1 / (1 - Line 131)</v>
      </c>
      <c r="H44" s="1070"/>
      <c r="I44" s="1244">
        <f>I41*(1/(1-I36))</f>
        <v>-2014045.5307064923</v>
      </c>
    </row>
    <row r="45" spans="1:10" s="18" customFormat="1" ht="15.75">
      <c r="A45" s="34"/>
      <c r="B45" s="8"/>
      <c r="C45" s="8"/>
      <c r="D45" s="82"/>
      <c r="E45" s="37"/>
      <c r="F45" s="111"/>
      <c r="G45" s="110"/>
      <c r="H45" s="543"/>
      <c r="I45" s="1071"/>
    </row>
    <row r="46" spans="1:10" s="18" customFormat="1" ht="15.75">
      <c r="A46" s="34"/>
      <c r="B46" s="8"/>
      <c r="C46" s="8"/>
      <c r="D46" s="82"/>
      <c r="E46" s="37"/>
      <c r="F46" s="111"/>
      <c r="G46" s="110"/>
      <c r="H46" s="543"/>
      <c r="I46" s="1072"/>
    </row>
    <row r="47" spans="1:10" s="18" customFormat="1" ht="15.75">
      <c r="A47" s="34"/>
      <c r="B47" s="8"/>
      <c r="C47" s="8"/>
      <c r="D47" s="9"/>
      <c r="E47" s="9"/>
      <c r="F47" s="513"/>
      <c r="G47" s="538"/>
      <c r="H47" s="535"/>
      <c r="I47" s="109"/>
    </row>
    <row r="48" spans="1:10" s="18" customFormat="1" ht="15.75">
      <c r="A48" s="34">
        <f>+A44+1</f>
        <v>136</v>
      </c>
      <c r="B48" s="44"/>
      <c r="C48" s="1" t="s">
        <v>279</v>
      </c>
      <c r="D48" s="349"/>
      <c r="E48" s="9" t="s">
        <v>979</v>
      </c>
      <c r="F48" s="157"/>
      <c r="G48" s="475"/>
      <c r="H48" s="9"/>
      <c r="I48" s="707">
        <f>+I37*(1-I23/I26)*I28</f>
        <v>117438271.9984407</v>
      </c>
    </row>
    <row r="49" spans="1:9" s="18" customFormat="1" ht="15">
      <c r="A49" s="34"/>
      <c r="B49" s="8"/>
      <c r="C49" s="8"/>
      <c r="D49" s="36"/>
      <c r="E49" s="37"/>
      <c r="F49" s="884"/>
      <c r="G49" s="475"/>
      <c r="H49" s="543"/>
      <c r="I49" s="654"/>
    </row>
    <row r="50" spans="1:9" s="18" customFormat="1" ht="16.5" thickBot="1">
      <c r="A50" s="34">
        <f>+A48+1</f>
        <v>137</v>
      </c>
      <c r="B50" s="44"/>
      <c r="C50" s="54" t="s">
        <v>209</v>
      </c>
      <c r="D50" s="54"/>
      <c r="E50" s="52"/>
      <c r="F50" s="88"/>
      <c r="G50" s="14"/>
      <c r="H50" s="67"/>
      <c r="I50" s="655">
        <f>+I48+I44</f>
        <v>115424226.4677342</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IR304"/>
  <sheetViews>
    <sheetView zoomScale="70" zoomScaleNormal="70" workbookViewId="0">
      <selection activeCell="O10" sqref="O10"/>
    </sheetView>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362"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347" t="s">
        <v>365</v>
      </c>
      <c r="B1" s="1044"/>
      <c r="C1" s="1045"/>
      <c r="D1" s="1046"/>
      <c r="E1" s="1046"/>
      <c r="F1" s="1047"/>
      <c r="G1" s="1045"/>
      <c r="H1" s="1045"/>
      <c r="I1" s="1045"/>
      <c r="J1" s="1045"/>
      <c r="K1" s="1045"/>
      <c r="L1" s="1045"/>
      <c r="M1" s="1045"/>
    </row>
    <row r="2" spans="1:31" ht="21" customHeight="1">
      <c r="A2" s="2348" t="s">
        <v>292</v>
      </c>
      <c r="B2" s="1044"/>
      <c r="C2" s="1045"/>
      <c r="D2" s="1046"/>
      <c r="E2" s="1046"/>
      <c r="F2" s="1047"/>
      <c r="G2" s="1045"/>
      <c r="H2" s="1045"/>
      <c r="I2" s="1045"/>
      <c r="J2" s="1045"/>
      <c r="K2" s="1045"/>
      <c r="L2" s="1045"/>
      <c r="M2" s="1045"/>
    </row>
    <row r="3" spans="1:31" s="387" customFormat="1" ht="15.75">
      <c r="A3" s="754"/>
      <c r="B3" s="755"/>
      <c r="C3" s="755"/>
      <c r="D3" s="755"/>
      <c r="E3" s="755"/>
      <c r="F3" s="755"/>
      <c r="G3" s="755"/>
      <c r="H3" s="755"/>
      <c r="I3" s="755"/>
      <c r="J3" s="755"/>
      <c r="K3" s="755"/>
      <c r="L3" s="755"/>
      <c r="P3" s="2363"/>
    </row>
    <row r="4" spans="1:31" s="881" customFormat="1" ht="16.5" thickBot="1">
      <c r="A4" s="874" t="s">
        <v>609</v>
      </c>
      <c r="B4" s="755"/>
      <c r="C4" s="755"/>
      <c r="D4" s="755"/>
      <c r="E4" s="755"/>
      <c r="F4" s="755"/>
      <c r="G4" s="755"/>
      <c r="H4" s="755"/>
      <c r="I4" s="755"/>
      <c r="J4" s="755"/>
      <c r="K4" s="755"/>
      <c r="L4" s="755"/>
      <c r="O4" s="2524"/>
      <c r="P4" s="2525"/>
      <c r="Q4" s="2524"/>
      <c r="R4" s="2524"/>
      <c r="S4" s="2524"/>
      <c r="T4" s="2524"/>
      <c r="U4" s="2524"/>
      <c r="V4" s="2524"/>
      <c r="W4" s="2524"/>
      <c r="X4" s="2524"/>
      <c r="Y4" s="2524"/>
      <c r="Z4" s="2524"/>
      <c r="AA4" s="2524"/>
      <c r="AB4" s="2524"/>
      <c r="AC4" s="2524"/>
      <c r="AD4" s="2524"/>
      <c r="AE4" s="2524"/>
    </row>
    <row r="5" spans="1:31" s="387" customFormat="1">
      <c r="A5" s="2564" t="s">
        <v>610</v>
      </c>
      <c r="B5" s="2565"/>
      <c r="C5" s="2565"/>
      <c r="D5" s="2565"/>
      <c r="E5" s="2565"/>
      <c r="F5" s="2565"/>
      <c r="G5" s="2566"/>
      <c r="H5" s="914" t="s">
        <v>1093</v>
      </c>
      <c r="I5" s="915"/>
      <c r="J5" s="915"/>
      <c r="K5" s="916"/>
      <c r="L5" s="916"/>
      <c r="M5" s="917"/>
      <c r="O5" s="2524"/>
      <c r="P5" s="2525"/>
      <c r="Q5" s="2526"/>
      <c r="R5" s="2526"/>
      <c r="S5" s="2526"/>
      <c r="T5" s="2524"/>
      <c r="U5" s="2526"/>
      <c r="V5" s="2524"/>
      <c r="W5" s="2526"/>
      <c r="X5" s="2524"/>
      <c r="Y5" s="2524"/>
      <c r="Z5" s="2524"/>
      <c r="AA5" s="2524"/>
      <c r="AB5" s="2524"/>
      <c r="AC5" s="2524"/>
      <c r="AD5" s="2524"/>
      <c r="AE5" s="2524"/>
    </row>
    <row r="6" spans="1:31" s="387" customFormat="1" ht="15" customHeight="1">
      <c r="A6" s="2349"/>
      <c r="B6" s="759"/>
      <c r="C6" s="757" t="s">
        <v>611</v>
      </c>
      <c r="D6" s="758" t="s">
        <v>26</v>
      </c>
      <c r="E6" s="759" t="s">
        <v>1094</v>
      </c>
      <c r="F6" s="759" t="s">
        <v>141</v>
      </c>
      <c r="G6" s="760" t="s">
        <v>158</v>
      </c>
      <c r="H6" s="761"/>
      <c r="I6" s="783"/>
      <c r="J6" s="783"/>
      <c r="K6" s="2515"/>
      <c r="L6" s="2515"/>
      <c r="M6" s="763"/>
      <c r="O6" s="2525"/>
      <c r="P6" s="2525"/>
      <c r="Q6" s="2524"/>
      <c r="R6" s="2526"/>
      <c r="S6" s="2524"/>
      <c r="T6" s="2524"/>
      <c r="U6" s="2526"/>
      <c r="V6" s="2524"/>
      <c r="W6" s="2526"/>
      <c r="X6" s="2524"/>
      <c r="Y6" s="2524"/>
      <c r="Z6" s="2524"/>
      <c r="AA6" s="2524"/>
      <c r="AB6" s="2524"/>
      <c r="AC6" s="2524"/>
      <c r="AD6" s="2524"/>
      <c r="AE6" s="2524"/>
    </row>
    <row r="7" spans="1:31" s="387" customFormat="1">
      <c r="A7" s="2349"/>
      <c r="B7" s="817">
        <v>1</v>
      </c>
      <c r="C7" s="764" t="s">
        <v>358</v>
      </c>
      <c r="D7" s="392" t="s">
        <v>1402</v>
      </c>
      <c r="E7" s="392"/>
      <c r="F7" s="1597">
        <f>data_year-1</f>
        <v>2014</v>
      </c>
      <c r="G7" s="1160">
        <v>5387870876.6499996</v>
      </c>
      <c r="H7" s="1661" t="str">
        <f>IF((INDEX(Inputs_EndYrBal_prior,MATCH($D19,Inputs_FF1_Map,0))-G7)&lt;1,"-","Check values!")</f>
        <v>-</v>
      </c>
      <c r="I7" s="2516"/>
      <c r="J7" s="2517"/>
      <c r="K7" s="2515"/>
      <c r="L7" s="2515"/>
      <c r="M7" s="763"/>
      <c r="O7" s="2525"/>
      <c r="P7" s="2525"/>
      <c r="Q7" s="2524"/>
      <c r="R7" s="2524"/>
      <c r="S7" s="2524"/>
      <c r="T7" s="2524"/>
      <c r="U7" s="2524"/>
      <c r="V7" s="2524"/>
      <c r="W7" s="2524"/>
      <c r="X7" s="2524"/>
      <c r="Y7" s="2524"/>
      <c r="Z7" s="2524"/>
      <c r="AA7" s="2524"/>
      <c r="AB7" s="2524"/>
      <c r="AC7" s="2524"/>
      <c r="AD7" s="2524"/>
      <c r="AE7" s="2524"/>
    </row>
    <row r="8" spans="1:31" s="387" customFormat="1">
      <c r="A8" s="2349"/>
      <c r="B8" s="759">
        <f t="shared" ref="B8:B20" si="0">+B7+1</f>
        <v>2</v>
      </c>
      <c r="C8" s="766" t="s">
        <v>350</v>
      </c>
      <c r="D8" s="758" t="s">
        <v>632</v>
      </c>
      <c r="E8" s="758"/>
      <c r="F8" s="1597">
        <f>+F7+1</f>
        <v>2015</v>
      </c>
      <c r="G8" s="1160">
        <v>5392877517.6299992</v>
      </c>
      <c r="H8" s="767"/>
      <c r="I8" s="2516"/>
      <c r="J8" s="2517"/>
      <c r="K8" s="2515"/>
      <c r="L8" s="2518"/>
      <c r="M8" s="2361"/>
      <c r="O8" s="2525"/>
      <c r="P8" s="2525"/>
      <c r="Q8" s="2527"/>
      <c r="R8" s="2527"/>
      <c r="S8" s="2527"/>
      <c r="T8" s="2524"/>
      <c r="U8" s="2527"/>
      <c r="V8" s="2524"/>
      <c r="W8" s="2527"/>
      <c r="X8" s="2524"/>
      <c r="Y8" s="2524"/>
      <c r="Z8" s="2524"/>
      <c r="AA8" s="2524"/>
      <c r="AB8" s="2524"/>
      <c r="AC8" s="2524"/>
      <c r="AD8" s="2524"/>
      <c r="AE8" s="2524"/>
    </row>
    <row r="9" spans="1:31" s="387" customFormat="1">
      <c r="A9" s="2349"/>
      <c r="B9" s="759">
        <f t="shared" si="0"/>
        <v>3</v>
      </c>
      <c r="C9" s="769" t="s">
        <v>351</v>
      </c>
      <c r="D9" s="758" t="s">
        <v>632</v>
      </c>
      <c r="E9" s="758"/>
      <c r="F9" s="1597">
        <f t="shared" ref="F9:F19" si="1">+F8</f>
        <v>2015</v>
      </c>
      <c r="G9" s="1160">
        <v>5418826536.4300013</v>
      </c>
      <c r="H9" s="765"/>
      <c r="I9" s="2516"/>
      <c r="J9" s="2517"/>
      <c r="K9" s="2515"/>
      <c r="L9" s="2515"/>
      <c r="M9" s="2361"/>
      <c r="O9" s="2525"/>
      <c r="P9" s="2525"/>
      <c r="Q9" s="2527"/>
      <c r="R9" s="2527"/>
      <c r="S9" s="2527"/>
      <c r="T9" s="2524"/>
      <c r="U9" s="2527"/>
      <c r="V9" s="2524"/>
      <c r="W9" s="2527"/>
      <c r="X9" s="2524"/>
      <c r="Y9" s="2524"/>
      <c r="Z9" s="2524"/>
      <c r="AA9" s="2524"/>
      <c r="AB9" s="2524"/>
      <c r="AC9" s="2524"/>
      <c r="AD9" s="2524"/>
      <c r="AE9" s="2524"/>
    </row>
    <row r="10" spans="1:31" s="387" customFormat="1">
      <c r="A10" s="2349"/>
      <c r="B10" s="759">
        <f t="shared" si="0"/>
        <v>4</v>
      </c>
      <c r="C10" s="769" t="s">
        <v>352</v>
      </c>
      <c r="D10" s="758" t="s">
        <v>632</v>
      </c>
      <c r="E10" s="758"/>
      <c r="F10" s="1597">
        <f t="shared" si="1"/>
        <v>2015</v>
      </c>
      <c r="G10" s="1160">
        <v>5443960811.8399982</v>
      </c>
      <c r="H10" s="765"/>
      <c r="I10" s="2516"/>
      <c r="J10" s="2517"/>
      <c r="K10" s="762"/>
      <c r="L10" s="2515"/>
      <c r="M10" s="2361"/>
      <c r="O10" s="2525"/>
      <c r="P10" s="2525"/>
      <c r="Q10" s="2527"/>
      <c r="R10" s="2527"/>
      <c r="S10" s="2527"/>
      <c r="T10" s="2524"/>
      <c r="U10" s="2527"/>
      <c r="V10" s="2524"/>
      <c r="W10" s="2527"/>
      <c r="X10" s="2524"/>
      <c r="Y10" s="2524"/>
      <c r="Z10" s="2524"/>
      <c r="AA10" s="2524"/>
      <c r="AB10" s="2524"/>
      <c r="AC10" s="2524"/>
      <c r="AD10" s="2524"/>
      <c r="AE10" s="2524"/>
    </row>
    <row r="11" spans="1:31" s="387" customFormat="1">
      <c r="A11" s="2349"/>
      <c r="B11" s="759">
        <f t="shared" si="0"/>
        <v>5</v>
      </c>
      <c r="C11" s="766" t="s">
        <v>143</v>
      </c>
      <c r="D11" s="758" t="s">
        <v>632</v>
      </c>
      <c r="E11" s="758"/>
      <c r="F11" s="1597">
        <f t="shared" si="1"/>
        <v>2015</v>
      </c>
      <c r="G11" s="1160">
        <v>5461300077.9900007</v>
      </c>
      <c r="H11" s="765"/>
      <c r="I11" s="2516"/>
      <c r="J11" s="2517"/>
      <c r="K11" s="762"/>
      <c r="L11" s="2515"/>
      <c r="M11" s="2361"/>
      <c r="O11" s="2525"/>
      <c r="P11" s="2525"/>
      <c r="Q11" s="2527"/>
      <c r="R11" s="2527"/>
      <c r="S11" s="2527"/>
      <c r="T11" s="2524"/>
      <c r="U11" s="2527"/>
      <c r="V11" s="2524"/>
      <c r="W11" s="2527"/>
      <c r="X11" s="2524"/>
      <c r="Y11" s="2524"/>
      <c r="Z11" s="2524"/>
      <c r="AA11" s="2524"/>
      <c r="AB11" s="2524"/>
      <c r="AC11" s="2524"/>
      <c r="AD11" s="2524"/>
      <c r="AE11" s="2524"/>
    </row>
    <row r="12" spans="1:31" s="387" customFormat="1">
      <c r="A12" s="2349"/>
      <c r="B12" s="759">
        <f t="shared" si="0"/>
        <v>6</v>
      </c>
      <c r="C12" s="769" t="s">
        <v>144</v>
      </c>
      <c r="D12" s="758" t="s">
        <v>632</v>
      </c>
      <c r="E12" s="758"/>
      <c r="F12" s="1597">
        <f t="shared" si="1"/>
        <v>2015</v>
      </c>
      <c r="G12" s="1160">
        <v>5815178923.1499996</v>
      </c>
      <c r="H12" s="770"/>
      <c r="I12" s="2516"/>
      <c r="J12" s="2517"/>
      <c r="K12" s="783"/>
      <c r="L12" s="2515"/>
      <c r="M12" s="2519"/>
      <c r="O12" s="2525"/>
      <c r="P12" s="2525"/>
      <c r="Q12" s="2527"/>
      <c r="R12" s="2527"/>
      <c r="S12" s="2527"/>
      <c r="T12" s="2524"/>
      <c r="U12" s="2527"/>
      <c r="V12" s="2524"/>
      <c r="W12" s="2527"/>
      <c r="X12" s="2524"/>
      <c r="Y12" s="2524"/>
      <c r="Z12" s="2524"/>
      <c r="AA12" s="2524"/>
      <c r="AB12" s="2524"/>
      <c r="AC12" s="2524"/>
      <c r="AD12" s="2524"/>
      <c r="AE12" s="2524"/>
    </row>
    <row r="13" spans="1:31" s="387" customFormat="1">
      <c r="A13" s="2349"/>
      <c r="B13" s="759">
        <f t="shared" si="0"/>
        <v>7</v>
      </c>
      <c r="C13" s="769" t="s">
        <v>612</v>
      </c>
      <c r="D13" s="758" t="s">
        <v>632</v>
      </c>
      <c r="E13" s="758"/>
      <c r="F13" s="1597">
        <f t="shared" si="1"/>
        <v>2015</v>
      </c>
      <c r="G13" s="1160">
        <v>5818830963.2599993</v>
      </c>
      <c r="H13" s="765"/>
      <c r="I13" s="2516"/>
      <c r="J13" s="2517"/>
      <c r="K13" s="762"/>
      <c r="L13" s="2515"/>
      <c r="M13" s="2361"/>
      <c r="O13" s="2525"/>
      <c r="P13" s="2525"/>
      <c r="Q13" s="2527"/>
      <c r="R13" s="2527"/>
      <c r="S13" s="2527"/>
      <c r="T13" s="2524"/>
      <c r="U13" s="2527"/>
      <c r="V13" s="2524"/>
      <c r="W13" s="2527"/>
      <c r="X13" s="2524"/>
      <c r="Y13" s="2524"/>
      <c r="Z13" s="2524"/>
      <c r="AA13" s="2524"/>
      <c r="AB13" s="2524"/>
      <c r="AC13" s="2524"/>
      <c r="AD13" s="2524"/>
      <c r="AE13" s="2524"/>
    </row>
    <row r="14" spans="1:31" s="387" customFormat="1">
      <c r="A14" s="2349"/>
      <c r="B14" s="759">
        <f t="shared" si="0"/>
        <v>8</v>
      </c>
      <c r="C14" s="766" t="s">
        <v>353</v>
      </c>
      <c r="D14" s="758" t="s">
        <v>632</v>
      </c>
      <c r="E14" s="758"/>
      <c r="F14" s="1597">
        <f t="shared" si="1"/>
        <v>2015</v>
      </c>
      <c r="G14" s="1160">
        <v>5822012911.0900021</v>
      </c>
      <c r="H14" s="767"/>
      <c r="I14" s="2516"/>
      <c r="J14" s="2517"/>
      <c r="K14" s="762"/>
      <c r="L14" s="2515"/>
      <c r="M14" s="2361"/>
      <c r="O14" s="2525"/>
      <c r="P14" s="2525"/>
      <c r="Q14" s="2527"/>
      <c r="R14" s="2527"/>
      <c r="S14" s="2527"/>
      <c r="T14" s="2524"/>
      <c r="U14" s="2527"/>
      <c r="V14" s="2524"/>
      <c r="W14" s="2527"/>
      <c r="X14" s="2524"/>
      <c r="Y14" s="2524"/>
      <c r="Z14" s="2524"/>
      <c r="AA14" s="2524"/>
      <c r="AB14" s="2524"/>
      <c r="AC14" s="2524"/>
      <c r="AD14" s="2524"/>
      <c r="AE14" s="2524"/>
    </row>
    <row r="15" spans="1:31" s="387" customFormat="1">
      <c r="A15" s="2349"/>
      <c r="B15" s="759">
        <f t="shared" si="0"/>
        <v>9</v>
      </c>
      <c r="C15" s="769" t="s">
        <v>354</v>
      </c>
      <c r="D15" s="758" t="s">
        <v>632</v>
      </c>
      <c r="E15" s="758"/>
      <c r="F15" s="1597">
        <f t="shared" si="1"/>
        <v>2015</v>
      </c>
      <c r="G15" s="1160">
        <v>5827889080.2399988</v>
      </c>
      <c r="H15" s="765"/>
      <c r="I15" s="2516"/>
      <c r="J15" s="2517"/>
      <c r="K15" s="762"/>
      <c r="L15" s="2515"/>
      <c r="M15" s="2361"/>
      <c r="O15" s="2525"/>
      <c r="P15" s="2525"/>
      <c r="Q15" s="2527"/>
      <c r="R15" s="2527"/>
      <c r="S15" s="2527"/>
      <c r="T15" s="2524"/>
      <c r="U15" s="2527"/>
      <c r="V15" s="2524"/>
      <c r="W15" s="2527"/>
      <c r="X15" s="2524"/>
      <c r="Y15" s="2524"/>
      <c r="Z15" s="2524"/>
      <c r="AA15" s="2524"/>
      <c r="AB15" s="2524"/>
      <c r="AC15" s="2524"/>
      <c r="AD15" s="2524"/>
      <c r="AE15" s="2524"/>
    </row>
    <row r="16" spans="1:31" s="387" customFormat="1">
      <c r="A16" s="2349"/>
      <c r="B16" s="759">
        <f t="shared" si="0"/>
        <v>10</v>
      </c>
      <c r="C16" s="769" t="s">
        <v>355</v>
      </c>
      <c r="D16" s="758" t="s">
        <v>632</v>
      </c>
      <c r="E16" s="758"/>
      <c r="F16" s="1597">
        <f t="shared" si="1"/>
        <v>2015</v>
      </c>
      <c r="G16" s="1160">
        <v>5844928037.3999996</v>
      </c>
      <c r="H16" s="765"/>
      <c r="I16" s="2516"/>
      <c r="J16" s="2517"/>
      <c r="K16" s="762"/>
      <c r="L16" s="2515"/>
      <c r="M16" s="2361"/>
      <c r="O16" s="2525"/>
      <c r="P16" s="2525"/>
      <c r="Q16" s="2527"/>
      <c r="R16" s="2527"/>
      <c r="S16" s="2527"/>
      <c r="T16" s="2524"/>
      <c r="U16" s="2527"/>
      <c r="V16" s="2524"/>
      <c r="W16" s="2527"/>
      <c r="X16" s="2524"/>
      <c r="Y16" s="2524"/>
      <c r="Z16" s="2524"/>
      <c r="AA16" s="2524"/>
      <c r="AB16" s="2524"/>
      <c r="AC16" s="2524"/>
      <c r="AD16" s="2524"/>
      <c r="AE16" s="2524"/>
    </row>
    <row r="17" spans="1:31" s="387" customFormat="1">
      <c r="A17" s="2349"/>
      <c r="B17" s="759">
        <f t="shared" si="0"/>
        <v>11</v>
      </c>
      <c r="C17" s="766" t="s">
        <v>613</v>
      </c>
      <c r="D17" s="758" t="s">
        <v>632</v>
      </c>
      <c r="E17" s="758"/>
      <c r="F17" s="1597">
        <f t="shared" si="1"/>
        <v>2015</v>
      </c>
      <c r="G17" s="1160">
        <v>5855377709.3199959</v>
      </c>
      <c r="H17" s="765"/>
      <c r="I17" s="2516"/>
      <c r="J17" s="2517"/>
      <c r="K17" s="762"/>
      <c r="L17" s="2515"/>
      <c r="M17" s="2361"/>
      <c r="O17" s="2525"/>
      <c r="P17" s="2525"/>
      <c r="Q17" s="2527"/>
      <c r="R17" s="2527"/>
      <c r="S17" s="2527"/>
      <c r="T17" s="2524"/>
      <c r="U17" s="2527"/>
      <c r="V17" s="2524"/>
      <c r="W17" s="2527"/>
      <c r="X17" s="2524"/>
      <c r="Y17" s="2524"/>
      <c r="Z17" s="2524"/>
      <c r="AA17" s="2524"/>
      <c r="AB17" s="2524"/>
      <c r="AC17" s="2524"/>
      <c r="AD17" s="2524"/>
      <c r="AE17" s="2524"/>
    </row>
    <row r="18" spans="1:31" s="387" customFormat="1">
      <c r="A18" s="2349"/>
      <c r="B18" s="759">
        <f t="shared" si="0"/>
        <v>12</v>
      </c>
      <c r="C18" s="766" t="s">
        <v>357</v>
      </c>
      <c r="D18" s="758" t="s">
        <v>632</v>
      </c>
      <c r="E18" s="758"/>
      <c r="F18" s="1597">
        <f t="shared" si="1"/>
        <v>2015</v>
      </c>
      <c r="G18" s="1160">
        <v>5874056332.4499979</v>
      </c>
      <c r="H18" s="765"/>
      <c r="I18" s="2516"/>
      <c r="J18" s="2517"/>
      <c r="K18" s="762"/>
      <c r="L18" s="2515"/>
      <c r="M18" s="2361"/>
      <c r="O18" s="2525"/>
      <c r="P18" s="2525"/>
      <c r="Q18" s="2527"/>
      <c r="R18" s="2527"/>
      <c r="S18" s="2527"/>
      <c r="T18" s="2524"/>
      <c r="U18" s="2527"/>
      <c r="V18" s="2524"/>
      <c r="W18" s="2527"/>
      <c r="X18" s="2524"/>
      <c r="Y18" s="2524"/>
      <c r="Z18" s="2524"/>
      <c r="AA18" s="2524"/>
      <c r="AB18" s="2524"/>
      <c r="AC18" s="2524"/>
      <c r="AD18" s="2524"/>
      <c r="AE18" s="2524"/>
    </row>
    <row r="19" spans="1:31" s="387" customFormat="1">
      <c r="A19" s="2349"/>
      <c r="B19" s="759">
        <f t="shared" si="0"/>
        <v>13</v>
      </c>
      <c r="C19" s="772" t="s">
        <v>358</v>
      </c>
      <c r="D19" s="395" t="s">
        <v>1401</v>
      </c>
      <c r="E19" s="395"/>
      <c r="F19" s="1598">
        <f t="shared" si="1"/>
        <v>2015</v>
      </c>
      <c r="G19" s="1596">
        <v>5910756444.3699999</v>
      </c>
      <c r="H19" s="1661" t="str">
        <f>IF((INDEX(Inputs_EndYrBal,MATCH($D19,Inputs_FF1_Map,0))-G19)&lt;1,"-","Check values!")</f>
        <v>-</v>
      </c>
      <c r="I19" s="2516"/>
      <c r="J19" s="2517"/>
      <c r="K19" s="2360"/>
      <c r="L19" s="2515"/>
      <c r="M19" s="2361"/>
      <c r="O19" s="2525"/>
      <c r="P19" s="2525"/>
      <c r="Q19" s="2527"/>
      <c r="R19" s="2527"/>
      <c r="S19" s="2527"/>
      <c r="T19" s="2524"/>
      <c r="U19" s="2527"/>
      <c r="V19" s="2524"/>
      <c r="W19" s="2527"/>
      <c r="X19" s="2524"/>
      <c r="Y19" s="2524"/>
      <c r="Z19" s="2524"/>
      <c r="AA19" s="2524"/>
      <c r="AB19" s="2524"/>
      <c r="AC19" s="2524"/>
      <c r="AD19" s="2524"/>
      <c r="AE19" s="2524"/>
    </row>
    <row r="20" spans="1:31" s="387" customFormat="1" ht="15.75">
      <c r="A20" s="2349">
        <f>'Appendix A'!$A$38</f>
        <v>15</v>
      </c>
      <c r="B20" s="759">
        <f t="shared" si="0"/>
        <v>14</v>
      </c>
      <c r="C20" s="774" t="s">
        <v>274</v>
      </c>
      <c r="D20" s="1003" t="str">
        <f>IF(Toggle=Projection,"(line "&amp;B19&amp;")",IF(Toggle=True_up,"(sum lines "&amp;B7&amp;"-"&amp;B19&amp;") /13","Set Toggle!"))</f>
        <v>(line 13)</v>
      </c>
      <c r="E20" s="998" t="str">
        <f>'Appendix A'!$E$38</f>
        <v>(Note M)</v>
      </c>
      <c r="F20" s="1001" t="str">
        <f>Toggle</f>
        <v>Projection</v>
      </c>
      <c r="G20" s="1246">
        <f>IF(Toggle=Projection,G19,IF(Toggle=True_up,AVERAGE(G7:G19),"Set Toggle!"))</f>
        <v>5910756444.3699999</v>
      </c>
      <c r="H20" s="773" t="s">
        <v>1068</v>
      </c>
      <c r="I20" s="2516"/>
      <c r="J20" s="2517"/>
      <c r="K20" s="762"/>
      <c r="L20" s="2338"/>
      <c r="M20" s="2520"/>
      <c r="O20" s="2527"/>
      <c r="P20" s="2527"/>
      <c r="Q20" s="2528"/>
      <c r="R20" s="2529"/>
      <c r="S20" s="2528"/>
      <c r="T20" s="2524"/>
      <c r="U20" s="2529"/>
      <c r="V20" s="2524"/>
      <c r="W20" s="2528"/>
      <c r="X20" s="2524"/>
      <c r="Y20" s="2524"/>
      <c r="Z20" s="2524"/>
      <c r="AA20" s="2524"/>
      <c r="AB20" s="2524"/>
      <c r="AC20" s="2524"/>
      <c r="AD20" s="2524"/>
      <c r="AE20" s="2524"/>
    </row>
    <row r="21" spans="1:31" s="387" customFormat="1">
      <c r="A21" s="2349"/>
      <c r="B21" s="759"/>
      <c r="C21" s="769"/>
      <c r="D21" s="758"/>
      <c r="E21" s="758"/>
      <c r="F21" s="777"/>
      <c r="G21" s="1154"/>
      <c r="H21" s="765"/>
      <c r="I21" s="2516"/>
      <c r="J21" s="2517"/>
      <c r="K21" s="762"/>
      <c r="L21" s="2484"/>
      <c r="M21" s="763"/>
      <c r="O21" s="2524"/>
      <c r="P21" s="2525"/>
      <c r="Q21" s="2524"/>
      <c r="R21" s="2574"/>
      <c r="S21" s="2574"/>
      <c r="T21" s="2524"/>
      <c r="U21" s="2530"/>
      <c r="V21" s="2524"/>
      <c r="W21" s="2524"/>
      <c r="X21" s="2524"/>
      <c r="Y21" s="2524"/>
      <c r="Z21" s="2524"/>
      <c r="AA21" s="2524"/>
      <c r="AB21" s="2524"/>
      <c r="AC21" s="2524"/>
      <c r="AD21" s="2524"/>
      <c r="AE21" s="2524"/>
    </row>
    <row r="22" spans="1:31" s="387" customFormat="1" ht="15.75">
      <c r="A22" s="2349"/>
      <c r="B22" s="759"/>
      <c r="C22" s="757" t="s">
        <v>614</v>
      </c>
      <c r="D22" s="758" t="s">
        <v>26</v>
      </c>
      <c r="E22" s="758"/>
      <c r="F22" s="759" t="s">
        <v>141</v>
      </c>
      <c r="G22" s="1159" t="s">
        <v>158</v>
      </c>
      <c r="H22" s="770"/>
      <c r="I22" s="2516"/>
      <c r="J22" s="2517"/>
      <c r="K22" s="762"/>
      <c r="L22" s="2484"/>
      <c r="M22" s="763"/>
      <c r="O22" s="2524"/>
      <c r="P22" s="2525"/>
      <c r="Q22" s="2524"/>
      <c r="R22" s="2524"/>
      <c r="S22" s="2524"/>
      <c r="T22" s="2524"/>
      <c r="U22" s="2524"/>
      <c r="V22" s="2524"/>
      <c r="W22" s="2524"/>
      <c r="X22" s="2524"/>
      <c r="Y22" s="2526"/>
      <c r="Z22" s="2526"/>
      <c r="AA22" s="2524"/>
      <c r="AB22" s="2526"/>
      <c r="AC22" s="2526"/>
      <c r="AD22" s="2526"/>
      <c r="AE22" s="2524"/>
    </row>
    <row r="23" spans="1:31" s="387" customFormat="1" ht="15" customHeight="1">
      <c r="A23" s="2349"/>
      <c r="B23" s="759">
        <f>+B20+1</f>
        <v>15</v>
      </c>
      <c r="C23" s="764" t="s">
        <v>358</v>
      </c>
      <c r="D23" s="392" t="s">
        <v>1403</v>
      </c>
      <c r="E23" s="392"/>
      <c r="F23" s="1597">
        <f>+F7</f>
        <v>2014</v>
      </c>
      <c r="G23" s="1160">
        <v>6190391726.5599995</v>
      </c>
      <c r="H23" s="1661" t="str">
        <f>IF((INDEX(Inputs_EndYrBal_prior,MATCH($D35,Inputs_FF1_Map,0))-G23)&lt;1,"-","Check values!")</f>
        <v>-</v>
      </c>
      <c r="I23" s="2516"/>
      <c r="J23" s="2517"/>
      <c r="K23" s="762"/>
      <c r="L23" s="2484"/>
      <c r="M23" s="763"/>
      <c r="O23" s="2531"/>
      <c r="P23" s="2525"/>
      <c r="Q23" s="2532"/>
      <c r="R23" s="2532"/>
      <c r="S23" s="2532"/>
      <c r="T23" s="2524"/>
      <c r="U23" s="2532"/>
      <c r="V23" s="2524"/>
      <c r="W23" s="2524"/>
      <c r="X23" s="2524"/>
      <c r="Y23" s="2524"/>
      <c r="Z23" s="2526"/>
      <c r="AA23" s="2524"/>
      <c r="AB23" s="2526"/>
      <c r="AC23" s="2526"/>
      <c r="AD23" s="2526"/>
      <c r="AE23" s="2524"/>
    </row>
    <row r="24" spans="1:31" s="387" customFormat="1">
      <c r="A24" s="2349"/>
      <c r="B24" s="759">
        <f t="shared" ref="B24:B36" si="2">+B23+1</f>
        <v>16</v>
      </c>
      <c r="C24" s="766" t="s">
        <v>350</v>
      </c>
      <c r="D24" s="758" t="s">
        <v>632</v>
      </c>
      <c r="E24" s="758"/>
      <c r="F24" s="1597">
        <f>+F23+1</f>
        <v>2015</v>
      </c>
      <c r="G24" s="1160">
        <v>6200981777.0600004</v>
      </c>
      <c r="H24" s="767"/>
      <c r="I24" s="2516"/>
      <c r="J24" s="2517"/>
      <c r="K24" s="762"/>
      <c r="L24" s="2484"/>
      <c r="M24" s="763"/>
      <c r="O24" s="2524"/>
      <c r="P24" s="2533"/>
      <c r="Q24" s="2525"/>
      <c r="R24" s="2525"/>
      <c r="S24" s="2525"/>
      <c r="T24" s="2524"/>
      <c r="U24" s="2525"/>
      <c r="V24" s="2525"/>
      <c r="W24" s="2525"/>
      <c r="X24" s="2524"/>
      <c r="Y24" s="2525"/>
      <c r="Z24" s="2525"/>
      <c r="AA24" s="2524"/>
      <c r="AB24" s="2527"/>
      <c r="AC24" s="2527"/>
      <c r="AD24" s="2527"/>
      <c r="AE24" s="2524"/>
    </row>
    <row r="25" spans="1:31" s="387" customFormat="1">
      <c r="A25" s="2349"/>
      <c r="B25" s="759">
        <f t="shared" si="2"/>
        <v>17</v>
      </c>
      <c r="C25" s="769" t="s">
        <v>351</v>
      </c>
      <c r="D25" s="758" t="s">
        <v>632</v>
      </c>
      <c r="E25" s="758"/>
      <c r="F25" s="1597">
        <f t="shared" ref="F25:F35" si="3">+F24</f>
        <v>2015</v>
      </c>
      <c r="G25" s="1160">
        <v>6217287881.960001</v>
      </c>
      <c r="H25" s="765"/>
      <c r="I25" s="2516"/>
      <c r="J25" s="2517"/>
      <c r="K25" s="762"/>
      <c r="L25" s="2484"/>
      <c r="M25" s="763"/>
      <c r="O25" s="2524"/>
      <c r="P25" s="2533"/>
      <c r="Q25" s="2525"/>
      <c r="R25" s="2525"/>
      <c r="S25" s="2525"/>
      <c r="T25" s="2524"/>
      <c r="U25" s="2525"/>
      <c r="V25" s="2525"/>
      <c r="W25" s="2525"/>
      <c r="X25" s="2524"/>
      <c r="Y25" s="2525"/>
      <c r="Z25" s="2525"/>
      <c r="AA25" s="2524"/>
      <c r="AB25" s="2527"/>
      <c r="AC25" s="2527"/>
      <c r="AD25" s="2527"/>
      <c r="AE25" s="2524"/>
    </row>
    <row r="26" spans="1:31" s="387" customFormat="1">
      <c r="A26" s="2349"/>
      <c r="B26" s="759">
        <f t="shared" si="2"/>
        <v>18</v>
      </c>
      <c r="C26" s="769" t="s">
        <v>352</v>
      </c>
      <c r="D26" s="758" t="s">
        <v>632</v>
      </c>
      <c r="E26" s="758"/>
      <c r="F26" s="1597">
        <f t="shared" si="3"/>
        <v>2015</v>
      </c>
      <c r="G26" s="1160">
        <v>6231346826.0599995</v>
      </c>
      <c r="H26" s="765"/>
      <c r="I26" s="2516"/>
      <c r="J26" s="2517"/>
      <c r="K26" s="762"/>
      <c r="L26" s="2484"/>
      <c r="M26" s="763"/>
      <c r="O26" s="2524"/>
      <c r="P26" s="2533"/>
      <c r="Q26" s="2525"/>
      <c r="R26" s="2525"/>
      <c r="S26" s="2525"/>
      <c r="T26" s="2524"/>
      <c r="U26" s="2525"/>
      <c r="V26" s="2525"/>
      <c r="W26" s="2525"/>
      <c r="X26" s="2524"/>
      <c r="Y26" s="2525"/>
      <c r="Z26" s="2525"/>
      <c r="AA26" s="2524"/>
      <c r="AB26" s="2527"/>
      <c r="AC26" s="2527"/>
      <c r="AD26" s="2527"/>
      <c r="AE26" s="2524"/>
    </row>
    <row r="27" spans="1:31" s="387" customFormat="1">
      <c r="A27" s="2349"/>
      <c r="B27" s="759">
        <f t="shared" si="2"/>
        <v>19</v>
      </c>
      <c r="C27" s="766" t="s">
        <v>143</v>
      </c>
      <c r="D27" s="758" t="s">
        <v>632</v>
      </c>
      <c r="E27" s="758"/>
      <c r="F27" s="1597">
        <f t="shared" si="3"/>
        <v>2015</v>
      </c>
      <c r="G27" s="1160">
        <v>6253141720.2200012</v>
      </c>
      <c r="H27" s="765"/>
      <c r="I27" s="2516"/>
      <c r="J27" s="2517"/>
      <c r="K27" s="762"/>
      <c r="L27" s="2484"/>
      <c r="M27" s="763"/>
      <c r="O27" s="2524"/>
      <c r="P27" s="2533"/>
      <c r="Q27" s="2525"/>
      <c r="R27" s="2525"/>
      <c r="S27" s="2525"/>
      <c r="T27" s="2524"/>
      <c r="U27" s="2525"/>
      <c r="V27" s="2525"/>
      <c r="W27" s="2525"/>
      <c r="X27" s="2524"/>
      <c r="Y27" s="2525"/>
      <c r="Z27" s="2525"/>
      <c r="AA27" s="2524"/>
      <c r="AB27" s="2527"/>
      <c r="AC27" s="2527"/>
      <c r="AD27" s="2527"/>
      <c r="AE27" s="2524"/>
    </row>
    <row r="28" spans="1:31" s="387" customFormat="1">
      <c r="A28" s="2349"/>
      <c r="B28" s="759">
        <f t="shared" si="2"/>
        <v>20</v>
      </c>
      <c r="C28" s="769" t="s">
        <v>144</v>
      </c>
      <c r="D28" s="758" t="s">
        <v>632</v>
      </c>
      <c r="E28" s="758"/>
      <c r="F28" s="1597">
        <f t="shared" si="3"/>
        <v>2015</v>
      </c>
      <c r="G28" s="1160">
        <v>6262843650.2000027</v>
      </c>
      <c r="H28" s="770"/>
      <c r="I28" s="2516"/>
      <c r="J28" s="2517"/>
      <c r="K28" s="783"/>
      <c r="L28" s="2521"/>
      <c r="M28" s="2522"/>
      <c r="O28" s="2524"/>
      <c r="P28" s="2533"/>
      <c r="Q28" s="2525"/>
      <c r="R28" s="2525"/>
      <c r="S28" s="2525"/>
      <c r="T28" s="2524"/>
      <c r="U28" s="2525"/>
      <c r="V28" s="2525"/>
      <c r="W28" s="2525"/>
      <c r="X28" s="2524"/>
      <c r="Y28" s="2525"/>
      <c r="Z28" s="2525"/>
      <c r="AA28" s="2524"/>
      <c r="AB28" s="2527"/>
      <c r="AC28" s="2527"/>
      <c r="AD28" s="2527"/>
      <c r="AE28" s="2524"/>
    </row>
    <row r="29" spans="1:31" s="387" customFormat="1">
      <c r="A29" s="2349"/>
      <c r="B29" s="759">
        <f t="shared" si="2"/>
        <v>21</v>
      </c>
      <c r="C29" s="769" t="s">
        <v>612</v>
      </c>
      <c r="D29" s="758" t="s">
        <v>632</v>
      </c>
      <c r="E29" s="758"/>
      <c r="F29" s="1597">
        <f t="shared" si="3"/>
        <v>2015</v>
      </c>
      <c r="G29" s="1160">
        <v>6276707225.5800009</v>
      </c>
      <c r="H29" s="765"/>
      <c r="I29" s="2516"/>
      <c r="J29" s="2517"/>
      <c r="K29" s="762"/>
      <c r="L29" s="2484"/>
      <c r="M29" s="763"/>
      <c r="O29" s="2524"/>
      <c r="P29" s="2533"/>
      <c r="Q29" s="2525"/>
      <c r="R29" s="2525"/>
      <c r="S29" s="2525"/>
      <c r="T29" s="2524"/>
      <c r="U29" s="2525"/>
      <c r="V29" s="2525"/>
      <c r="W29" s="2525"/>
      <c r="X29" s="2524"/>
      <c r="Y29" s="2525"/>
      <c r="Z29" s="2525"/>
      <c r="AA29" s="2524"/>
      <c r="AB29" s="2527"/>
      <c r="AC29" s="2527"/>
      <c r="AD29" s="2527"/>
      <c r="AE29" s="2524"/>
    </row>
    <row r="30" spans="1:31" s="387" customFormat="1">
      <c r="A30" s="2349"/>
      <c r="B30" s="759">
        <f t="shared" si="2"/>
        <v>22</v>
      </c>
      <c r="C30" s="766" t="s">
        <v>353</v>
      </c>
      <c r="D30" s="758" t="s">
        <v>632</v>
      </c>
      <c r="E30" s="758"/>
      <c r="F30" s="1597">
        <f t="shared" si="3"/>
        <v>2015</v>
      </c>
      <c r="G30" s="1160">
        <v>6292971874.9099979</v>
      </c>
      <c r="H30" s="767"/>
      <c r="I30" s="2516"/>
      <c r="J30" s="2517"/>
      <c r="K30" s="762"/>
      <c r="L30" s="2484"/>
      <c r="M30" s="763"/>
      <c r="O30" s="2524"/>
      <c r="P30" s="2533"/>
      <c r="Q30" s="2525"/>
      <c r="R30" s="2525"/>
      <c r="S30" s="2525"/>
      <c r="T30" s="2524"/>
      <c r="U30" s="2525"/>
      <c r="V30" s="2525"/>
      <c r="W30" s="2525"/>
      <c r="X30" s="2524"/>
      <c r="Y30" s="2525"/>
      <c r="Z30" s="2525"/>
      <c r="AA30" s="2524"/>
      <c r="AB30" s="2527"/>
      <c r="AC30" s="2527"/>
      <c r="AD30" s="2527"/>
      <c r="AE30" s="2524"/>
    </row>
    <row r="31" spans="1:31" s="387" customFormat="1">
      <c r="A31" s="2349"/>
      <c r="B31" s="759">
        <f t="shared" si="2"/>
        <v>23</v>
      </c>
      <c r="C31" s="769" t="s">
        <v>354</v>
      </c>
      <c r="D31" s="758" t="s">
        <v>632</v>
      </c>
      <c r="E31" s="758"/>
      <c r="F31" s="1597">
        <f t="shared" si="3"/>
        <v>2015</v>
      </c>
      <c r="G31" s="1160">
        <v>6306107318.4900007</v>
      </c>
      <c r="H31" s="765"/>
      <c r="I31" s="2516"/>
      <c r="J31" s="2517"/>
      <c r="K31" s="762"/>
      <c r="L31" s="2484"/>
      <c r="M31" s="763"/>
      <c r="O31" s="2524"/>
      <c r="P31" s="2533"/>
      <c r="Q31" s="2525"/>
      <c r="R31" s="2525"/>
      <c r="S31" s="2525"/>
      <c r="T31" s="2524"/>
      <c r="U31" s="2525"/>
      <c r="V31" s="2525"/>
      <c r="W31" s="2525"/>
      <c r="X31" s="2524"/>
      <c r="Y31" s="2525"/>
      <c r="Z31" s="2525"/>
      <c r="AA31" s="2524"/>
      <c r="AB31" s="2527"/>
      <c r="AC31" s="2527"/>
      <c r="AD31" s="2527"/>
      <c r="AE31" s="2524"/>
    </row>
    <row r="32" spans="1:31" s="387" customFormat="1">
      <c r="A32" s="2349"/>
      <c r="B32" s="759">
        <f t="shared" si="2"/>
        <v>24</v>
      </c>
      <c r="C32" s="769" t="s">
        <v>355</v>
      </c>
      <c r="D32" s="758" t="s">
        <v>632</v>
      </c>
      <c r="E32" s="758"/>
      <c r="F32" s="1597">
        <f t="shared" si="3"/>
        <v>2015</v>
      </c>
      <c r="G32" s="1160">
        <v>6339607746.2800007</v>
      </c>
      <c r="H32" s="765"/>
      <c r="I32" s="2516"/>
      <c r="J32" s="2517"/>
      <c r="K32" s="762"/>
      <c r="L32" s="2484"/>
      <c r="M32" s="763"/>
      <c r="O32" s="2524"/>
      <c r="P32" s="2533"/>
      <c r="Q32" s="2525"/>
      <c r="R32" s="2525"/>
      <c r="S32" s="2525"/>
      <c r="T32" s="2524"/>
      <c r="U32" s="2525"/>
      <c r="V32" s="2525"/>
      <c r="W32" s="2525"/>
      <c r="X32" s="2524"/>
      <c r="Y32" s="2525"/>
      <c r="Z32" s="2525"/>
      <c r="AA32" s="2524"/>
      <c r="AB32" s="2527"/>
      <c r="AC32" s="2527"/>
      <c r="AD32" s="2527"/>
      <c r="AE32" s="2524"/>
    </row>
    <row r="33" spans="1:31" s="387" customFormat="1">
      <c r="A33" s="2349"/>
      <c r="B33" s="759">
        <f t="shared" si="2"/>
        <v>25</v>
      </c>
      <c r="C33" s="766" t="s">
        <v>356</v>
      </c>
      <c r="D33" s="758" t="s">
        <v>632</v>
      </c>
      <c r="E33" s="758"/>
      <c r="F33" s="1597">
        <f t="shared" si="3"/>
        <v>2015</v>
      </c>
      <c r="G33" s="1160">
        <v>6354916595.6700001</v>
      </c>
      <c r="H33" s="765"/>
      <c r="I33" s="2516"/>
      <c r="J33" s="2517"/>
      <c r="K33" s="762"/>
      <c r="L33" s="2484"/>
      <c r="M33" s="763"/>
      <c r="O33" s="2524"/>
      <c r="P33" s="2533"/>
      <c r="Q33" s="2525"/>
      <c r="R33" s="2525"/>
      <c r="S33" s="2525"/>
      <c r="T33" s="2524"/>
      <c r="U33" s="2525"/>
      <c r="V33" s="2525"/>
      <c r="W33" s="2525"/>
      <c r="X33" s="2524"/>
      <c r="Y33" s="2525"/>
      <c r="Z33" s="2525"/>
      <c r="AA33" s="2524"/>
      <c r="AB33" s="2527"/>
      <c r="AC33" s="2527"/>
      <c r="AD33" s="2527"/>
      <c r="AE33" s="2524"/>
    </row>
    <row r="34" spans="1:31" s="387" customFormat="1">
      <c r="A34" s="2349"/>
      <c r="B34" s="759">
        <f t="shared" si="2"/>
        <v>26</v>
      </c>
      <c r="C34" s="766" t="s">
        <v>357</v>
      </c>
      <c r="D34" s="758" t="s">
        <v>632</v>
      </c>
      <c r="E34" s="758"/>
      <c r="F34" s="1597">
        <f t="shared" si="3"/>
        <v>2015</v>
      </c>
      <c r="G34" s="1160">
        <v>6369482698.8799992</v>
      </c>
      <c r="H34" s="765"/>
      <c r="I34" s="2516"/>
      <c r="J34" s="2517"/>
      <c r="K34" s="762"/>
      <c r="L34" s="2484"/>
      <c r="M34" s="763"/>
      <c r="O34" s="2524"/>
      <c r="P34" s="2533"/>
      <c r="Q34" s="2525"/>
      <c r="R34" s="2525"/>
      <c r="S34" s="2525"/>
      <c r="T34" s="2524"/>
      <c r="U34" s="2525"/>
      <c r="V34" s="2525"/>
      <c r="W34" s="2525"/>
      <c r="X34" s="2524"/>
      <c r="Y34" s="2525"/>
      <c r="Z34" s="2525"/>
      <c r="AA34" s="2524"/>
      <c r="AB34" s="2527"/>
      <c r="AC34" s="2527"/>
      <c r="AD34" s="2527"/>
      <c r="AE34" s="2524"/>
    </row>
    <row r="35" spans="1:31" s="387" customFormat="1">
      <c r="A35" s="2349"/>
      <c r="B35" s="759">
        <f t="shared" si="2"/>
        <v>27</v>
      </c>
      <c r="C35" s="772" t="s">
        <v>358</v>
      </c>
      <c r="D35" s="395" t="s">
        <v>1410</v>
      </c>
      <c r="E35" s="395"/>
      <c r="F35" s="1598">
        <f t="shared" si="3"/>
        <v>2015</v>
      </c>
      <c r="G35" s="1596">
        <v>6401275118.1199989</v>
      </c>
      <c r="H35" s="1661" t="str">
        <f>IF((INDEX(Inputs_EndYrBal,MATCH($D35,Inputs_FF1_Map,0))-G35)&lt;1,"-","Check values!")</f>
        <v>-</v>
      </c>
      <c r="I35" s="2516"/>
      <c r="J35" s="2517"/>
      <c r="K35" s="2360"/>
      <c r="L35" s="2521"/>
      <c r="M35" s="2522"/>
      <c r="O35" s="2524"/>
      <c r="P35" s="2533"/>
      <c r="Q35" s="2525"/>
      <c r="R35" s="2525"/>
      <c r="S35" s="2525"/>
      <c r="T35" s="2524"/>
      <c r="U35" s="2525"/>
      <c r="V35" s="2525"/>
      <c r="W35" s="2525"/>
      <c r="X35" s="2524"/>
      <c r="Y35" s="2525"/>
      <c r="Z35" s="2525"/>
      <c r="AA35" s="2524"/>
      <c r="AB35" s="2527"/>
      <c r="AC35" s="2527"/>
      <c r="AD35" s="2527"/>
      <c r="AE35" s="2524"/>
    </row>
    <row r="36" spans="1:31" s="387" customFormat="1" ht="15.75">
      <c r="A36" s="2349"/>
      <c r="B36" s="759">
        <f t="shared" si="2"/>
        <v>28</v>
      </c>
      <c r="C36" s="774" t="s">
        <v>615</v>
      </c>
      <c r="D36" s="1003" t="str">
        <f>IF(Toggle=Projection,"(line "&amp;B35&amp;")",IF(Toggle=True_up,"(sum lines "&amp;B23&amp;"-"&amp;B35&amp;") /13","Set Toggle!"))</f>
        <v>(line 27)</v>
      </c>
      <c r="E36" s="758"/>
      <c r="F36" s="1001" t="str">
        <f>Toggle</f>
        <v>Projection</v>
      </c>
      <c r="G36" s="1153">
        <f>IF(Toggle=Projection,G35,IF(Toggle=True_up,AVERAGE(G23:G35),"Set Toggle!"))</f>
        <v>6401275118.1199989</v>
      </c>
      <c r="H36" s="773"/>
      <c r="I36" s="2516"/>
      <c r="J36" s="2517"/>
      <c r="K36" s="762"/>
      <c r="L36" s="2338"/>
      <c r="M36" s="2520"/>
      <c r="O36" s="2524"/>
      <c r="P36" s="2525"/>
      <c r="Q36" s="2525"/>
      <c r="R36" s="2525"/>
      <c r="S36" s="2525"/>
      <c r="T36" s="2525"/>
      <c r="U36" s="2525"/>
      <c r="V36" s="2525"/>
      <c r="W36" s="2525"/>
      <c r="X36" s="2524"/>
      <c r="Y36" s="2525"/>
      <c r="Z36" s="2525"/>
      <c r="AA36" s="2524"/>
      <c r="AB36" s="2529"/>
      <c r="AC36" s="2529"/>
      <c r="AD36" s="2529"/>
      <c r="AE36" s="2524"/>
    </row>
    <row r="37" spans="1:31" s="387" customFormat="1">
      <c r="A37" s="2349"/>
      <c r="B37" s="759"/>
      <c r="C37" s="769"/>
      <c r="D37" s="758"/>
      <c r="E37" s="758"/>
      <c r="F37" s="777"/>
      <c r="G37" s="1154"/>
      <c r="H37" s="765"/>
      <c r="I37" s="2516"/>
      <c r="J37" s="2517"/>
      <c r="K37" s="762"/>
      <c r="L37" s="2484"/>
      <c r="M37" s="763"/>
      <c r="O37" s="2524"/>
      <c r="P37" s="2525"/>
      <c r="Q37" s="2524"/>
      <c r="R37" s="2524"/>
      <c r="S37" s="2524"/>
      <c r="T37" s="2524"/>
      <c r="U37" s="2524"/>
      <c r="V37" s="2524"/>
      <c r="W37" s="2524"/>
      <c r="X37" s="2524"/>
      <c r="Y37" s="2524"/>
      <c r="Z37" s="2534"/>
      <c r="AA37" s="2524"/>
      <c r="AB37" s="2574"/>
      <c r="AC37" s="2574"/>
      <c r="AD37" s="2530"/>
      <c r="AE37" s="2524"/>
    </row>
    <row r="38" spans="1:31" s="387" customFormat="1" ht="15.75">
      <c r="A38" s="2349"/>
      <c r="B38" s="759"/>
      <c r="C38" s="757" t="s">
        <v>616</v>
      </c>
      <c r="D38" s="758" t="s">
        <v>26</v>
      </c>
      <c r="E38" s="758"/>
      <c r="F38" s="759" t="s">
        <v>141</v>
      </c>
      <c r="G38" s="1159" t="s">
        <v>158</v>
      </c>
      <c r="H38" s="770"/>
      <c r="I38" s="2516"/>
      <c r="J38" s="2517"/>
      <c r="K38" s="762"/>
      <c r="L38" s="2484"/>
      <c r="M38" s="763"/>
      <c r="P38" s="2363"/>
    </row>
    <row r="39" spans="1:31" s="387" customFormat="1">
      <c r="A39" s="2349"/>
      <c r="B39" s="759">
        <f>+B36+1</f>
        <v>29</v>
      </c>
      <c r="C39" s="764" t="s">
        <v>358</v>
      </c>
      <c r="D39" s="392" t="s">
        <v>1404</v>
      </c>
      <c r="E39" s="392"/>
      <c r="F39" s="1597">
        <f>+F23</f>
        <v>2014</v>
      </c>
      <c r="G39" s="1160">
        <v>880195124.06999993</v>
      </c>
      <c r="H39" s="1661" t="str">
        <f>IF((INDEX(Inputs_EndYrBal,MATCH($D39,Inputs_FF1_Map,0))-G39)&lt;1,"-","Check values!")</f>
        <v>-</v>
      </c>
      <c r="I39" s="2516"/>
      <c r="J39" s="2517"/>
      <c r="K39" s="762"/>
      <c r="L39" s="2484"/>
      <c r="M39" s="763"/>
      <c r="P39" s="2363"/>
    </row>
    <row r="40" spans="1:31" s="387" customFormat="1">
      <c r="A40" s="2349"/>
      <c r="B40" s="759">
        <f>+B39+1</f>
        <v>30</v>
      </c>
      <c r="C40" s="772" t="s">
        <v>358</v>
      </c>
      <c r="D40" s="395" t="s">
        <v>1405</v>
      </c>
      <c r="E40" s="395"/>
      <c r="F40" s="1598">
        <f>+F39+1</f>
        <v>2015</v>
      </c>
      <c r="G40" s="1596">
        <v>876732474.41999996</v>
      </c>
      <c r="H40" s="1661" t="str">
        <f>IF((INDEX(Inputs_EndYrBal,MATCH($D40,Inputs_FF1_Map,0))-G40)&lt;1,"-","Check values!")</f>
        <v>-</v>
      </c>
      <c r="I40" s="2516"/>
      <c r="J40" s="2517"/>
      <c r="K40" s="783"/>
      <c r="L40" s="2521"/>
      <c r="M40" s="763"/>
      <c r="P40" s="2363"/>
    </row>
    <row r="41" spans="1:31" s="387" customFormat="1" ht="15.75">
      <c r="A41" s="2349">
        <f>'Appendix A'!$A$43</f>
        <v>19</v>
      </c>
      <c r="B41" s="759">
        <f>+B40+1</f>
        <v>31</v>
      </c>
      <c r="C41" s="774" t="s">
        <v>617</v>
      </c>
      <c r="D41" s="1003" t="str">
        <f>IF(Toggle=Projection,"(line "&amp;B40&amp;")",IF(Toggle=True_up,"(sum lines "&amp;B39&amp;" &amp; "&amp;B40&amp;") /2","Set Toggle!"))</f>
        <v>(line 30)</v>
      </c>
      <c r="E41" s="998" t="str">
        <f>'Appendix A'!$E$43</f>
        <v>(Note N)</v>
      </c>
      <c r="F41" s="1001" t="str">
        <f>Toggle</f>
        <v>Projection</v>
      </c>
      <c r="G41" s="1246">
        <f>IF(Toggle=Projection,G40,IF(Toggle=True_up,AVERAGE(G39:G40),"Set Toggle!"))</f>
        <v>876732474.41999996</v>
      </c>
      <c r="H41" s="773" t="s">
        <v>1068</v>
      </c>
      <c r="I41" s="2516"/>
      <c r="J41" s="2517"/>
      <c r="K41" s="762"/>
      <c r="L41" s="2338"/>
      <c r="M41" s="2520"/>
      <c r="P41" s="2363"/>
    </row>
    <row r="42" spans="1:31" s="387" customFormat="1">
      <c r="A42" s="2349"/>
      <c r="B42" s="759"/>
      <c r="C42" s="766"/>
      <c r="D42" s="758"/>
      <c r="E42" s="758"/>
      <c r="F42" s="780"/>
      <c r="G42" s="1156"/>
      <c r="H42" s="765"/>
      <c r="I42" s="2516"/>
      <c r="J42" s="2517"/>
      <c r="K42" s="762"/>
      <c r="L42" s="2338"/>
      <c r="M42" s="763"/>
      <c r="P42" s="2363"/>
    </row>
    <row r="43" spans="1:31" s="387" customFormat="1" ht="15.75">
      <c r="A43" s="2349"/>
      <c r="B43" s="759"/>
      <c r="C43" s="757" t="s">
        <v>618</v>
      </c>
      <c r="D43" s="758" t="s">
        <v>26</v>
      </c>
      <c r="E43" s="758"/>
      <c r="F43" s="759" t="s">
        <v>141</v>
      </c>
      <c r="G43" s="1159" t="s">
        <v>158</v>
      </c>
      <c r="H43" s="770"/>
      <c r="I43" s="2516"/>
      <c r="J43" s="2517"/>
      <c r="K43" s="762"/>
      <c r="L43" s="2484"/>
      <c r="M43" s="763"/>
      <c r="P43" s="2363"/>
    </row>
    <row r="44" spans="1:31" s="387" customFormat="1">
      <c r="A44" s="2349"/>
      <c r="B44" s="759">
        <f>+B41+1</f>
        <v>32</v>
      </c>
      <c r="C44" s="764" t="s">
        <v>358</v>
      </c>
      <c r="D44" s="392" t="s">
        <v>1406</v>
      </c>
      <c r="E44" s="392"/>
      <c r="F44" s="1597">
        <f>+F39</f>
        <v>2014</v>
      </c>
      <c r="G44" s="1160">
        <v>1445031806.9200001</v>
      </c>
      <c r="H44" s="1661" t="str">
        <f>IF((INDEX(Inputs_EndYrBal,MATCH($D44,Inputs_FF1_Map,0))-G44)&lt;1,"-","Check values!")</f>
        <v>-</v>
      </c>
      <c r="I44" s="2516"/>
      <c r="J44" s="2517"/>
      <c r="K44" s="762"/>
      <c r="L44" s="2484"/>
      <c r="M44" s="763"/>
      <c r="P44" s="2363"/>
    </row>
    <row r="45" spans="1:31" s="387" customFormat="1">
      <c r="A45" s="2349"/>
      <c r="B45" s="759">
        <f>+B44+1</f>
        <v>33</v>
      </c>
      <c r="C45" s="772" t="s">
        <v>358</v>
      </c>
      <c r="D45" s="395" t="s">
        <v>1407</v>
      </c>
      <c r="E45" s="395"/>
      <c r="F45" s="1598">
        <f>+F44+1</f>
        <v>2015</v>
      </c>
      <c r="G45" s="1596">
        <v>1173341617.1799996</v>
      </c>
      <c r="H45" s="1661" t="str">
        <f>IF((INDEX(Inputs_EndYrBal,MATCH($D45,Inputs_FF1_Map,0))-G45)&lt;1,"-","Check values!")</f>
        <v>-</v>
      </c>
      <c r="I45" s="2516"/>
      <c r="J45" s="2517"/>
      <c r="K45" s="2360"/>
      <c r="L45" s="2485"/>
      <c r="M45" s="763"/>
      <c r="P45" s="2363"/>
    </row>
    <row r="46" spans="1:31" s="387" customFormat="1" ht="15.75">
      <c r="A46" s="2349">
        <f>'Appendix A'!$A$42</f>
        <v>18</v>
      </c>
      <c r="B46" s="759">
        <f>+B45+1</f>
        <v>34</v>
      </c>
      <c r="C46" s="774" t="s">
        <v>619</v>
      </c>
      <c r="D46" s="1003" t="str">
        <f>IF(Toggle=Projection,"(line "&amp;B45&amp;")",IF(Toggle=True_up,"(sum lines "&amp;B44&amp;" &amp; "&amp;B45&amp;") /2","Set Toggle!"))</f>
        <v>(line 33)</v>
      </c>
      <c r="E46" s="998" t="str">
        <f>'Appendix A'!$E$42</f>
        <v>(Note N)</v>
      </c>
      <c r="F46" s="1001" t="str">
        <f>Toggle</f>
        <v>Projection</v>
      </c>
      <c r="G46" s="1246">
        <f>IF(Toggle=Projection,G45,IF(Toggle=True_up,AVERAGE(G44:G45),"Set Toggle!"))</f>
        <v>1173341617.1799996</v>
      </c>
      <c r="H46" s="773" t="s">
        <v>1068</v>
      </c>
      <c r="I46" s="2516"/>
      <c r="J46" s="2517"/>
      <c r="K46" s="762"/>
      <c r="L46" s="2338"/>
      <c r="M46" s="2520"/>
      <c r="P46" s="2363"/>
    </row>
    <row r="47" spans="1:31" s="387" customFormat="1">
      <c r="A47" s="2349"/>
      <c r="B47" s="759"/>
      <c r="C47" s="769"/>
      <c r="D47" s="392"/>
      <c r="E47" s="392"/>
      <c r="F47" s="781"/>
      <c r="G47" s="1156"/>
      <c r="H47" s="770"/>
      <c r="I47" s="2516"/>
      <c r="J47" s="2517"/>
      <c r="K47" s="783"/>
      <c r="L47" s="2521"/>
      <c r="M47" s="2522"/>
      <c r="P47" s="2363"/>
    </row>
    <row r="48" spans="1:31" s="387" customFormat="1" ht="15.75">
      <c r="A48" s="2349"/>
      <c r="B48" s="759"/>
      <c r="C48" s="757" t="s">
        <v>620</v>
      </c>
      <c r="D48" s="758" t="s">
        <v>26</v>
      </c>
      <c r="E48" s="758"/>
      <c r="F48" s="759" t="s">
        <v>141</v>
      </c>
      <c r="G48" s="1159" t="s">
        <v>158</v>
      </c>
      <c r="H48" s="770"/>
      <c r="I48" s="2516"/>
      <c r="J48" s="2517"/>
      <c r="K48" s="762"/>
      <c r="L48" s="2484"/>
      <c r="M48" s="763"/>
      <c r="P48" s="2363"/>
    </row>
    <row r="49" spans="1:16" s="387" customFormat="1">
      <c r="A49" s="2349"/>
      <c r="B49" s="759">
        <f>+B46+1</f>
        <v>35</v>
      </c>
      <c r="C49" s="764" t="s">
        <v>358</v>
      </c>
      <c r="D49" s="392" t="s">
        <v>1408</v>
      </c>
      <c r="E49" s="392"/>
      <c r="F49" s="1597">
        <f>+F44</f>
        <v>2014</v>
      </c>
      <c r="G49" s="1160">
        <v>11922598581.359999</v>
      </c>
      <c r="H49" s="1661" t="str">
        <f>IF((INDEX(Inputs_EndYrBal_prior,MATCH($D61,Inputs_FF1_Map,0))-G49)&lt;1,"-","Check values!")</f>
        <v>-</v>
      </c>
      <c r="I49" s="2516"/>
      <c r="J49" s="2517"/>
      <c r="K49" s="762"/>
      <c r="L49" s="2484"/>
      <c r="M49" s="763"/>
      <c r="P49" s="2363"/>
    </row>
    <row r="50" spans="1:16" s="387" customFormat="1">
      <c r="A50" s="2349"/>
      <c r="B50" s="759">
        <f t="shared" ref="B50:B62" si="4">+B49+1</f>
        <v>36</v>
      </c>
      <c r="C50" s="782" t="s">
        <v>350</v>
      </c>
      <c r="D50" s="758" t="s">
        <v>632</v>
      </c>
      <c r="E50" s="758"/>
      <c r="F50" s="1597">
        <f>+F49+1</f>
        <v>2015</v>
      </c>
      <c r="G50" s="1160">
        <v>11922535627.1</v>
      </c>
      <c r="H50" s="770"/>
      <c r="I50" s="2516"/>
      <c r="J50" s="2517"/>
      <c r="K50" s="762"/>
      <c r="L50" s="2484"/>
      <c r="M50" s="763"/>
      <c r="P50" s="2363"/>
    </row>
    <row r="51" spans="1:16" s="387" customFormat="1">
      <c r="A51" s="2349"/>
      <c r="B51" s="759">
        <f t="shared" si="4"/>
        <v>37</v>
      </c>
      <c r="C51" s="769" t="s">
        <v>351</v>
      </c>
      <c r="D51" s="758" t="s">
        <v>632</v>
      </c>
      <c r="E51" s="758"/>
      <c r="F51" s="1597">
        <f t="shared" ref="F51:F61" si="5">+F50</f>
        <v>2015</v>
      </c>
      <c r="G51" s="1160">
        <v>11921517770.860003</v>
      </c>
      <c r="H51" s="770"/>
      <c r="I51" s="2516"/>
      <c r="J51" s="2517"/>
      <c r="K51" s="762"/>
      <c r="L51" s="2484"/>
      <c r="M51" s="763"/>
      <c r="P51" s="2363"/>
    </row>
    <row r="52" spans="1:16" s="387" customFormat="1">
      <c r="A52" s="2349"/>
      <c r="B52" s="759">
        <f t="shared" si="4"/>
        <v>38</v>
      </c>
      <c r="C52" s="769" t="s">
        <v>352</v>
      </c>
      <c r="D52" s="758" t="s">
        <v>632</v>
      </c>
      <c r="E52" s="758"/>
      <c r="F52" s="1597">
        <f t="shared" si="5"/>
        <v>2015</v>
      </c>
      <c r="G52" s="1160">
        <v>11927578512.529997</v>
      </c>
      <c r="H52" s="770"/>
      <c r="I52" s="2516"/>
      <c r="J52" s="2517"/>
      <c r="K52" s="762"/>
      <c r="L52" s="2484"/>
      <c r="M52" s="763"/>
      <c r="P52" s="2363"/>
    </row>
    <row r="53" spans="1:16" s="387" customFormat="1">
      <c r="A53" s="2349"/>
      <c r="B53" s="759">
        <f t="shared" si="4"/>
        <v>39</v>
      </c>
      <c r="C53" s="782" t="s">
        <v>143</v>
      </c>
      <c r="D53" s="758" t="s">
        <v>632</v>
      </c>
      <c r="E53" s="758"/>
      <c r="F53" s="1597">
        <f t="shared" si="5"/>
        <v>2015</v>
      </c>
      <c r="G53" s="1160">
        <v>11981153736.99</v>
      </c>
      <c r="H53" s="770"/>
      <c r="I53" s="2516"/>
      <c r="J53" s="2517"/>
      <c r="K53" s="762"/>
      <c r="L53" s="2484"/>
      <c r="M53" s="763"/>
      <c r="P53" s="2363"/>
    </row>
    <row r="54" spans="1:16" s="387" customFormat="1">
      <c r="A54" s="2349"/>
      <c r="B54" s="759">
        <f t="shared" si="4"/>
        <v>40</v>
      </c>
      <c r="C54" s="769" t="s">
        <v>144</v>
      </c>
      <c r="D54" s="758" t="s">
        <v>632</v>
      </c>
      <c r="E54" s="758"/>
      <c r="F54" s="1597">
        <f t="shared" si="5"/>
        <v>2015</v>
      </c>
      <c r="G54" s="1160">
        <v>12012543772.960001</v>
      </c>
      <c r="H54" s="770"/>
      <c r="I54" s="2516"/>
      <c r="J54" s="2517"/>
      <c r="K54" s="762"/>
      <c r="L54" s="2484"/>
      <c r="M54" s="763"/>
      <c r="P54" s="2363"/>
    </row>
    <row r="55" spans="1:16" s="387" customFormat="1">
      <c r="A55" s="2349"/>
      <c r="B55" s="759">
        <f t="shared" si="4"/>
        <v>41</v>
      </c>
      <c r="C55" s="769" t="str">
        <f>+C52</f>
        <v>March</v>
      </c>
      <c r="D55" s="758" t="s">
        <v>632</v>
      </c>
      <c r="E55" s="758"/>
      <c r="F55" s="1597">
        <f t="shared" si="5"/>
        <v>2015</v>
      </c>
      <c r="G55" s="1160">
        <v>12109832499.970001</v>
      </c>
      <c r="H55" s="770"/>
      <c r="I55" s="2516"/>
      <c r="J55" s="2517"/>
      <c r="K55" s="762"/>
      <c r="L55" s="2484"/>
      <c r="M55" s="763"/>
      <c r="P55" s="2363"/>
    </row>
    <row r="56" spans="1:16" s="387" customFormat="1">
      <c r="A56" s="2349"/>
      <c r="B56" s="759">
        <f t="shared" si="4"/>
        <v>42</v>
      </c>
      <c r="C56" s="782" t="str">
        <f>+C53</f>
        <v>April</v>
      </c>
      <c r="D56" s="758" t="s">
        <v>632</v>
      </c>
      <c r="E56" s="758"/>
      <c r="F56" s="1597">
        <f t="shared" si="5"/>
        <v>2015</v>
      </c>
      <c r="G56" s="1160">
        <v>12118399447.879999</v>
      </c>
      <c r="H56" s="770"/>
      <c r="I56" s="2516"/>
      <c r="J56" s="2517"/>
      <c r="K56" s="762"/>
      <c r="L56" s="2484"/>
      <c r="M56" s="763"/>
      <c r="P56" s="2363"/>
    </row>
    <row r="57" spans="1:16" s="387" customFormat="1">
      <c r="A57" s="2349"/>
      <c r="B57" s="759">
        <f t="shared" si="4"/>
        <v>43</v>
      </c>
      <c r="C57" s="769" t="s">
        <v>354</v>
      </c>
      <c r="D57" s="758" t="s">
        <v>632</v>
      </c>
      <c r="E57" s="758"/>
      <c r="F57" s="1597">
        <f t="shared" si="5"/>
        <v>2015</v>
      </c>
      <c r="G57" s="1160">
        <v>12132203766.960001</v>
      </c>
      <c r="H57" s="770"/>
      <c r="I57" s="2516"/>
      <c r="J57" s="2517"/>
      <c r="K57" s="762"/>
      <c r="L57" s="2484"/>
      <c r="M57" s="763"/>
      <c r="P57" s="2363"/>
    </row>
    <row r="58" spans="1:16" s="387" customFormat="1">
      <c r="A58" s="2349"/>
      <c r="B58" s="759">
        <f t="shared" si="4"/>
        <v>44</v>
      </c>
      <c r="C58" s="769" t="s">
        <v>355</v>
      </c>
      <c r="D58" s="758" t="s">
        <v>632</v>
      </c>
      <c r="E58" s="758"/>
      <c r="F58" s="1597">
        <f t="shared" si="5"/>
        <v>2015</v>
      </c>
      <c r="G58" s="1160">
        <v>12125693775.539997</v>
      </c>
      <c r="H58" s="770"/>
      <c r="I58" s="2516"/>
      <c r="J58" s="2517"/>
      <c r="K58" s="762"/>
      <c r="L58" s="2484"/>
      <c r="M58" s="763"/>
      <c r="P58" s="2363"/>
    </row>
    <row r="59" spans="1:16" s="387" customFormat="1">
      <c r="A59" s="2349"/>
      <c r="B59" s="759">
        <f t="shared" si="4"/>
        <v>45</v>
      </c>
      <c r="C59" s="782" t="s">
        <v>356</v>
      </c>
      <c r="D59" s="758" t="s">
        <v>632</v>
      </c>
      <c r="E59" s="758"/>
      <c r="F59" s="1597">
        <f t="shared" si="5"/>
        <v>2015</v>
      </c>
      <c r="G59" s="1160">
        <v>12159104572.050001</v>
      </c>
      <c r="H59" s="770"/>
      <c r="I59" s="2516"/>
      <c r="J59" s="2517"/>
      <c r="K59" s="762"/>
      <c r="L59" s="2484"/>
      <c r="M59" s="763"/>
      <c r="P59" s="2363"/>
    </row>
    <row r="60" spans="1:16" s="387" customFormat="1" ht="15" customHeight="1">
      <c r="A60" s="2349"/>
      <c r="B60" s="759">
        <f t="shared" si="4"/>
        <v>46</v>
      </c>
      <c r="C60" s="782" t="s">
        <v>357</v>
      </c>
      <c r="D60" s="758" t="s">
        <v>632</v>
      </c>
      <c r="E60" s="758"/>
      <c r="F60" s="1597">
        <f t="shared" si="5"/>
        <v>2015</v>
      </c>
      <c r="G60" s="1160">
        <v>12283910910.559999</v>
      </c>
      <c r="H60" s="770"/>
      <c r="I60" s="2516"/>
      <c r="J60" s="2517"/>
      <c r="K60" s="2359"/>
      <c r="L60" s="2486"/>
      <c r="M60" s="763"/>
      <c r="P60" s="2363"/>
    </row>
    <row r="61" spans="1:16" s="387" customFormat="1">
      <c r="A61" s="2349"/>
      <c r="B61" s="759">
        <f t="shared" si="4"/>
        <v>47</v>
      </c>
      <c r="C61" s="772" t="s">
        <v>358</v>
      </c>
      <c r="D61" s="395" t="s">
        <v>1409</v>
      </c>
      <c r="E61" s="395"/>
      <c r="F61" s="1598">
        <f t="shared" si="5"/>
        <v>2015</v>
      </c>
      <c r="G61" s="1596">
        <v>12154489264.770002</v>
      </c>
      <c r="H61" s="1661" t="str">
        <f>IF((INDEX(Inputs_EndYrBal,MATCH($D61,Inputs_FF1_Map,0))-G61)&lt;1,"-","Check values!")</f>
        <v>-</v>
      </c>
      <c r="I61" s="2516"/>
      <c r="J61" s="2517"/>
      <c r="K61" s="783"/>
      <c r="L61" s="2521"/>
      <c r="M61" s="763"/>
      <c r="P61" s="2363"/>
    </row>
    <row r="62" spans="1:16" s="387" customFormat="1" ht="15.75">
      <c r="A62" s="2349"/>
      <c r="B62" s="759">
        <f t="shared" si="4"/>
        <v>48</v>
      </c>
      <c r="C62" s="774" t="s">
        <v>621</v>
      </c>
      <c r="D62" s="1003" t="str">
        <f>IF(Toggle=Projection,"(line "&amp;B61&amp;")",IF(Toggle=True_up,"(sum lines "&amp;B49&amp;"-"&amp;B61&amp;") /13","Set Toggle!"))</f>
        <v>(line 47)</v>
      </c>
      <c r="E62" s="758"/>
      <c r="F62" s="1001" t="str">
        <f>Toggle</f>
        <v>Projection</v>
      </c>
      <c r="G62" s="1153">
        <f>IF(Toggle=Projection,G61,IF(Toggle=True_up,AVERAGE(G49:G61),"Set Toggle!"))</f>
        <v>12154489264.770002</v>
      </c>
      <c r="H62" s="776"/>
      <c r="I62" s="2516"/>
      <c r="J62" s="2517"/>
      <c r="K62" s="762"/>
      <c r="L62" s="2338"/>
      <c r="M62" s="2520"/>
      <c r="P62" s="2363"/>
    </row>
    <row r="63" spans="1:16" s="387" customFormat="1">
      <c r="A63" s="2350"/>
      <c r="B63" s="758"/>
      <c r="C63" s="769"/>
      <c r="D63" s="758"/>
      <c r="E63" s="758"/>
      <c r="F63" s="777"/>
      <c r="G63" s="1154"/>
      <c r="H63" s="765"/>
      <c r="I63" s="2516"/>
      <c r="J63" s="2517"/>
      <c r="K63" s="762"/>
      <c r="L63" s="2484"/>
      <c r="M63" s="763"/>
      <c r="P63" s="2363"/>
    </row>
    <row r="64" spans="1:16" s="387" customFormat="1" ht="15.75">
      <c r="A64" s="2350"/>
      <c r="B64" s="756"/>
      <c r="C64" s="784"/>
      <c r="D64" s="783"/>
      <c r="E64" s="783"/>
      <c r="F64" s="785"/>
      <c r="G64" s="1158"/>
      <c r="H64" s="786"/>
      <c r="I64" s="2516"/>
      <c r="J64" s="2517"/>
      <c r="K64" s="762"/>
      <c r="L64" s="2484"/>
      <c r="M64" s="763"/>
      <c r="P64" s="2363"/>
    </row>
    <row r="65" spans="1:16" s="387" customFormat="1">
      <c r="A65" s="2349"/>
      <c r="B65" s="785">
        <f>+B62+1</f>
        <v>49</v>
      </c>
      <c r="C65" s="769" t="s">
        <v>640</v>
      </c>
      <c r="D65" s="392" t="s">
        <v>1445</v>
      </c>
      <c r="E65" s="392"/>
      <c r="F65" s="787"/>
      <c r="G65" s="1160">
        <v>2021781.71</v>
      </c>
      <c r="H65" s="1661" t="str">
        <f>IF((INDEX(Inputs_EndYrBal,MATCH($D65,Inputs_FF1_Map,0))-G65)&lt;1,"-","Check values!")</f>
        <v>-</v>
      </c>
      <c r="I65" s="2516"/>
      <c r="J65" s="2517"/>
      <c r="K65" s="762"/>
      <c r="L65" s="2338"/>
      <c r="M65" s="2520"/>
      <c r="P65" s="2363"/>
    </row>
    <row r="66" spans="1:16" s="387" customFormat="1" ht="15.75">
      <c r="A66" s="2349"/>
      <c r="B66" s="785"/>
      <c r="C66" s="774"/>
      <c r="D66" s="783"/>
      <c r="E66" s="783"/>
      <c r="F66" s="775"/>
      <c r="G66" s="1153"/>
      <c r="H66" s="788"/>
      <c r="I66" s="2516"/>
      <c r="J66" s="2517"/>
      <c r="K66" s="762"/>
      <c r="L66" s="2484"/>
      <c r="M66" s="763"/>
      <c r="P66" s="2363"/>
    </row>
    <row r="67" spans="1:16" s="387" customFormat="1" ht="15.75">
      <c r="A67" s="2349"/>
      <c r="B67" s="759"/>
      <c r="C67" s="774"/>
      <c r="D67" s="758"/>
      <c r="E67" s="758"/>
      <c r="F67" s="775"/>
      <c r="G67" s="1153"/>
      <c r="H67" s="789"/>
      <c r="I67" s="2516"/>
      <c r="J67" s="2517"/>
      <c r="K67" s="762"/>
      <c r="L67" s="2484"/>
      <c r="M67" s="2523"/>
      <c r="P67" s="2363"/>
    </row>
    <row r="68" spans="1:16" s="387" customFormat="1" ht="15.75">
      <c r="A68" s="2349">
        <f>'Appendix A'!$A$21</f>
        <v>6</v>
      </c>
      <c r="B68" s="759">
        <f>+B65+1</f>
        <v>50</v>
      </c>
      <c r="C68" s="816" t="s">
        <v>622</v>
      </c>
      <c r="D68" s="902" t="str">
        <f>"(sum lines "&amp;B20&amp;", "&amp;B36&amp;", "&amp;B41&amp;", "&amp;B46&amp;", "&amp;B62&amp;", &amp; "&amp;B65&amp;")"</f>
        <v>(sum lines 14, 28, 31, 34, 48, &amp; 49)</v>
      </c>
      <c r="E68" s="1000" t="str">
        <f>'Appendix A'!$E$21</f>
        <v>(Note M)</v>
      </c>
      <c r="F68" s="1002" t="str">
        <f>Toggle</f>
        <v>Projection</v>
      </c>
      <c r="G68" s="1247">
        <f>SUM(G62,G46,G41,G36,G20,G65)</f>
        <v>26518616700.57</v>
      </c>
      <c r="H68" s="773" t="s">
        <v>1068</v>
      </c>
      <c r="I68" s="2516"/>
      <c r="J68" s="2517"/>
      <c r="K68" s="783"/>
      <c r="L68" s="783"/>
      <c r="M68" s="2522"/>
      <c r="P68" s="2363"/>
    </row>
    <row r="69" spans="1:16" s="387" customFormat="1" ht="15.75" thickBot="1">
      <c r="A69" s="791"/>
      <c r="B69" s="792"/>
      <c r="C69" s="793"/>
      <c r="D69" s="794"/>
      <c r="E69" s="867"/>
      <c r="F69" s="795"/>
      <c r="G69" s="796"/>
      <c r="H69" s="797"/>
      <c r="I69" s="798"/>
      <c r="J69" s="798"/>
      <c r="K69" s="799"/>
      <c r="L69" s="799"/>
      <c r="M69" s="800"/>
      <c r="P69" s="2363"/>
    </row>
    <row r="70" spans="1:16" s="387" customFormat="1">
      <c r="A70" s="779"/>
      <c r="B70" s="768"/>
      <c r="C70" s="769"/>
      <c r="D70" s="758"/>
      <c r="E70" s="758"/>
      <c r="F70" s="777"/>
      <c r="G70" s="769"/>
      <c r="H70" s="788"/>
      <c r="I70" s="759"/>
      <c r="J70" s="759"/>
      <c r="K70" s="762"/>
      <c r="L70" s="762"/>
      <c r="M70" s="762"/>
      <c r="P70" s="2363"/>
    </row>
    <row r="71" spans="1:16" s="387" customFormat="1">
      <c r="A71" s="779"/>
      <c r="B71" s="768"/>
      <c r="C71" s="769"/>
      <c r="D71" s="758"/>
      <c r="E71" s="758"/>
      <c r="F71" s="777"/>
      <c r="G71" s="769"/>
      <c r="H71" s="801"/>
      <c r="I71" s="759"/>
      <c r="J71" s="759"/>
      <c r="K71" s="762"/>
      <c r="L71" s="762"/>
      <c r="M71" s="762"/>
      <c r="N71" s="391"/>
      <c r="P71" s="2363"/>
    </row>
    <row r="72" spans="1:16" s="387" customFormat="1" ht="16.5" thickBot="1">
      <c r="A72" s="874" t="s">
        <v>623</v>
      </c>
      <c r="B72" s="755"/>
      <c r="C72" s="755"/>
      <c r="D72" s="755"/>
      <c r="E72" s="755"/>
      <c r="F72" s="755"/>
      <c r="G72" s="755"/>
      <c r="H72" s="755"/>
      <c r="I72" s="755"/>
      <c r="J72" s="755"/>
      <c r="K72" s="755"/>
      <c r="L72" s="755"/>
      <c r="M72" s="755"/>
      <c r="P72" s="2363"/>
    </row>
    <row r="73" spans="1:16" s="387" customFormat="1">
      <c r="A73" s="2567" t="s">
        <v>610</v>
      </c>
      <c r="B73" s="2568"/>
      <c r="C73" s="2568"/>
      <c r="D73" s="2568"/>
      <c r="E73" s="2568"/>
      <c r="F73" s="2568"/>
      <c r="G73" s="2569"/>
      <c r="H73" s="907" t="s">
        <v>304</v>
      </c>
      <c r="I73" s="2241"/>
      <c r="J73" s="918"/>
      <c r="K73" s="918"/>
      <c r="L73" s="918"/>
      <c r="M73" s="919"/>
      <c r="P73" s="2363"/>
    </row>
    <row r="74" spans="1:16" s="387" customFormat="1" ht="15.75">
      <c r="A74" s="2349"/>
      <c r="B74" s="759"/>
      <c r="C74" s="757" t="s">
        <v>624</v>
      </c>
      <c r="D74" s="758" t="s">
        <v>26</v>
      </c>
      <c r="E74" s="758"/>
      <c r="F74" s="759" t="s">
        <v>141</v>
      </c>
      <c r="G74" s="760" t="s">
        <v>158</v>
      </c>
      <c r="H74" s="761"/>
      <c r="I74" s="758"/>
      <c r="J74" s="758"/>
      <c r="K74" s="762"/>
      <c r="L74" s="762"/>
      <c r="M74" s="763"/>
      <c r="P74" s="2363"/>
    </row>
    <row r="75" spans="1:16" s="387" customFormat="1">
      <c r="A75" s="2349"/>
      <c r="B75" s="759">
        <f>+B68+1</f>
        <v>51</v>
      </c>
      <c r="C75" s="764" t="s">
        <v>358</v>
      </c>
      <c r="D75" s="392" t="s">
        <v>1424</v>
      </c>
      <c r="E75" s="392"/>
      <c r="F75" s="1597">
        <f>+F49</f>
        <v>2014</v>
      </c>
      <c r="G75" s="1160">
        <v>1432003537.01</v>
      </c>
      <c r="H75" s="1661" t="str">
        <f>IF((INDEX(Inputs_EndYrBal_prior,MATCH($D87,Inputs_FF1_Map,0))-G75)&lt;1,"-","Check values!")</f>
        <v>-</v>
      </c>
      <c r="I75" s="758"/>
      <c r="J75" s="758"/>
      <c r="K75" s="762"/>
      <c r="L75" s="762"/>
      <c r="M75" s="763"/>
      <c r="P75" s="2363"/>
    </row>
    <row r="76" spans="1:16" s="387" customFormat="1">
      <c r="A76" s="2349"/>
      <c r="B76" s="759">
        <f t="shared" ref="B76:B88" si="6">+B75+1</f>
        <v>52</v>
      </c>
      <c r="C76" s="766" t="s">
        <v>350</v>
      </c>
      <c r="D76" s="758" t="s">
        <v>632</v>
      </c>
      <c r="E76" s="758"/>
      <c r="F76" s="1597">
        <f>+F75+1</f>
        <v>2015</v>
      </c>
      <c r="G76" s="1160">
        <v>1437763058.25</v>
      </c>
      <c r="H76" s="767"/>
      <c r="I76" s="758"/>
      <c r="J76" s="758"/>
      <c r="K76" s="762"/>
      <c r="L76" s="762"/>
      <c r="M76" s="763"/>
      <c r="P76" s="2363"/>
    </row>
    <row r="77" spans="1:16" s="387" customFormat="1">
      <c r="A77" s="2349"/>
      <c r="B77" s="759">
        <f t="shared" si="6"/>
        <v>53</v>
      </c>
      <c r="C77" s="769" t="s">
        <v>351</v>
      </c>
      <c r="D77" s="758" t="s">
        <v>632</v>
      </c>
      <c r="E77" s="758"/>
      <c r="F77" s="1597">
        <f t="shared" ref="F77:F87" si="7">+F76</f>
        <v>2015</v>
      </c>
      <c r="G77" s="1160">
        <v>1443867032.4300001</v>
      </c>
      <c r="H77" s="765"/>
      <c r="I77" s="758"/>
      <c r="J77" s="758"/>
      <c r="K77" s="762"/>
      <c r="L77" s="762"/>
      <c r="M77" s="763"/>
      <c r="P77" s="2363"/>
    </row>
    <row r="78" spans="1:16" s="387" customFormat="1">
      <c r="A78" s="2349"/>
      <c r="B78" s="759">
        <f t="shared" si="6"/>
        <v>54</v>
      </c>
      <c r="C78" s="769" t="s">
        <v>352</v>
      </c>
      <c r="D78" s="758" t="s">
        <v>632</v>
      </c>
      <c r="E78" s="758"/>
      <c r="F78" s="1597">
        <f t="shared" si="7"/>
        <v>2015</v>
      </c>
      <c r="G78" s="1160">
        <v>1449676946.6500001</v>
      </c>
      <c r="H78" s="765"/>
      <c r="I78" s="758"/>
      <c r="J78" s="758"/>
      <c r="K78" s="762"/>
      <c r="L78" s="762"/>
      <c r="M78" s="763"/>
      <c r="P78" s="2363"/>
    </row>
    <row r="79" spans="1:16" s="387" customFormat="1">
      <c r="A79" s="2349"/>
      <c r="B79" s="759">
        <f t="shared" si="6"/>
        <v>55</v>
      </c>
      <c r="C79" s="766" t="s">
        <v>143</v>
      </c>
      <c r="D79" s="758" t="s">
        <v>632</v>
      </c>
      <c r="E79" s="758"/>
      <c r="F79" s="1597">
        <f t="shared" si="7"/>
        <v>2015</v>
      </c>
      <c r="G79" s="1160">
        <v>1456943806.5699999</v>
      </c>
      <c r="H79" s="765"/>
      <c r="I79" s="758"/>
      <c r="J79" s="758"/>
      <c r="K79" s="762"/>
      <c r="L79" s="762"/>
      <c r="M79" s="763"/>
      <c r="P79" s="2363"/>
    </row>
    <row r="80" spans="1:16" s="387" customFormat="1">
      <c r="A80" s="2349"/>
      <c r="B80" s="759">
        <f t="shared" si="6"/>
        <v>56</v>
      </c>
      <c r="C80" s="769" t="s">
        <v>144</v>
      </c>
      <c r="D80" s="758" t="s">
        <v>632</v>
      </c>
      <c r="E80" s="758"/>
      <c r="F80" s="1597">
        <f t="shared" si="7"/>
        <v>2015</v>
      </c>
      <c r="G80" s="1160">
        <v>1460250513.49</v>
      </c>
      <c r="H80" s="770"/>
      <c r="I80" s="758"/>
      <c r="J80" s="758"/>
      <c r="K80" s="758"/>
      <c r="L80" s="758"/>
      <c r="M80" s="771"/>
      <c r="P80" s="2363"/>
    </row>
    <row r="81" spans="1:16" s="387" customFormat="1">
      <c r="A81" s="2349"/>
      <c r="B81" s="759">
        <f t="shared" si="6"/>
        <v>57</v>
      </c>
      <c r="C81" s="769" t="s">
        <v>612</v>
      </c>
      <c r="D81" s="758" t="s">
        <v>632</v>
      </c>
      <c r="E81" s="758"/>
      <c r="F81" s="1597">
        <f t="shared" si="7"/>
        <v>2015</v>
      </c>
      <c r="G81" s="1160">
        <v>1467806525.6199999</v>
      </c>
      <c r="H81" s="765"/>
      <c r="I81" s="758"/>
      <c r="J81" s="758"/>
      <c r="K81" s="762"/>
      <c r="L81" s="762"/>
      <c r="M81" s="763"/>
      <c r="P81" s="2363"/>
    </row>
    <row r="82" spans="1:16" s="387" customFormat="1">
      <c r="A82" s="2349"/>
      <c r="B82" s="759">
        <f t="shared" si="6"/>
        <v>58</v>
      </c>
      <c r="C82" s="766" t="s">
        <v>353</v>
      </c>
      <c r="D82" s="758" t="s">
        <v>632</v>
      </c>
      <c r="E82" s="758"/>
      <c r="F82" s="1597">
        <f t="shared" si="7"/>
        <v>2015</v>
      </c>
      <c r="G82" s="1160">
        <v>1474516056.6400001</v>
      </c>
      <c r="H82" s="767"/>
      <c r="I82" s="758"/>
      <c r="J82" s="758"/>
      <c r="K82" s="391"/>
      <c r="L82" s="391"/>
      <c r="M82" s="763"/>
      <c r="P82" s="2363"/>
    </row>
    <row r="83" spans="1:16" s="387" customFormat="1">
      <c r="A83" s="2349"/>
      <c r="B83" s="759">
        <f t="shared" si="6"/>
        <v>59</v>
      </c>
      <c r="C83" s="769" t="s">
        <v>354</v>
      </c>
      <c r="D83" s="758" t="s">
        <v>632</v>
      </c>
      <c r="E83" s="758"/>
      <c r="F83" s="1597">
        <f t="shared" si="7"/>
        <v>2015</v>
      </c>
      <c r="G83" s="1160">
        <v>1479913761.7</v>
      </c>
      <c r="H83" s="765"/>
      <c r="I83" s="758"/>
      <c r="J83" s="758"/>
      <c r="K83" s="391"/>
      <c r="L83" s="391"/>
      <c r="M83" s="763"/>
      <c r="P83" s="2363"/>
    </row>
    <row r="84" spans="1:16" s="387" customFormat="1">
      <c r="A84" s="2349"/>
      <c r="B84" s="759">
        <f t="shared" si="6"/>
        <v>60</v>
      </c>
      <c r="C84" s="769" t="s">
        <v>355</v>
      </c>
      <c r="D84" s="758" t="s">
        <v>632</v>
      </c>
      <c r="E84" s="758"/>
      <c r="F84" s="1597">
        <f t="shared" si="7"/>
        <v>2015</v>
      </c>
      <c r="G84" s="1160">
        <v>1492036911.6400001</v>
      </c>
      <c r="H84" s="765"/>
      <c r="I84" s="758"/>
      <c r="J84" s="758"/>
      <c r="K84" s="391"/>
      <c r="L84" s="391"/>
      <c r="M84" s="763"/>
      <c r="P84" s="2363"/>
    </row>
    <row r="85" spans="1:16" s="387" customFormat="1">
      <c r="A85" s="2349"/>
      <c r="B85" s="759">
        <f t="shared" si="6"/>
        <v>61</v>
      </c>
      <c r="C85" s="766" t="s">
        <v>356</v>
      </c>
      <c r="D85" s="758" t="s">
        <v>632</v>
      </c>
      <c r="E85" s="758"/>
      <c r="F85" s="1597">
        <f t="shared" si="7"/>
        <v>2015</v>
      </c>
      <c r="G85" s="1160">
        <v>1490478836.76</v>
      </c>
      <c r="H85" s="765"/>
      <c r="I85" s="758"/>
      <c r="J85" s="758"/>
      <c r="K85" s="391"/>
      <c r="L85" s="391"/>
      <c r="M85" s="763"/>
      <c r="P85" s="2363"/>
    </row>
    <row r="86" spans="1:16" s="387" customFormat="1">
      <c r="A86" s="2349"/>
      <c r="B86" s="759">
        <f t="shared" si="6"/>
        <v>62</v>
      </c>
      <c r="C86" s="766" t="s">
        <v>357</v>
      </c>
      <c r="D86" s="758" t="s">
        <v>632</v>
      </c>
      <c r="E86" s="758"/>
      <c r="F86" s="1597">
        <f t="shared" si="7"/>
        <v>2015</v>
      </c>
      <c r="G86" s="1160">
        <v>1497697647.9000001</v>
      </c>
      <c r="H86" s="770"/>
      <c r="I86" s="758"/>
      <c r="J86" s="758"/>
      <c r="K86" s="391"/>
      <c r="L86" s="391"/>
      <c r="M86" s="763"/>
      <c r="P86" s="2363"/>
    </row>
    <row r="87" spans="1:16" s="387" customFormat="1">
      <c r="A87" s="2349"/>
      <c r="B87" s="759">
        <f t="shared" si="6"/>
        <v>63</v>
      </c>
      <c r="C87" s="772" t="s">
        <v>358</v>
      </c>
      <c r="D87" s="395" t="s">
        <v>1411</v>
      </c>
      <c r="E87" s="395"/>
      <c r="F87" s="1598">
        <f t="shared" si="7"/>
        <v>2015</v>
      </c>
      <c r="G87" s="1596">
        <v>1503737224.9200001</v>
      </c>
      <c r="H87" s="1661" t="str">
        <f>IF((INDEX(Inputs_EndYrBal,MATCH($D87,Inputs_FF1_Map,0))-G87)&lt;1,"-","Check values!")</f>
        <v>-</v>
      </c>
      <c r="I87" s="758"/>
      <c r="J87" s="758"/>
      <c r="K87" s="391"/>
      <c r="L87" s="391"/>
      <c r="M87" s="771"/>
      <c r="P87" s="2363"/>
    </row>
    <row r="88" spans="1:16" s="387" customFormat="1" ht="15.75">
      <c r="A88" s="2349">
        <f>'Appendix A'!$A$54</f>
        <v>25</v>
      </c>
      <c r="B88" s="759">
        <f t="shared" si="6"/>
        <v>64</v>
      </c>
      <c r="C88" s="774" t="s">
        <v>287</v>
      </c>
      <c r="D88" s="1003" t="str">
        <f>IF(Toggle=Projection,"(line "&amp;B87&amp;")",IF(Toggle=True_up,"(sum lines "&amp;B75&amp;"-"&amp;B87&amp;") /13","Set Toggle!"))</f>
        <v>(line 63)</v>
      </c>
      <c r="E88" s="998" t="str">
        <f>'Appendix A'!$E$54</f>
        <v>(Note M)</v>
      </c>
      <c r="F88" s="1001" t="str">
        <f>Toggle</f>
        <v>Projection</v>
      </c>
      <c r="G88" s="1246">
        <f>IF(Toggle=Projection,G87,IF(Toggle=True_up,AVERAGE(G75:G87),"Set Toggle!"))</f>
        <v>1503737224.9200001</v>
      </c>
      <c r="H88" s="773" t="s">
        <v>1068</v>
      </c>
      <c r="I88" s="758"/>
      <c r="J88" s="758"/>
      <c r="K88" s="391"/>
      <c r="L88" s="391"/>
      <c r="M88" s="763"/>
      <c r="P88" s="2363"/>
    </row>
    <row r="89" spans="1:16" s="387" customFormat="1">
      <c r="A89" s="2349"/>
      <c r="B89" s="759"/>
      <c r="C89" s="769"/>
      <c r="D89" s="758"/>
      <c r="E89" s="758"/>
      <c r="F89" s="777"/>
      <c r="G89" s="1154"/>
      <c r="H89" s="765"/>
      <c r="I89" s="758"/>
      <c r="J89" s="758"/>
      <c r="K89" s="391"/>
      <c r="L89" s="391"/>
      <c r="M89" s="763"/>
      <c r="P89" s="2363"/>
    </row>
    <row r="90" spans="1:16" s="387" customFormat="1" ht="15.75">
      <c r="A90" s="2349"/>
      <c r="B90" s="759"/>
      <c r="C90" s="757" t="s">
        <v>625</v>
      </c>
      <c r="D90" s="758" t="s">
        <v>26</v>
      </c>
      <c r="E90" s="758"/>
      <c r="F90" s="759" t="s">
        <v>141</v>
      </c>
      <c r="G90" s="1155" t="s">
        <v>158</v>
      </c>
      <c r="H90" s="770"/>
      <c r="I90" s="758"/>
      <c r="J90" s="758"/>
      <c r="K90" s="2234"/>
      <c r="L90" s="762"/>
      <c r="M90" s="763"/>
      <c r="P90" s="2363"/>
    </row>
    <row r="91" spans="1:16" s="387" customFormat="1">
      <c r="A91" s="2349"/>
      <c r="B91" s="759">
        <f>+B88+1</f>
        <v>65</v>
      </c>
      <c r="C91" s="764" t="s">
        <v>358</v>
      </c>
      <c r="D91" s="392" t="s">
        <v>1423</v>
      </c>
      <c r="E91" s="392"/>
      <c r="F91" s="1597">
        <f>+F75</f>
        <v>2014</v>
      </c>
      <c r="G91" s="1160">
        <v>2479873030.6999998</v>
      </c>
      <c r="H91" s="1661" t="str">
        <f>IF((INDEX(Inputs_EndYrBal_prior,MATCH($D103,Inputs_FF1_Map,0))-G91)&lt;1,"-","Check values!")</f>
        <v>-</v>
      </c>
      <c r="I91" s="758"/>
      <c r="J91" s="758"/>
      <c r="K91" s="2233"/>
      <c r="L91" s="2233"/>
      <c r="M91" s="763"/>
      <c r="P91" s="2363"/>
    </row>
    <row r="92" spans="1:16" s="387" customFormat="1">
      <c r="A92" s="2349"/>
      <c r="B92" s="759">
        <f t="shared" ref="B92:B104" si="8">+B91+1</f>
        <v>66</v>
      </c>
      <c r="C92" s="766" t="s">
        <v>350</v>
      </c>
      <c r="D92" s="758" t="s">
        <v>632</v>
      </c>
      <c r="E92" s="758"/>
      <c r="F92" s="1597">
        <f>+F91+1</f>
        <v>2015</v>
      </c>
      <c r="G92" s="1160">
        <v>2488079212.4200001</v>
      </c>
      <c r="H92" s="767"/>
      <c r="I92" s="758"/>
      <c r="J92" s="758"/>
      <c r="K92" s="762"/>
      <c r="L92" s="762"/>
      <c r="M92" s="763"/>
      <c r="P92" s="2363"/>
    </row>
    <row r="93" spans="1:16" s="387" customFormat="1">
      <c r="A93" s="2349"/>
      <c r="B93" s="759">
        <f t="shared" si="8"/>
        <v>67</v>
      </c>
      <c r="C93" s="769" t="s">
        <v>351</v>
      </c>
      <c r="D93" s="758" t="s">
        <v>632</v>
      </c>
      <c r="E93" s="758"/>
      <c r="F93" s="1597">
        <f t="shared" ref="F93:F103" si="9">+F92</f>
        <v>2015</v>
      </c>
      <c r="G93" s="1160">
        <v>2495643104.1500001</v>
      </c>
      <c r="H93" s="765"/>
      <c r="I93" s="758"/>
      <c r="J93" s="758"/>
      <c r="K93" s="762"/>
      <c r="L93" s="762"/>
      <c r="M93" s="763"/>
      <c r="P93" s="2363"/>
    </row>
    <row r="94" spans="1:16" s="387" customFormat="1">
      <c r="A94" s="2349"/>
      <c r="B94" s="759">
        <f t="shared" si="8"/>
        <v>68</v>
      </c>
      <c r="C94" s="769" t="s">
        <v>352</v>
      </c>
      <c r="D94" s="758" t="s">
        <v>632</v>
      </c>
      <c r="E94" s="758"/>
      <c r="F94" s="1597">
        <f t="shared" si="9"/>
        <v>2015</v>
      </c>
      <c r="G94" s="1160">
        <v>2503741530.4000001</v>
      </c>
      <c r="H94" s="765"/>
      <c r="I94" s="758"/>
      <c r="J94" s="758"/>
      <c r="K94" s="762"/>
      <c r="L94" s="762"/>
      <c r="M94" s="763"/>
      <c r="P94" s="2363"/>
    </row>
    <row r="95" spans="1:16" s="387" customFormat="1">
      <c r="A95" s="2349"/>
      <c r="B95" s="759">
        <f t="shared" si="8"/>
        <v>69</v>
      </c>
      <c r="C95" s="766" t="s">
        <v>143</v>
      </c>
      <c r="D95" s="758" t="s">
        <v>632</v>
      </c>
      <c r="E95" s="758"/>
      <c r="F95" s="1597">
        <f t="shared" si="9"/>
        <v>2015</v>
      </c>
      <c r="G95" s="1160">
        <v>2512053286.5799999</v>
      </c>
      <c r="H95" s="765"/>
      <c r="I95" s="758"/>
      <c r="J95" s="758"/>
      <c r="K95" s="762"/>
      <c r="L95" s="762"/>
      <c r="M95" s="763"/>
      <c r="P95" s="2363"/>
    </row>
    <row r="96" spans="1:16" s="387" customFormat="1">
      <c r="A96" s="2349"/>
      <c r="B96" s="759">
        <f t="shared" si="8"/>
        <v>70</v>
      </c>
      <c r="C96" s="769" t="s">
        <v>144</v>
      </c>
      <c r="D96" s="758" t="s">
        <v>632</v>
      </c>
      <c r="E96" s="758"/>
      <c r="F96" s="1597">
        <f t="shared" si="9"/>
        <v>2015</v>
      </c>
      <c r="G96" s="1160">
        <v>2519591595.04</v>
      </c>
      <c r="H96" s="770"/>
      <c r="I96" s="758"/>
      <c r="J96" s="758"/>
      <c r="K96" s="758"/>
      <c r="L96" s="758"/>
      <c r="M96" s="771"/>
      <c r="P96" s="2363"/>
    </row>
    <row r="97" spans="1:16" s="387" customFormat="1">
      <c r="A97" s="2349"/>
      <c r="B97" s="759">
        <f t="shared" si="8"/>
        <v>71</v>
      </c>
      <c r="C97" s="769" t="s">
        <v>612</v>
      </c>
      <c r="D97" s="758" t="s">
        <v>632</v>
      </c>
      <c r="E97" s="758"/>
      <c r="F97" s="1597">
        <f t="shared" si="9"/>
        <v>2015</v>
      </c>
      <c r="G97" s="1160">
        <v>2525983224.04</v>
      </c>
      <c r="H97" s="765"/>
      <c r="I97" s="758"/>
      <c r="J97" s="758"/>
      <c r="K97" s="762"/>
      <c r="L97" s="762"/>
      <c r="M97" s="763"/>
      <c r="P97" s="2363"/>
    </row>
    <row r="98" spans="1:16" s="387" customFormat="1">
      <c r="A98" s="2349"/>
      <c r="B98" s="759">
        <f t="shared" si="8"/>
        <v>72</v>
      </c>
      <c r="C98" s="766" t="s">
        <v>353</v>
      </c>
      <c r="D98" s="758" t="s">
        <v>632</v>
      </c>
      <c r="E98" s="758"/>
      <c r="F98" s="1597">
        <f t="shared" si="9"/>
        <v>2015</v>
      </c>
      <c r="G98" s="1160">
        <v>2533638025.8600001</v>
      </c>
      <c r="H98" s="767"/>
      <c r="I98" s="758"/>
      <c r="J98" s="758"/>
      <c r="K98" s="762"/>
      <c r="L98" s="762"/>
      <c r="M98" s="763"/>
      <c r="P98" s="2363"/>
    </row>
    <row r="99" spans="1:16" s="387" customFormat="1">
      <c r="A99" s="2349"/>
      <c r="B99" s="759">
        <f t="shared" si="8"/>
        <v>73</v>
      </c>
      <c r="C99" s="769" t="s">
        <v>354</v>
      </c>
      <c r="D99" s="758" t="s">
        <v>632</v>
      </c>
      <c r="E99" s="758"/>
      <c r="F99" s="1597">
        <f t="shared" si="9"/>
        <v>2015</v>
      </c>
      <c r="G99" s="1160">
        <v>2541131062.2399998</v>
      </c>
      <c r="H99" s="765"/>
      <c r="I99" s="758"/>
      <c r="J99" s="758"/>
      <c r="K99" s="762"/>
      <c r="L99" s="762"/>
      <c r="M99" s="763"/>
      <c r="P99" s="2363"/>
    </row>
    <row r="100" spans="1:16" s="387" customFormat="1">
      <c r="A100" s="2349"/>
      <c r="B100" s="759">
        <f t="shared" si="8"/>
        <v>74</v>
      </c>
      <c r="C100" s="769" t="s">
        <v>355</v>
      </c>
      <c r="D100" s="758" t="s">
        <v>632</v>
      </c>
      <c r="E100" s="758"/>
      <c r="F100" s="1597">
        <f t="shared" si="9"/>
        <v>2015</v>
      </c>
      <c r="G100" s="1160">
        <v>2556839077.96</v>
      </c>
      <c r="H100" s="765"/>
      <c r="I100" s="758"/>
      <c r="J100" s="758"/>
      <c r="K100" s="762"/>
      <c r="L100" s="762"/>
      <c r="M100" s="763"/>
      <c r="P100" s="2363"/>
    </row>
    <row r="101" spans="1:16" s="387" customFormat="1">
      <c r="A101" s="2349"/>
      <c r="B101" s="759">
        <f t="shared" si="8"/>
        <v>75</v>
      </c>
      <c r="C101" s="766" t="s">
        <v>613</v>
      </c>
      <c r="D101" s="758" t="s">
        <v>632</v>
      </c>
      <c r="E101" s="758"/>
      <c r="F101" s="1597">
        <f t="shared" si="9"/>
        <v>2015</v>
      </c>
      <c r="G101" s="1160">
        <v>2565016180.1999998</v>
      </c>
      <c r="H101" s="765"/>
      <c r="I101" s="758"/>
      <c r="J101" s="758"/>
      <c r="K101" s="762"/>
      <c r="L101" s="762"/>
      <c r="M101" s="763"/>
      <c r="P101" s="2363"/>
    </row>
    <row r="102" spans="1:16" s="387" customFormat="1">
      <c r="A102" s="2349"/>
      <c r="B102" s="759">
        <f t="shared" si="8"/>
        <v>76</v>
      </c>
      <c r="C102" s="766" t="s">
        <v>357</v>
      </c>
      <c r="D102" s="758" t="s">
        <v>632</v>
      </c>
      <c r="E102" s="758"/>
      <c r="F102" s="1597">
        <f t="shared" si="9"/>
        <v>2015</v>
      </c>
      <c r="G102" s="1160">
        <v>2572721216.7399998</v>
      </c>
      <c r="H102" s="765"/>
      <c r="I102" s="758"/>
      <c r="J102" s="758"/>
      <c r="K102" s="762"/>
      <c r="L102" s="762"/>
      <c r="M102" s="763"/>
      <c r="P102" s="2363"/>
    </row>
    <row r="103" spans="1:16" s="387" customFormat="1">
      <c r="A103" s="2349"/>
      <c r="B103" s="759">
        <f t="shared" si="8"/>
        <v>77</v>
      </c>
      <c r="C103" s="772" t="s">
        <v>358</v>
      </c>
      <c r="D103" s="395" t="s">
        <v>1412</v>
      </c>
      <c r="E103" s="395"/>
      <c r="F103" s="1598">
        <f t="shared" si="9"/>
        <v>2015</v>
      </c>
      <c r="G103" s="1596">
        <v>2581141819.1100001</v>
      </c>
      <c r="H103" s="1661" t="str">
        <f>IF((INDEX(Inputs_EndYrBal,MATCH($D103,Inputs_FF1_Map,0))-G103)&lt;1,"-","Check values!")</f>
        <v>-</v>
      </c>
      <c r="I103" s="758"/>
      <c r="J103" s="758"/>
      <c r="K103" s="2230"/>
      <c r="L103" s="758"/>
      <c r="M103" s="771"/>
      <c r="P103" s="2363"/>
    </row>
    <row r="104" spans="1:16" s="387" customFormat="1" ht="15.75">
      <c r="A104" s="2349"/>
      <c r="B104" s="759">
        <f t="shared" si="8"/>
        <v>78</v>
      </c>
      <c r="C104" s="774" t="s">
        <v>626</v>
      </c>
      <c r="D104" s="1003" t="str">
        <f>IF(Toggle=Projection,"(line "&amp;B103&amp;")",IF(Toggle=True_up,"(sum lines "&amp;B91&amp;"-"&amp;B103&amp;") /13","Set Toggle!"))</f>
        <v>(line 77)</v>
      </c>
      <c r="E104" s="758"/>
      <c r="F104" s="1001" t="str">
        <f>Toggle</f>
        <v>Projection</v>
      </c>
      <c r="G104" s="1153">
        <f>IF(Toggle=Projection,G103,IF(Toggle=True_up,AVERAGE(G91:G103),"Set Toggle!"))</f>
        <v>2581141819.1100001</v>
      </c>
      <c r="H104" s="2242"/>
      <c r="I104" s="758"/>
      <c r="J104" s="758"/>
      <c r="K104" s="762"/>
      <c r="L104" s="762"/>
      <c r="M104" s="763"/>
      <c r="P104" s="2363"/>
    </row>
    <row r="105" spans="1:16" s="387" customFormat="1">
      <c r="A105" s="2349"/>
      <c r="B105" s="759"/>
      <c r="C105" s="769"/>
      <c r="D105" s="758"/>
      <c r="E105" s="758"/>
      <c r="F105" s="777"/>
      <c r="G105" s="1154"/>
      <c r="H105" s="765"/>
      <c r="I105" s="758"/>
      <c r="J105" s="758"/>
      <c r="K105" s="762"/>
      <c r="L105" s="762"/>
      <c r="M105" s="763"/>
      <c r="P105" s="2363"/>
    </row>
    <row r="106" spans="1:16" s="387" customFormat="1" ht="15.75">
      <c r="A106" s="2349"/>
      <c r="B106" s="759"/>
      <c r="C106" s="757" t="s">
        <v>627</v>
      </c>
      <c r="D106" s="758" t="s">
        <v>26</v>
      </c>
      <c r="E106" s="758"/>
      <c r="F106" s="759" t="s">
        <v>141</v>
      </c>
      <c r="G106" s="1155" t="s">
        <v>158</v>
      </c>
      <c r="H106" s="770"/>
      <c r="I106" s="758"/>
      <c r="J106" s="758"/>
      <c r="K106" s="762"/>
      <c r="L106" s="762"/>
      <c r="M106" s="763"/>
      <c r="P106" s="2363"/>
    </row>
    <row r="107" spans="1:16" s="387" customFormat="1">
      <c r="A107" s="2349"/>
      <c r="B107" s="759">
        <f>+B104+1</f>
        <v>79</v>
      </c>
      <c r="C107" s="764" t="s">
        <v>358</v>
      </c>
      <c r="D107" s="392" t="s">
        <v>1425</v>
      </c>
      <c r="E107" s="392"/>
      <c r="F107" s="1597">
        <f>+F91</f>
        <v>2014</v>
      </c>
      <c r="G107" s="1160">
        <v>555584757.85000002</v>
      </c>
      <c r="H107" s="1661" t="str">
        <f>IF((INDEX(Inputs_EndYrBal_prior,MATCH($D108,Inputs_FF1_Map,0))-G107)&lt;1,"-","Check values!")</f>
        <v>-</v>
      </c>
      <c r="I107" s="758"/>
      <c r="J107" s="758"/>
      <c r="K107" s="762"/>
      <c r="L107" s="762"/>
      <c r="M107" s="763"/>
      <c r="P107" s="2363"/>
    </row>
    <row r="108" spans="1:16" s="387" customFormat="1">
      <c r="A108" s="2349"/>
      <c r="B108" s="759">
        <f>+B107+1</f>
        <v>80</v>
      </c>
      <c r="C108" s="772" t="s">
        <v>358</v>
      </c>
      <c r="D108" s="395" t="s">
        <v>1413</v>
      </c>
      <c r="E108" s="395"/>
      <c r="F108" s="1598">
        <f>+F107+1</f>
        <v>2015</v>
      </c>
      <c r="G108" s="1754">
        <v>559800279.63999999</v>
      </c>
      <c r="H108" s="1661" t="str">
        <f>IF((INDEX(Inputs_EndYrBal,MATCH($D108,Inputs_FF1_Map,0))-G108)&lt;1,"-","Check values!")</f>
        <v>-</v>
      </c>
      <c r="I108" s="758"/>
      <c r="J108" s="758"/>
      <c r="K108" s="758"/>
      <c r="L108" s="758"/>
      <c r="M108" s="771"/>
      <c r="P108" s="2363"/>
    </row>
    <row r="109" spans="1:16" s="387" customFormat="1" ht="15.75">
      <c r="A109" s="2351">
        <f>'Appendix A'!$A$24</f>
        <v>8</v>
      </c>
      <c r="B109" s="759">
        <f>+B108+1</f>
        <v>81</v>
      </c>
      <c r="C109" s="774" t="s">
        <v>628</v>
      </c>
      <c r="D109" s="1003" t="str">
        <f>IF(Toggle=Projection,"(line "&amp;B108&amp;")",IF(Toggle=True_up,"(sum lines "&amp;B107&amp;" &amp; "&amp;B108&amp;") /2","Set Toggle!"))</f>
        <v>(line 80)</v>
      </c>
      <c r="E109" s="998" t="str">
        <f>'Appendix A'!$E$24</f>
        <v>(Note N)</v>
      </c>
      <c r="F109" s="1001" t="str">
        <f>Toggle</f>
        <v>Projection</v>
      </c>
      <c r="G109" s="1246">
        <f>IF(Toggle=Projection,G108,IF(Toggle=True_up,AVERAGE(G107:G108),"Set Toggle!"))</f>
        <v>559800279.63999999</v>
      </c>
      <c r="H109" s="773" t="s">
        <v>1068</v>
      </c>
      <c r="I109" s="758"/>
      <c r="J109" s="758"/>
      <c r="K109" s="391"/>
      <c r="L109" s="391"/>
      <c r="M109" s="2243"/>
      <c r="P109" s="2363"/>
    </row>
    <row r="110" spans="1:16" s="387" customFormat="1">
      <c r="A110" s="2349"/>
      <c r="B110" s="759"/>
      <c r="C110" s="766"/>
      <c r="D110" s="758"/>
      <c r="E110" s="758"/>
      <c r="F110" s="780"/>
      <c r="G110" s="1156"/>
      <c r="H110" s="765"/>
      <c r="I110" s="758"/>
      <c r="J110" s="758"/>
      <c r="K110" s="391"/>
      <c r="L110" s="391"/>
      <c r="M110" s="2243"/>
      <c r="O110" s="2231"/>
      <c r="P110" s="2363"/>
    </row>
    <row r="111" spans="1:16" s="387" customFormat="1" ht="15.75">
      <c r="A111" s="2349"/>
      <c r="B111" s="759"/>
      <c r="C111" s="757" t="s">
        <v>629</v>
      </c>
      <c r="D111" s="758" t="s">
        <v>26</v>
      </c>
      <c r="E111" s="758"/>
      <c r="F111" s="759" t="s">
        <v>141</v>
      </c>
      <c r="G111" s="1155" t="s">
        <v>158</v>
      </c>
      <c r="H111" s="770"/>
      <c r="I111" s="758"/>
      <c r="J111" s="758"/>
      <c r="K111" s="391"/>
      <c r="L111" s="391"/>
      <c r="M111" s="2243"/>
      <c r="O111" s="2231"/>
      <c r="P111" s="2363"/>
    </row>
    <row r="112" spans="1:16" s="387" customFormat="1">
      <c r="A112" s="2349"/>
      <c r="B112" s="759">
        <f>+B109+1</f>
        <v>82</v>
      </c>
      <c r="C112" s="764" t="s">
        <v>358</v>
      </c>
      <c r="D112" s="392" t="s">
        <v>1422</v>
      </c>
      <c r="E112" s="392"/>
      <c r="F112" s="1597">
        <f>+F107</f>
        <v>2014</v>
      </c>
      <c r="G112" s="1160">
        <v>580388319.38999999</v>
      </c>
      <c r="H112" s="1661" t="str">
        <f>IF((INDEX(Inputs_EndYrBal_prior,MATCH($D113,Inputs_FF1_Map,0))-G112)&lt;1,"-","Check values!")</f>
        <v>-</v>
      </c>
      <c r="I112" s="758"/>
      <c r="J112" s="758"/>
      <c r="K112" s="391"/>
      <c r="L112" s="391"/>
      <c r="M112" s="2243"/>
      <c r="O112" s="2231"/>
      <c r="P112" s="2363"/>
    </row>
    <row r="113" spans="1:16" s="387" customFormat="1">
      <c r="A113" s="2349"/>
      <c r="B113" s="759">
        <f>+B112+1</f>
        <v>83</v>
      </c>
      <c r="C113" s="772" t="s">
        <v>358</v>
      </c>
      <c r="D113" s="395" t="s">
        <v>1414</v>
      </c>
      <c r="E113" s="395"/>
      <c r="F113" s="1598">
        <f>+F112+1</f>
        <v>2015</v>
      </c>
      <c r="G113" s="1596">
        <v>418947736.92000002</v>
      </c>
      <c r="H113" s="1661" t="str">
        <f>IF((INDEX(Inputs_EndYrBal,MATCH($D113,Inputs_FF1_Map,0))-G113)&lt;1,"-","Check values!")</f>
        <v>-</v>
      </c>
      <c r="I113" s="758"/>
      <c r="J113" s="758"/>
      <c r="K113" s="391"/>
      <c r="L113" s="391"/>
      <c r="M113" s="2243"/>
      <c r="O113" s="2232"/>
      <c r="P113" s="2363"/>
    </row>
    <row r="114" spans="1:16" s="387" customFormat="1" ht="15.75">
      <c r="A114" s="2349">
        <f>'Appendix A'!$A$56</f>
        <v>26</v>
      </c>
      <c r="B114" s="759">
        <f>+B113+1</f>
        <v>84</v>
      </c>
      <c r="C114" s="774" t="s">
        <v>318</v>
      </c>
      <c r="D114" s="1003" t="str">
        <f>IF(Toggle=Projection,"(line "&amp;B113&amp;")",IF(Toggle=True_up,"(sum lines "&amp;B112&amp;" &amp; "&amp;B113&amp;") /2","Set Toggle!"))</f>
        <v>(line 83)</v>
      </c>
      <c r="E114" s="998" t="str">
        <f>'Appendix A'!$E$56</f>
        <v>(Note N)</v>
      </c>
      <c r="F114" s="1001" t="str">
        <f>Toggle</f>
        <v>Projection</v>
      </c>
      <c r="G114" s="1246">
        <f>IF(Toggle=Projection,G113,IF(Toggle=True_up,AVERAGE(G112:G113),"Set Toggle!"))</f>
        <v>418947736.92000002</v>
      </c>
      <c r="H114" s="773" t="s">
        <v>1068</v>
      </c>
      <c r="I114" s="758"/>
      <c r="J114" s="758"/>
      <c r="K114" s="391"/>
      <c r="L114" s="391"/>
      <c r="M114" s="2243"/>
      <c r="O114" s="2231"/>
      <c r="P114" s="2363"/>
    </row>
    <row r="115" spans="1:16" s="387" customFormat="1">
      <c r="A115" s="2349"/>
      <c r="B115" s="759"/>
      <c r="C115" s="769"/>
      <c r="D115" s="392"/>
      <c r="E115" s="392"/>
      <c r="F115" s="781"/>
      <c r="G115" s="1156"/>
      <c r="H115" s="770"/>
      <c r="I115" s="758"/>
      <c r="J115" s="758"/>
      <c r="K115" s="391"/>
      <c r="L115" s="391"/>
      <c r="M115" s="2243"/>
      <c r="O115" s="2232"/>
      <c r="P115" s="2363"/>
    </row>
    <row r="116" spans="1:16" s="387" customFormat="1" ht="15.75">
      <c r="A116" s="2349"/>
      <c r="B116" s="759"/>
      <c r="C116" s="757" t="s">
        <v>630</v>
      </c>
      <c r="D116" s="758" t="s">
        <v>26</v>
      </c>
      <c r="E116" s="758"/>
      <c r="F116" s="759" t="s">
        <v>141</v>
      </c>
      <c r="G116" s="1155" t="s">
        <v>158</v>
      </c>
      <c r="H116" s="770"/>
      <c r="I116" s="758"/>
      <c r="J116" s="758"/>
      <c r="K116" s="391"/>
      <c r="L116" s="391"/>
      <c r="M116" s="2243"/>
      <c r="P116" s="2364"/>
    </row>
    <row r="117" spans="1:16" s="387" customFormat="1">
      <c r="A117" s="2349"/>
      <c r="B117" s="759">
        <f>+B114+1</f>
        <v>85</v>
      </c>
      <c r="C117" s="764" t="s">
        <v>358</v>
      </c>
      <c r="D117" s="392" t="s">
        <v>1421</v>
      </c>
      <c r="E117" s="392"/>
      <c r="F117" s="1597">
        <f>+F112</f>
        <v>2014</v>
      </c>
      <c r="G117" s="1160">
        <v>3902924344.9100003</v>
      </c>
      <c r="H117" s="1661"/>
      <c r="I117" s="758"/>
      <c r="J117" s="758"/>
      <c r="K117" s="391"/>
      <c r="L117" s="391"/>
      <c r="M117" s="2243"/>
      <c r="O117" s="956"/>
      <c r="P117" s="2364"/>
    </row>
    <row r="118" spans="1:16" s="387" customFormat="1">
      <c r="A118" s="2349"/>
      <c r="B118" s="759">
        <f t="shared" ref="B118:B130" si="10">+B117+1</f>
        <v>86</v>
      </c>
      <c r="C118" s="782" t="s">
        <v>350</v>
      </c>
      <c r="D118" s="758" t="s">
        <v>632</v>
      </c>
      <c r="E118" s="758"/>
      <c r="F118" s="1597">
        <f>+F117+1</f>
        <v>2015</v>
      </c>
      <c r="G118" s="1160">
        <v>3936028307.5100002</v>
      </c>
      <c r="H118" s="770"/>
      <c r="I118" s="758"/>
      <c r="J118" s="758"/>
      <c r="K118" s="391"/>
      <c r="L118" s="391"/>
      <c r="M118" s="2243"/>
      <c r="O118" s="956"/>
      <c r="P118" s="2364"/>
    </row>
    <row r="119" spans="1:16" s="387" customFormat="1" ht="15" customHeight="1">
      <c r="A119" s="2349"/>
      <c r="B119" s="759">
        <f t="shared" si="10"/>
        <v>87</v>
      </c>
      <c r="C119" s="769" t="s">
        <v>351</v>
      </c>
      <c r="D119" s="758" t="s">
        <v>632</v>
      </c>
      <c r="E119" s="758"/>
      <c r="F119" s="1597">
        <f t="shared" ref="F119:F129" si="11">+F118</f>
        <v>2015</v>
      </c>
      <c r="G119" s="1160">
        <v>3968682567</v>
      </c>
      <c r="H119" s="770"/>
      <c r="I119" s="758"/>
      <c r="J119" s="758"/>
      <c r="K119" s="391"/>
      <c r="L119" s="391"/>
      <c r="M119" s="2243"/>
      <c r="O119" s="956"/>
      <c r="P119" s="2364"/>
    </row>
    <row r="120" spans="1:16" s="387" customFormat="1" ht="15" customHeight="1">
      <c r="A120" s="2349"/>
      <c r="B120" s="759">
        <f t="shared" si="10"/>
        <v>88</v>
      </c>
      <c r="C120" s="769" t="s">
        <v>352</v>
      </c>
      <c r="D120" s="758" t="s">
        <v>632</v>
      </c>
      <c r="E120" s="758"/>
      <c r="F120" s="1597">
        <f t="shared" si="11"/>
        <v>2015</v>
      </c>
      <c r="G120" s="1160">
        <v>4002162557.3699999</v>
      </c>
      <c r="H120" s="770"/>
      <c r="I120" s="758"/>
      <c r="J120" s="758"/>
      <c r="K120" s="391"/>
      <c r="L120" s="391"/>
      <c r="M120" s="2243"/>
      <c r="O120" s="956"/>
      <c r="P120" s="2364"/>
    </row>
    <row r="121" spans="1:16" s="387" customFormat="1">
      <c r="A121" s="2349"/>
      <c r="B121" s="759">
        <f t="shared" si="10"/>
        <v>89</v>
      </c>
      <c r="C121" s="782" t="s">
        <v>143</v>
      </c>
      <c r="D121" s="758" t="s">
        <v>632</v>
      </c>
      <c r="E121" s="758"/>
      <c r="F121" s="1597">
        <f t="shared" si="11"/>
        <v>2015</v>
      </c>
      <c r="G121" s="1160">
        <v>4015954250.2600002</v>
      </c>
      <c r="H121" s="770"/>
      <c r="I121" s="758"/>
      <c r="J121" s="758"/>
      <c r="K121" s="391"/>
      <c r="L121" s="391"/>
      <c r="M121" s="2243"/>
      <c r="O121" s="956"/>
      <c r="P121" s="2364"/>
    </row>
    <row r="122" spans="1:16" s="387" customFormat="1">
      <c r="A122" s="2349"/>
      <c r="B122" s="759">
        <f t="shared" si="10"/>
        <v>90</v>
      </c>
      <c r="C122" s="769" t="s">
        <v>144</v>
      </c>
      <c r="D122" s="758" t="s">
        <v>632</v>
      </c>
      <c r="E122" s="758"/>
      <c r="F122" s="1597">
        <f t="shared" si="11"/>
        <v>2015</v>
      </c>
      <c r="G122" s="1160">
        <v>4044986076.0999999</v>
      </c>
      <c r="H122" s="770"/>
      <c r="I122" s="758"/>
      <c r="J122" s="758"/>
      <c r="K122" s="391"/>
      <c r="L122" s="391"/>
      <c r="M122" s="2243"/>
      <c r="O122" s="956"/>
      <c r="P122" s="2364"/>
    </row>
    <row r="123" spans="1:16" s="387" customFormat="1">
      <c r="A123" s="2349"/>
      <c r="B123" s="759">
        <f t="shared" si="10"/>
        <v>91</v>
      </c>
      <c r="C123" s="769" t="s">
        <v>612</v>
      </c>
      <c r="D123" s="758" t="s">
        <v>632</v>
      </c>
      <c r="E123" s="758"/>
      <c r="F123" s="1597">
        <f t="shared" si="11"/>
        <v>2015</v>
      </c>
      <c r="G123" s="1160">
        <v>4054238449.6599998</v>
      </c>
      <c r="H123" s="770"/>
      <c r="I123" s="758"/>
      <c r="J123" s="758"/>
      <c r="K123" s="391"/>
      <c r="L123" s="391"/>
      <c r="M123" s="2243"/>
      <c r="O123" s="956"/>
      <c r="P123" s="2364"/>
    </row>
    <row r="124" spans="1:16" s="387" customFormat="1">
      <c r="A124" s="2349"/>
      <c r="B124" s="759">
        <f t="shared" si="10"/>
        <v>92</v>
      </c>
      <c r="C124" s="782" t="s">
        <v>353</v>
      </c>
      <c r="D124" s="758" t="s">
        <v>632</v>
      </c>
      <c r="E124" s="758"/>
      <c r="F124" s="1597">
        <f t="shared" si="11"/>
        <v>2015</v>
      </c>
      <c r="G124" s="1160">
        <v>4084919113.5199995</v>
      </c>
      <c r="H124" s="770"/>
      <c r="I124" s="758"/>
      <c r="J124" s="758"/>
      <c r="K124" s="391"/>
      <c r="L124" s="391"/>
      <c r="M124" s="2243"/>
      <c r="P124" s="2363"/>
    </row>
    <row r="125" spans="1:16" s="387" customFormat="1">
      <c r="A125" s="2349"/>
      <c r="B125" s="759">
        <f t="shared" si="10"/>
        <v>93</v>
      </c>
      <c r="C125" s="769" t="s">
        <v>354</v>
      </c>
      <c r="D125" s="758" t="s">
        <v>632</v>
      </c>
      <c r="E125" s="758"/>
      <c r="F125" s="1597">
        <f t="shared" si="11"/>
        <v>2015</v>
      </c>
      <c r="G125" s="1160">
        <v>4115274561.3800001</v>
      </c>
      <c r="H125" s="770"/>
      <c r="I125" s="758"/>
      <c r="J125" s="758"/>
      <c r="K125" s="391"/>
      <c r="L125" s="391"/>
      <c r="M125" s="2243"/>
      <c r="P125" s="2363"/>
    </row>
    <row r="126" spans="1:16" s="387" customFormat="1">
      <c r="A126" s="2349"/>
      <c r="B126" s="759">
        <f t="shared" si="10"/>
        <v>94</v>
      </c>
      <c r="C126" s="769" t="s">
        <v>355</v>
      </c>
      <c r="D126" s="758" t="s">
        <v>632</v>
      </c>
      <c r="E126" s="758"/>
      <c r="F126" s="1597">
        <f t="shared" si="11"/>
        <v>2015</v>
      </c>
      <c r="G126" s="1160">
        <v>4141818345.3699999</v>
      </c>
      <c r="H126" s="770"/>
      <c r="I126" s="758"/>
      <c r="J126" s="758"/>
      <c r="K126" s="391"/>
      <c r="L126" s="391"/>
      <c r="M126" s="2243"/>
      <c r="P126" s="2363"/>
    </row>
    <row r="127" spans="1:16" s="387" customFormat="1">
      <c r="A127" s="2349"/>
      <c r="B127" s="759">
        <f t="shared" si="10"/>
        <v>95</v>
      </c>
      <c r="C127" s="782" t="s">
        <v>613</v>
      </c>
      <c r="D127" s="758" t="s">
        <v>632</v>
      </c>
      <c r="E127" s="758"/>
      <c r="F127" s="1597">
        <f t="shared" si="11"/>
        <v>2015</v>
      </c>
      <c r="G127" s="1160">
        <v>4171664932.3499999</v>
      </c>
      <c r="H127" s="770"/>
      <c r="I127" s="758"/>
      <c r="J127" s="758"/>
      <c r="K127" s="391"/>
      <c r="L127" s="391"/>
      <c r="M127" s="2243"/>
      <c r="P127" s="2363"/>
    </row>
    <row r="128" spans="1:16" s="387" customFormat="1">
      <c r="A128" s="2349"/>
      <c r="B128" s="759">
        <f t="shared" si="10"/>
        <v>96</v>
      </c>
      <c r="C128" s="782" t="s">
        <v>357</v>
      </c>
      <c r="D128" s="758" t="s">
        <v>632</v>
      </c>
      <c r="E128" s="758"/>
      <c r="F128" s="1597">
        <f t="shared" si="11"/>
        <v>2015</v>
      </c>
      <c r="G128" s="1160">
        <v>4191203284.6800003</v>
      </c>
      <c r="H128" s="765"/>
      <c r="I128" s="758"/>
      <c r="J128" s="758"/>
      <c r="K128" s="391"/>
      <c r="L128" s="391"/>
      <c r="M128" s="2243"/>
      <c r="P128" s="2363"/>
    </row>
    <row r="129" spans="1:16" s="387" customFormat="1">
      <c r="A129" s="2349"/>
      <c r="B129" s="759">
        <f t="shared" si="10"/>
        <v>97</v>
      </c>
      <c r="C129" s="772" t="s">
        <v>358</v>
      </c>
      <c r="D129" s="395" t="s">
        <v>1420</v>
      </c>
      <c r="E129" s="395"/>
      <c r="F129" s="1598">
        <f t="shared" si="11"/>
        <v>2015</v>
      </c>
      <c r="G129" s="1596">
        <v>4061975025.0500002</v>
      </c>
      <c r="H129" s="1661" t="str">
        <f>IF((INDEX(Inputs_EndYrBal,MATCH($D129,Inputs_FF1_Map,0))-G129)&lt;1,"-","Check values!")</f>
        <v>-</v>
      </c>
      <c r="I129" s="758"/>
      <c r="J129" s="758"/>
      <c r="K129" s="391"/>
      <c r="L129" s="391"/>
      <c r="M129" s="2243"/>
      <c r="P129" s="2363"/>
    </row>
    <row r="130" spans="1:16" s="387" customFormat="1" ht="15.75">
      <c r="A130" s="2349"/>
      <c r="B130" s="759">
        <f t="shared" si="10"/>
        <v>98</v>
      </c>
      <c r="C130" s="774" t="s">
        <v>631</v>
      </c>
      <c r="D130" s="1003" t="str">
        <f>IF(Toggle=Projection,"(line "&amp;B129&amp;")",IF(Toggle=True_up,"(sum lines "&amp;B117&amp;"-"&amp;B129&amp;") /13","Set Toggle!"))</f>
        <v>(line 97)</v>
      </c>
      <c r="E130" s="758"/>
      <c r="F130" s="1001" t="str">
        <f>Toggle</f>
        <v>Projection</v>
      </c>
      <c r="G130" s="1153">
        <f>IF(Toggle=Projection,G129,IF(Toggle=True_up,AVERAGE(G117:G129),"Set Toggle!"))</f>
        <v>4061975025.0500002</v>
      </c>
      <c r="H130" s="2242"/>
      <c r="I130" s="758"/>
      <c r="J130" s="758"/>
      <c r="K130" s="391"/>
      <c r="L130" s="391"/>
      <c r="M130" s="2243"/>
      <c r="P130" s="2363"/>
    </row>
    <row r="131" spans="1:16" s="387" customFormat="1">
      <c r="A131" s="2349"/>
      <c r="B131" s="759"/>
      <c r="C131" s="769"/>
      <c r="D131" s="758"/>
      <c r="E131" s="758"/>
      <c r="F131" s="777"/>
      <c r="G131" s="1154"/>
      <c r="H131" s="765"/>
      <c r="I131" s="758"/>
      <c r="J131" s="758"/>
      <c r="K131" s="391"/>
      <c r="L131" s="391"/>
      <c r="M131" s="2243"/>
      <c r="P131" s="2363"/>
    </row>
    <row r="132" spans="1:16" s="387" customFormat="1" ht="15.75">
      <c r="A132" s="802">
        <f>+'Appendix A'!A23</f>
        <v>7</v>
      </c>
      <c r="B132" s="759">
        <f>+B130+1</f>
        <v>99</v>
      </c>
      <c r="C132" s="790" t="str">
        <f>'Appendix A'!C23</f>
        <v>Accumulated Depreciation (Total Electric Plant)</v>
      </c>
      <c r="D132" s="758" t="str">
        <f>"(sum lines "&amp;B88&amp;", "&amp;B104&amp;", "&amp;B114&amp;", &amp; "&amp;B130&amp;")"</f>
        <v>(sum lines 64, 78, 84, &amp; 98)</v>
      </c>
      <c r="E132" s="998" t="str">
        <f>'Appendix A'!$E$23</f>
        <v>(Note M)</v>
      </c>
      <c r="F132" s="1001" t="str">
        <f>Toggle</f>
        <v>Projection</v>
      </c>
      <c r="G132" s="1248">
        <f>SUM(G130,G114,G104,G88)</f>
        <v>8565801806</v>
      </c>
      <c r="H132" s="773" t="s">
        <v>1068</v>
      </c>
      <c r="I132" s="758"/>
      <c r="J132" s="758"/>
      <c r="K132" s="391"/>
      <c r="L132" s="391"/>
      <c r="M132" s="2243"/>
      <c r="P132" s="2363"/>
    </row>
    <row r="133" spans="1:16" s="387" customFormat="1" ht="15.75">
      <c r="A133" s="2349"/>
      <c r="B133" s="759"/>
      <c r="C133" s="774"/>
      <c r="D133" s="758"/>
      <c r="E133" s="758"/>
      <c r="F133" s="775"/>
      <c r="G133" s="1153"/>
      <c r="H133" s="765"/>
      <c r="I133" s="758"/>
      <c r="J133" s="758"/>
      <c r="K133" s="391"/>
      <c r="L133" s="391"/>
      <c r="M133" s="2243"/>
      <c r="P133" s="2363"/>
    </row>
    <row r="134" spans="1:16" s="387" customFormat="1" ht="15.75">
      <c r="A134" s="2349"/>
      <c r="B134" s="759">
        <f>+B132+1</f>
        <v>100</v>
      </c>
      <c r="C134" s="790" t="s">
        <v>249</v>
      </c>
      <c r="D134" s="392" t="str">
        <f>"(sum lines "&amp;B88&amp;", "&amp;B104&amp;", "&amp;B109&amp;", "&amp;B114&amp;", &amp; "&amp;B130&amp;")"</f>
        <v>(sum lines 64, 78, 81, 84, &amp; 98)</v>
      </c>
      <c r="E134" s="392"/>
      <c r="F134" s="1001" t="str">
        <f>Toggle</f>
        <v>Projection</v>
      </c>
      <c r="G134" s="1157">
        <f>SUM(G130,G114,G104,G88,G109)</f>
        <v>9125602085.6399994</v>
      </c>
      <c r="H134" s="789"/>
      <c r="I134" s="758"/>
      <c r="J134" s="758"/>
      <c r="K134" s="391"/>
      <c r="L134" s="391"/>
      <c r="M134" s="2243"/>
      <c r="P134" s="2363"/>
    </row>
    <row r="135" spans="1:16" s="387" customFormat="1" ht="15.75" thickBot="1">
      <c r="A135" s="791"/>
      <c r="B135" s="792"/>
      <c r="C135" s="793"/>
      <c r="D135" s="794"/>
      <c r="E135" s="867"/>
      <c r="F135" s="795"/>
      <c r="G135" s="796"/>
      <c r="H135" s="797"/>
      <c r="I135" s="798"/>
      <c r="J135" s="798"/>
      <c r="K135" s="799"/>
      <c r="L135" s="799"/>
      <c r="M135" s="800"/>
      <c r="P135" s="2363"/>
    </row>
    <row r="136" spans="1:16" s="881" customFormat="1">
      <c r="A136" s="872"/>
      <c r="B136" s="860"/>
      <c r="C136" s="875"/>
      <c r="D136" s="863"/>
      <c r="E136" s="863"/>
      <c r="F136" s="876"/>
      <c r="G136" s="875"/>
      <c r="H136" s="877"/>
      <c r="I136" s="864"/>
      <c r="J136" s="864"/>
      <c r="K136" s="865"/>
      <c r="L136" s="865"/>
      <c r="M136" s="865"/>
      <c r="P136" s="2363"/>
    </row>
    <row r="137" spans="1:16" s="881" customFormat="1">
      <c r="A137" s="779"/>
      <c r="B137" s="768"/>
      <c r="C137" s="769"/>
      <c r="D137" s="758"/>
      <c r="E137" s="758"/>
      <c r="F137" s="777"/>
      <c r="G137" s="769"/>
      <c r="H137" s="788"/>
      <c r="I137" s="759"/>
      <c r="J137" s="759"/>
      <c r="K137" s="762"/>
      <c r="L137" s="762"/>
      <c r="M137" s="762"/>
      <c r="P137" s="2363"/>
    </row>
    <row r="138" spans="1:16" s="881" customFormat="1" ht="16.5" thickBot="1">
      <c r="A138" s="879" t="s">
        <v>635</v>
      </c>
      <c r="B138" s="861"/>
      <c r="C138" s="866"/>
      <c r="D138" s="867"/>
      <c r="E138" s="867"/>
      <c r="F138" s="868"/>
      <c r="G138" s="866"/>
      <c r="H138" s="851"/>
      <c r="I138" s="871"/>
      <c r="J138" s="871"/>
      <c r="K138" s="852"/>
      <c r="L138" s="852"/>
      <c r="M138" s="852"/>
      <c r="P138" s="2363"/>
    </row>
    <row r="139" spans="1:16" s="881" customFormat="1" ht="30">
      <c r="A139" s="2567" t="s">
        <v>206</v>
      </c>
      <c r="B139" s="2568"/>
      <c r="C139" s="2568"/>
      <c r="D139" s="2568"/>
      <c r="E139" s="2568"/>
      <c r="F139" s="2568"/>
      <c r="G139" s="2569"/>
      <c r="H139" s="908" t="s">
        <v>207</v>
      </c>
      <c r="I139" s="909"/>
      <c r="J139" s="909"/>
      <c r="K139" s="909"/>
      <c r="L139" s="909"/>
      <c r="M139" s="910"/>
      <c r="P139" s="2363"/>
    </row>
    <row r="140" spans="1:16" s="387" customFormat="1">
      <c r="A140" s="802"/>
      <c r="B140" s="768"/>
      <c r="C140" s="769"/>
      <c r="D140" s="758"/>
      <c r="E140" s="758"/>
      <c r="F140" s="777"/>
      <c r="G140" s="778"/>
      <c r="H140" s="788"/>
      <c r="I140" s="759"/>
      <c r="J140" s="759"/>
      <c r="K140" s="762"/>
      <c r="L140" s="762"/>
      <c r="M140" s="763"/>
      <c r="P140" s="2363"/>
    </row>
    <row r="141" spans="1:16" s="387" customFormat="1">
      <c r="A141" s="2352"/>
      <c r="B141" s="768"/>
      <c r="C141" s="51" t="s">
        <v>321</v>
      </c>
      <c r="D141" s="37"/>
      <c r="E141" s="37"/>
      <c r="F141" s="37" t="s">
        <v>633</v>
      </c>
      <c r="G141" s="241" t="s">
        <v>329</v>
      </c>
      <c r="H141" s="1151">
        <f>INDEX(Inputs_EndYrBal_prior,MATCH(G141,Inputs_FF1_Map,0))</f>
        <v>0</v>
      </c>
      <c r="I141" s="759"/>
      <c r="J141" s="759"/>
      <c r="K141" s="762"/>
      <c r="L141" s="762"/>
      <c r="M141" s="763"/>
      <c r="P141" s="2363"/>
    </row>
    <row r="142" spans="1:16" s="387" customFormat="1">
      <c r="A142" s="802"/>
      <c r="B142" s="768"/>
      <c r="C142" s="332"/>
      <c r="D142" s="47"/>
      <c r="E142" s="47"/>
      <c r="F142" s="510" t="s">
        <v>634</v>
      </c>
      <c r="G142" s="968" t="s">
        <v>329</v>
      </c>
      <c r="H142" s="1151">
        <f>INDEX(Inputs_EndYrBal,MATCH(G142,Inputs_FF1_Map,0))</f>
        <v>0</v>
      </c>
      <c r="I142" s="759"/>
      <c r="J142" s="759"/>
      <c r="K142" s="762"/>
      <c r="L142" s="762"/>
      <c r="M142" s="763"/>
      <c r="P142" s="2363"/>
    </row>
    <row r="143" spans="1:16" s="387" customFormat="1" ht="15.75">
      <c r="A143" s="802">
        <f>+'Appendix A'!A87</f>
        <v>39</v>
      </c>
      <c r="B143" s="768"/>
      <c r="C143" s="332"/>
      <c r="D143" s="391"/>
      <c r="E143" s="998" t="str">
        <f>'Appendix A'!$E$87</f>
        <v>(Note N)</v>
      </c>
      <c r="F143" s="499" t="s">
        <v>1068</v>
      </c>
      <c r="G143" s="1004" t="str">
        <f>Toggle</f>
        <v>Projection</v>
      </c>
      <c r="H143" s="1137">
        <f>IF(Toggle=Projection,H142,IF(Toggle=True_up,AVERAGE(H141:H142),"Set Toggle!"))</f>
        <v>0</v>
      </c>
      <c r="I143" s="1003" t="str">
        <f>IF(Toggle=Projection,"current end-of-year balance",IF(Toggle=True_up,"beg-of-year and end-of-year average ","Set Toggle!"))</f>
        <v>current end-of-year balance</v>
      </c>
      <c r="J143" s="1005"/>
      <c r="K143" s="762"/>
      <c r="L143" s="762"/>
      <c r="M143" s="763"/>
      <c r="P143" s="2363"/>
    </row>
    <row r="144" spans="1:16" s="881" customFormat="1">
      <c r="A144" s="802"/>
      <c r="B144" s="768"/>
      <c r="C144" s="332"/>
      <c r="D144" s="391"/>
      <c r="E144" s="759"/>
      <c r="F144" s="37"/>
      <c r="G144" s="870"/>
      <c r="H144" s="1152"/>
      <c r="I144" s="759"/>
      <c r="K144" s="762"/>
      <c r="L144" s="762"/>
      <c r="M144" s="763"/>
      <c r="P144" s="2363"/>
    </row>
    <row r="145" spans="1:252" s="387" customFormat="1">
      <c r="A145" s="2352"/>
      <c r="B145" s="768"/>
      <c r="C145" s="332" t="s">
        <v>363</v>
      </c>
      <c r="D145" s="391"/>
      <c r="E145" s="759"/>
      <c r="F145" s="37" t="s">
        <v>633</v>
      </c>
      <c r="G145" s="870" t="s">
        <v>408</v>
      </c>
      <c r="H145" s="1151">
        <f>INDEX(Inputs_EndYrBal_prior,MATCH(G145,Inputs_FF1_Map,0))</f>
        <v>111221100</v>
      </c>
      <c r="I145" s="759"/>
      <c r="K145" s="762"/>
      <c r="L145" s="762"/>
      <c r="M145" s="763"/>
      <c r="P145" s="2363"/>
    </row>
    <row r="146" spans="1:252" s="387" customFormat="1">
      <c r="A146" s="802"/>
      <c r="B146" s="768"/>
      <c r="C146" s="332"/>
      <c r="D146" s="391"/>
      <c r="E146" s="759"/>
      <c r="F146" s="510" t="s">
        <v>634</v>
      </c>
      <c r="G146" s="969" t="s">
        <v>408</v>
      </c>
      <c r="H146" s="1151">
        <f>INDEX(Inputs_EndYrBal,MATCH(G146,Inputs_FF1_Map,0))</f>
        <v>134703542</v>
      </c>
      <c r="I146" s="759"/>
      <c r="K146" s="762"/>
      <c r="L146" s="762"/>
      <c r="M146" s="763"/>
      <c r="P146" s="2363"/>
    </row>
    <row r="147" spans="1:252" s="387" customFormat="1" ht="15.75">
      <c r="A147" s="802">
        <f>+'Appendix A'!A90</f>
        <v>42</v>
      </c>
      <c r="B147" s="768"/>
      <c r="C147" s="332"/>
      <c r="D147" s="391"/>
      <c r="E147" s="998" t="str">
        <f>'Appendix A'!$E$90</f>
        <v>(Note N)</v>
      </c>
      <c r="F147" s="499" t="s">
        <v>1068</v>
      </c>
      <c r="G147" s="1004" t="str">
        <f>Toggle</f>
        <v>Projection</v>
      </c>
      <c r="H147" s="1137">
        <f>IF(Toggle=Projection,H146,IF(Toggle=True_up,AVERAGE(H145:H146),"Set Toggle!"))</f>
        <v>134703542</v>
      </c>
      <c r="I147" s="1003" t="str">
        <f>IF(Toggle=Projection,"current end-of-year balance",IF(Toggle=True_up,"beg-of-year and end-of-year average ","Set Toggle!"))</f>
        <v>current end-of-year balance</v>
      </c>
      <c r="J147" s="1005"/>
      <c r="K147" s="762"/>
      <c r="L147" s="762"/>
      <c r="M147" s="763"/>
      <c r="P147" s="2363"/>
    </row>
    <row r="148" spans="1:252" s="881" customFormat="1">
      <c r="A148" s="802"/>
      <c r="B148" s="768"/>
      <c r="C148" s="332"/>
      <c r="D148" s="391"/>
      <c r="E148" s="759"/>
      <c r="F148" s="37"/>
      <c r="G148" s="870"/>
      <c r="H148" s="1152"/>
      <c r="I148" s="803"/>
      <c r="K148" s="762"/>
      <c r="L148" s="762"/>
      <c r="M148" s="763"/>
      <c r="P148" s="2363"/>
    </row>
    <row r="149" spans="1:252" s="387" customFormat="1">
      <c r="A149" s="2352"/>
      <c r="B149" s="768"/>
      <c r="C149" s="332" t="s">
        <v>234</v>
      </c>
      <c r="D149" s="391"/>
      <c r="E149" s="759"/>
      <c r="F149" s="37" t="s">
        <v>633</v>
      </c>
      <c r="G149" s="241" t="s">
        <v>330</v>
      </c>
      <c r="H149" s="1151">
        <f>INDEX(Inputs_EndYrBal_prior,MATCH(G149,Inputs_FF1_Map,0))</f>
        <v>490752</v>
      </c>
      <c r="I149" s="759"/>
      <c r="K149" s="762"/>
      <c r="L149" s="762"/>
      <c r="M149" s="763"/>
      <c r="P149" s="2363"/>
    </row>
    <row r="150" spans="1:252" s="387" customFormat="1">
      <c r="A150" s="802"/>
      <c r="B150" s="768"/>
      <c r="C150" s="769"/>
      <c r="D150" s="391"/>
      <c r="E150" s="759"/>
      <c r="F150" s="510" t="s">
        <v>634</v>
      </c>
      <c r="G150" s="968" t="s">
        <v>330</v>
      </c>
      <c r="H150" s="1151">
        <f>INDEX(Inputs_EndYrBal,MATCH(G150,Inputs_FF1_Map,0))</f>
        <v>653625</v>
      </c>
      <c r="I150" s="759"/>
      <c r="K150" s="762"/>
      <c r="L150" s="762"/>
      <c r="M150" s="763"/>
      <c r="P150" s="2363"/>
    </row>
    <row r="151" spans="1:252" s="881" customFormat="1" ht="15.75">
      <c r="A151" s="802">
        <f>+'Appendix A'!A93</f>
        <v>45</v>
      </c>
      <c r="B151" s="768"/>
      <c r="C151" s="769"/>
      <c r="D151" s="391"/>
      <c r="E151" s="998" t="str">
        <f>'Appendix A'!$E$93</f>
        <v>(Note N)</v>
      </c>
      <c r="F151" s="499" t="s">
        <v>1068</v>
      </c>
      <c r="G151" s="1004" t="str">
        <f>Toggle</f>
        <v>Projection</v>
      </c>
      <c r="H151" s="1137">
        <f>IF(Toggle=Projection,H150,IF(Toggle=True_up,AVERAGE(H149:H150),"Set Toggle!"))</f>
        <v>653625</v>
      </c>
      <c r="I151" s="1003" t="str">
        <f>IF(Toggle=Projection,"current end-of-year balance",IF(Toggle=True_up,"beg-of-year and end-of-year average ","Set Toggle!"))</f>
        <v>current end-of-year balance</v>
      </c>
      <c r="J151" s="1005"/>
      <c r="K151" s="762"/>
      <c r="L151" s="762"/>
      <c r="M151" s="763"/>
      <c r="P151" s="2363"/>
    </row>
    <row r="152" spans="1:252" s="387" customFormat="1" ht="15.75" thickBot="1">
      <c r="A152" s="791"/>
      <c r="B152" s="861"/>
      <c r="C152" s="866"/>
      <c r="D152" s="867"/>
      <c r="E152" s="867"/>
      <c r="F152" s="869"/>
      <c r="G152" s="796"/>
      <c r="H152" s="804"/>
      <c r="I152" s="798"/>
      <c r="J152" s="798"/>
      <c r="K152" s="799"/>
      <c r="L152" s="799"/>
      <c r="M152" s="800"/>
      <c r="P152" s="2363"/>
    </row>
    <row r="153" spans="1:252" s="387" customFormat="1" ht="15.75" customHeight="1">
      <c r="A153" s="963"/>
      <c r="B153" s="393"/>
      <c r="C153" s="394"/>
      <c r="D153" s="388"/>
      <c r="E153" s="957"/>
      <c r="F153" s="396"/>
      <c r="G153" s="394"/>
      <c r="H153" s="397"/>
      <c r="I153" s="389"/>
      <c r="J153" s="389"/>
      <c r="K153" s="390"/>
      <c r="L153" s="390"/>
      <c r="P153" s="2363"/>
    </row>
    <row r="154" spans="1:252" s="956" customFormat="1" ht="15.75" customHeight="1">
      <c r="A154" s="963"/>
      <c r="B154" s="960"/>
      <c r="C154" s="961"/>
      <c r="D154" s="957"/>
      <c r="E154" s="957"/>
      <c r="F154" s="962"/>
      <c r="G154" s="961"/>
      <c r="H154" s="397"/>
      <c r="I154" s="958"/>
      <c r="J154" s="958"/>
      <c r="K154" s="959"/>
      <c r="L154" s="959"/>
      <c r="P154" s="2363"/>
    </row>
    <row r="155" spans="1:252" s="349" customFormat="1" ht="16.5" thickBot="1">
      <c r="A155" s="879" t="s">
        <v>253</v>
      </c>
      <c r="P155" s="2362"/>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575" t="s">
        <v>206</v>
      </c>
      <c r="B156" s="2576"/>
      <c r="C156" s="2576"/>
      <c r="D156" s="2576"/>
      <c r="E156" s="2576"/>
      <c r="F156" s="2576"/>
      <c r="G156" s="2577"/>
      <c r="H156" s="908" t="s">
        <v>207</v>
      </c>
      <c r="I156" s="908" t="s">
        <v>1181</v>
      </c>
      <c r="J156" s="1167" t="s">
        <v>1182</v>
      </c>
      <c r="K156" s="2572" t="s">
        <v>83</v>
      </c>
      <c r="L156" s="2572"/>
      <c r="M156" s="2573"/>
      <c r="P156" s="2362"/>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362"/>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353"/>
      <c r="B158" s="154" t="s">
        <v>286</v>
      </c>
      <c r="C158" s="36"/>
      <c r="D158" s="37"/>
      <c r="E158" s="37"/>
      <c r="F158" s="236"/>
      <c r="G158" s="811"/>
      <c r="H158" s="937"/>
      <c r="I158" s="941" t="str">
        <f>'Appendix A'!B33</f>
        <v>Net Plant Allocator</v>
      </c>
      <c r="J158" s="252"/>
      <c r="L158" s="37"/>
      <c r="M158" s="854"/>
      <c r="P158" s="2362"/>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1065</v>
      </c>
      <c r="D159" s="37"/>
      <c r="E159" s="37"/>
      <c r="F159" s="236"/>
      <c r="G159" s="951" t="s">
        <v>409</v>
      </c>
      <c r="H159" s="1702">
        <v>-4756408</v>
      </c>
      <c r="I159" s="953">
        <f>Allocator.net.plant</f>
        <v>0.26273925856404062</v>
      </c>
      <c r="J159" s="1082">
        <f>H159*I159</f>
        <v>-1249695.1113480714</v>
      </c>
      <c r="L159" s="37"/>
      <c r="M159" s="854"/>
      <c r="P159" s="2362"/>
    </row>
    <row r="160" spans="1:252" s="349" customFormat="1" ht="15.75">
      <c r="A160" s="230"/>
      <c r="B160" s="154"/>
      <c r="C160" s="36"/>
      <c r="D160" s="37"/>
      <c r="E160" s="37"/>
      <c r="F160" s="236"/>
      <c r="G160" s="1081"/>
      <c r="H160" s="1130"/>
      <c r="I160" s="953"/>
      <c r="J160" s="1150"/>
      <c r="L160" s="37"/>
      <c r="M160" s="854"/>
      <c r="P160" s="2362"/>
    </row>
    <row r="161" spans="1:252" s="349" customFormat="1" ht="15.75">
      <c r="A161" s="230"/>
      <c r="B161" s="154" t="s">
        <v>1135</v>
      </c>
      <c r="C161" s="36"/>
      <c r="D161" s="37"/>
      <c r="E161" s="37"/>
      <c r="F161" s="236"/>
      <c r="G161" s="1081"/>
      <c r="H161" s="1130"/>
      <c r="I161" s="953"/>
      <c r="J161" s="1150"/>
      <c r="K161" s="37"/>
      <c r="L161" s="37"/>
      <c r="M161" s="854"/>
      <c r="P161" s="2362"/>
    </row>
    <row r="162" spans="1:252" s="349" customFormat="1" ht="15.75">
      <c r="A162" s="230"/>
      <c r="B162" s="154"/>
      <c r="C162" s="36" t="s">
        <v>1136</v>
      </c>
      <c r="D162" s="37"/>
      <c r="E162" s="37"/>
      <c r="F162" s="236"/>
      <c r="G162" s="1081"/>
      <c r="H162" s="1130"/>
      <c r="I162" s="953"/>
      <c r="J162" s="1150"/>
      <c r="K162" s="37"/>
      <c r="L162" s="37"/>
      <c r="M162" s="854"/>
      <c r="P162" s="2362"/>
    </row>
    <row r="163" spans="1:252" s="349" customFormat="1" ht="15.75">
      <c r="A163" s="230"/>
      <c r="B163" s="154"/>
      <c r="C163" s="36"/>
      <c r="D163" s="37"/>
      <c r="E163" s="37"/>
      <c r="F163" s="1206" t="s">
        <v>1192</v>
      </c>
      <c r="G163" s="1825" t="s">
        <v>1729</v>
      </c>
      <c r="H163" s="1702">
        <f>685019+63907</f>
        <v>748926</v>
      </c>
      <c r="I163" s="953"/>
      <c r="J163" s="1150"/>
      <c r="K163" s="1617"/>
      <c r="L163" s="37"/>
      <c r="M163" s="854"/>
      <c r="P163" s="2362"/>
    </row>
    <row r="164" spans="1:252" s="349" customFormat="1" ht="15.75">
      <c r="A164" s="230"/>
      <c r="B164" s="154"/>
      <c r="F164" s="1206" t="s">
        <v>1191</v>
      </c>
      <c r="G164" s="1825" t="s">
        <v>1729</v>
      </c>
      <c r="H164" s="1702">
        <f>321067+54665</f>
        <v>375732</v>
      </c>
      <c r="K164" s="1617"/>
      <c r="L164" s="37"/>
      <c r="M164" s="854"/>
      <c r="P164" s="2362"/>
    </row>
    <row r="165" spans="1:252" s="349" customFormat="1" ht="15.75">
      <c r="A165" s="230">
        <f>'Appendix A'!$A$75</f>
        <v>35</v>
      </c>
      <c r="B165" s="154"/>
      <c r="C165" s="36" t="s">
        <v>1136</v>
      </c>
      <c r="D165" s="37"/>
      <c r="E165" s="37"/>
      <c r="F165" s="236"/>
      <c r="G165" s="1207" t="s">
        <v>1193</v>
      </c>
      <c r="H165" s="1208">
        <f>AVERAGE(H163:H164)</f>
        <v>562329</v>
      </c>
      <c r="I165" s="1824">
        <f>Allocator.net.plant</f>
        <v>0.26273925856404062</v>
      </c>
      <c r="J165" s="1082">
        <f>H165*I165</f>
        <v>147745.9045290584</v>
      </c>
      <c r="K165" s="37" t="s">
        <v>1134</v>
      </c>
      <c r="L165" s="37"/>
      <c r="M165" s="854"/>
      <c r="P165" s="2362"/>
    </row>
    <row r="166" spans="1:252" s="349" customFormat="1" ht="15.75" thickBot="1">
      <c r="A166" s="238"/>
      <c r="B166" s="838"/>
      <c r="C166" s="842"/>
      <c r="D166" s="845"/>
      <c r="E166" s="845"/>
      <c r="F166" s="855"/>
      <c r="G166" s="240"/>
      <c r="H166" s="257"/>
      <c r="I166" s="258"/>
      <c r="J166" s="259"/>
      <c r="K166" s="2570"/>
      <c r="L166" s="2570"/>
      <c r="M166" s="2571"/>
      <c r="P166" s="2362"/>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9" t="s">
        <v>166</v>
      </c>
      <c r="P169" s="2362"/>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575" t="s">
        <v>206</v>
      </c>
      <c r="B170" s="2576"/>
      <c r="C170" s="2576"/>
      <c r="D170" s="2576"/>
      <c r="E170" s="2576"/>
      <c r="F170" s="2576"/>
      <c r="G170" s="2577"/>
      <c r="H170" s="908" t="s">
        <v>207</v>
      </c>
      <c r="I170" s="908" t="s">
        <v>103</v>
      </c>
      <c r="J170" s="908" t="s">
        <v>160</v>
      </c>
      <c r="K170" s="911" t="s">
        <v>83</v>
      </c>
      <c r="L170" s="911"/>
      <c r="M170" s="912"/>
      <c r="P170" s="2362"/>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353"/>
      <c r="B171" s="124" t="str">
        <f>+'Appendix A'!C48</f>
        <v>Land Held for Future Use</v>
      </c>
      <c r="C171" s="38"/>
      <c r="D171" s="99"/>
      <c r="E171" s="99"/>
      <c r="F171" s="38"/>
      <c r="G171" s="997"/>
      <c r="H171" s="856"/>
      <c r="K171" s="38"/>
      <c r="L171" s="38"/>
      <c r="M171" s="310"/>
      <c r="P171" s="2362"/>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353"/>
      <c r="B172" s="124"/>
      <c r="C172" s="38"/>
      <c r="D172" s="99"/>
      <c r="E172" s="99"/>
      <c r="F172" s="28" t="s">
        <v>633</v>
      </c>
      <c r="G172" s="241" t="s">
        <v>332</v>
      </c>
      <c r="H172" s="1109">
        <f>INDEX(Inputs_EndYrBal_prior,MATCH(G172,Inputs_FF1_Map,0))</f>
        <v>23319217</v>
      </c>
      <c r="I172" s="1008">
        <f>'Att 12 - Plant Held Future Use'!$D$16</f>
        <v>3657534.48</v>
      </c>
      <c r="J172" s="1127">
        <f>H172-I172</f>
        <v>19661682.52</v>
      </c>
      <c r="K172" s="38" t="s">
        <v>1091</v>
      </c>
      <c r="L172" s="38"/>
      <c r="M172" s="310"/>
      <c r="P172" s="2362"/>
    </row>
    <row r="173" spans="1:252" s="349" customFormat="1" ht="15.75">
      <c r="A173" s="230"/>
      <c r="B173" s="235"/>
      <c r="C173" s="332"/>
      <c r="D173" s="99"/>
      <c r="E173" s="99"/>
      <c r="F173" s="28" t="s">
        <v>634</v>
      </c>
      <c r="G173" s="241" t="s">
        <v>332</v>
      </c>
      <c r="H173" s="1106">
        <f>INDEX(Inputs_EndYrBal,MATCH(G173,Inputs_FF1_Map,0))</f>
        <v>23319217</v>
      </c>
      <c r="I173" s="1008">
        <f>'Att 12 - Plant Held Future Use'!$E$16</f>
        <v>3657534.48</v>
      </c>
      <c r="J173" s="1127">
        <f>H173-I173</f>
        <v>19661682.52</v>
      </c>
      <c r="K173" s="38" t="s">
        <v>1091</v>
      </c>
      <c r="L173" s="37"/>
      <c r="M173" s="310"/>
      <c r="P173" s="2362"/>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2" t="str">
        <f>'Appendix A'!E48</f>
        <v>(Notes B &amp; L)</v>
      </c>
      <c r="F174" s="1111" t="s">
        <v>1068</v>
      </c>
      <c r="G174" s="1110" t="str">
        <f>Toggle</f>
        <v>Projection</v>
      </c>
      <c r="H174" s="1149"/>
      <c r="I174" s="1007">
        <f>IF(Toggle=Projection,I173,IF(Toggle=True_up,AVERAGE(I172:I173),"Set Toggle!"))</f>
        <v>3657534.48</v>
      </c>
      <c r="J174" s="1149"/>
      <c r="K174" s="1003" t="str">
        <f>IF(Toggle=Projection,"current end-of-year balance",IF(Toggle=True_up,"beg-of-year and end-of-year average ","Set Toggle!"))</f>
        <v>current end-of-year balance</v>
      </c>
      <c r="L174" s="1005"/>
      <c r="M174" s="813"/>
      <c r="P174" s="2362"/>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8"/>
      <c r="C175" s="842"/>
      <c r="D175" s="845"/>
      <c r="E175" s="845"/>
      <c r="F175" s="855"/>
      <c r="G175" s="244"/>
      <c r="H175" s="873"/>
      <c r="I175" s="903"/>
      <c r="J175" s="873"/>
      <c r="K175" s="873"/>
      <c r="L175" s="873"/>
      <c r="M175" s="261"/>
      <c r="P175" s="2362"/>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349"/>
      <c r="Q176" s="349"/>
      <c r="R176" s="349"/>
      <c r="S176" s="349"/>
      <c r="T176" s="349"/>
      <c r="U176" s="349"/>
    </row>
    <row r="178" spans="1:252" s="349" customFormat="1" ht="16.5" thickBot="1">
      <c r="A178" s="879" t="s">
        <v>194</v>
      </c>
      <c r="B178" s="23"/>
      <c r="C178" s="23"/>
      <c r="D178" s="23"/>
      <c r="E178" s="23"/>
      <c r="F178" s="23"/>
      <c r="G178" s="23"/>
      <c r="H178" s="23"/>
      <c r="I178" s="23"/>
      <c r="P178" s="2362"/>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575" t="s">
        <v>206</v>
      </c>
      <c r="B179" s="2576"/>
      <c r="C179" s="2576"/>
      <c r="D179" s="2576"/>
      <c r="E179" s="2576"/>
      <c r="F179" s="2576"/>
      <c r="G179" s="2577"/>
      <c r="H179" s="907"/>
      <c r="I179" s="908" t="s">
        <v>1</v>
      </c>
      <c r="J179" s="908"/>
      <c r="K179" s="2572" t="s">
        <v>83</v>
      </c>
      <c r="L179" s="2572"/>
      <c r="M179" s="2573"/>
      <c r="P179" s="2362"/>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4"/>
      <c r="H180" s="255"/>
      <c r="I180" s="384"/>
      <c r="J180" s="38"/>
      <c r="K180" s="920"/>
      <c r="L180" s="920"/>
      <c r="M180" s="921"/>
      <c r="P180" s="236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4"/>
      <c r="H181" s="248"/>
      <c r="I181" s="120"/>
      <c r="J181" s="120"/>
      <c r="K181" s="379"/>
      <c r="L181" s="380"/>
      <c r="M181" s="381"/>
      <c r="P181" s="2362"/>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353"/>
      <c r="B182" s="332" t="s">
        <v>740</v>
      </c>
      <c r="C182" s="51"/>
      <c r="D182" s="37"/>
      <c r="E182" s="37"/>
      <c r="F182" s="245"/>
      <c r="G182" s="854"/>
      <c r="H182" s="248"/>
      <c r="I182" s="120"/>
      <c r="J182" s="120"/>
      <c r="K182" s="490"/>
      <c r="L182" s="448"/>
      <c r="M182" s="449"/>
      <c r="P182" s="2362"/>
    </row>
    <row r="183" spans="1:252" s="349" customFormat="1" ht="15.75">
      <c r="A183" s="2353"/>
      <c r="B183" s="332"/>
      <c r="C183" s="51"/>
      <c r="D183" s="37"/>
      <c r="E183" s="37"/>
      <c r="F183" s="245"/>
      <c r="G183" s="854"/>
      <c r="H183" s="248"/>
      <c r="I183" s="120"/>
      <c r="J183" s="120"/>
      <c r="K183" s="490"/>
      <c r="L183" s="497"/>
      <c r="M183" s="498"/>
      <c r="P183" s="2362"/>
    </row>
    <row r="184" spans="1:252" s="349" customFormat="1" ht="15.75">
      <c r="A184" s="230"/>
      <c r="B184" s="228"/>
      <c r="C184" s="1685" t="s">
        <v>1488</v>
      </c>
      <c r="D184" s="853"/>
      <c r="E184" s="853"/>
      <c r="F184" s="407"/>
      <c r="G184" s="952" t="s">
        <v>1816</v>
      </c>
      <c r="H184" s="1684"/>
      <c r="I184" s="1139">
        <v>47300</v>
      </c>
      <c r="J184" s="120"/>
      <c r="K184" s="490"/>
      <c r="L184" s="497"/>
      <c r="M184" s="498"/>
      <c r="P184" s="2362"/>
    </row>
    <row r="185" spans="1:252" s="349" customFormat="1" ht="15.75">
      <c r="A185" s="230"/>
      <c r="B185" s="228"/>
      <c r="C185" s="1685" t="s">
        <v>1489</v>
      </c>
      <c r="D185" s="853"/>
      <c r="E185" s="853"/>
      <c r="F185" s="407"/>
      <c r="G185" s="952" t="s">
        <v>1816</v>
      </c>
      <c r="H185" s="1684"/>
      <c r="I185" s="1139">
        <v>8000</v>
      </c>
      <c r="J185" s="120"/>
      <c r="K185" s="490"/>
      <c r="L185" s="497"/>
      <c r="M185" s="498"/>
      <c r="P185" s="2362"/>
    </row>
    <row r="186" spans="1:252" s="349" customFormat="1" ht="15.75">
      <c r="A186" s="230"/>
      <c r="B186" s="228"/>
      <c r="C186" s="1685" t="s">
        <v>742</v>
      </c>
      <c r="D186" s="853"/>
      <c r="E186" s="853"/>
      <c r="F186" s="407"/>
      <c r="G186" s="952" t="s">
        <v>1816</v>
      </c>
      <c r="H186" s="1684"/>
      <c r="I186" s="1139">
        <v>1600</v>
      </c>
      <c r="J186" s="120"/>
      <c r="K186" s="490"/>
      <c r="L186" s="497"/>
      <c r="M186" s="498"/>
      <c r="P186" s="2362"/>
    </row>
    <row r="187" spans="1:252" s="349" customFormat="1" ht="15.75">
      <c r="A187" s="230"/>
      <c r="B187" s="228"/>
      <c r="C187" s="1685" t="s">
        <v>741</v>
      </c>
      <c r="D187" s="853"/>
      <c r="E187" s="853"/>
      <c r="F187" s="407"/>
      <c r="G187" s="952" t="s">
        <v>1816</v>
      </c>
      <c r="H187" s="1684"/>
      <c r="I187" s="1139">
        <v>85250.02</v>
      </c>
      <c r="J187" s="120"/>
      <c r="K187" s="490"/>
      <c r="L187" s="497"/>
      <c r="M187" s="498"/>
      <c r="P187" s="2362"/>
    </row>
    <row r="188" spans="1:252" s="349" customFormat="1" ht="15.75">
      <c r="A188" s="230"/>
      <c r="B188" s="228"/>
      <c r="C188" s="1685" t="s">
        <v>1465</v>
      </c>
      <c r="D188" s="853"/>
      <c r="E188" s="853"/>
      <c r="F188" s="407"/>
      <c r="G188" s="952" t="s">
        <v>1816</v>
      </c>
      <c r="H188" s="1684"/>
      <c r="I188" s="1139">
        <v>10500</v>
      </c>
      <c r="J188" s="120"/>
      <c r="K188" s="490"/>
      <c r="L188" s="497"/>
      <c r="M188" s="498"/>
      <c r="P188" s="2362"/>
    </row>
    <row r="189" spans="1:252" s="349" customFormat="1" ht="15.75">
      <c r="A189" s="230"/>
      <c r="B189" s="228"/>
      <c r="C189" s="1685" t="s">
        <v>2006</v>
      </c>
      <c r="D189" s="853"/>
      <c r="E189" s="853"/>
      <c r="F189" s="407"/>
      <c r="G189" s="952" t="s">
        <v>1816</v>
      </c>
      <c r="H189" s="1684"/>
      <c r="I189" s="1139">
        <v>2000</v>
      </c>
      <c r="J189" s="120"/>
      <c r="K189" s="490"/>
      <c r="L189" s="497"/>
      <c r="M189" s="498"/>
      <c r="P189" s="2362"/>
    </row>
    <row r="190" spans="1:252" s="349" customFormat="1" ht="15.75">
      <c r="A190" s="230">
        <f>'Appendix A'!$A$123</f>
        <v>63</v>
      </c>
      <c r="B190" s="228"/>
      <c r="C190" s="1057" t="s">
        <v>282</v>
      </c>
      <c r="D190" s="592"/>
      <c r="E190" s="592" t="str">
        <f>'Appendix A'!E123</f>
        <v>(Note C)</v>
      </c>
      <c r="F190" s="1058"/>
      <c r="G190" s="979" t="s">
        <v>1071</v>
      </c>
      <c r="H190" s="1141"/>
      <c r="I190" s="1142">
        <f>SUM(I184:I189)</f>
        <v>154650.02000000002</v>
      </c>
      <c r="J190" s="120"/>
      <c r="K190" s="490"/>
      <c r="L190" s="448"/>
      <c r="M190" s="449"/>
      <c r="N190" s="2536" t="s">
        <v>2371</v>
      </c>
      <c r="O190" s="2401" t="s">
        <v>2269</v>
      </c>
      <c r="P190" s="2362"/>
    </row>
    <row r="191" spans="1:252" s="349" customFormat="1" ht="15.75">
      <c r="A191" s="230"/>
      <c r="B191" s="228"/>
      <c r="C191" s="469"/>
      <c r="D191" s="37"/>
      <c r="E191" s="37"/>
      <c r="F191" s="245"/>
      <c r="G191" s="854"/>
      <c r="H191" s="1143"/>
      <c r="I191" s="631"/>
      <c r="J191" s="120"/>
      <c r="K191" s="490"/>
      <c r="L191" s="497"/>
      <c r="M191" s="498"/>
      <c r="P191" s="2362"/>
    </row>
    <row r="192" spans="1:252" s="349" customFormat="1" ht="15.75">
      <c r="A192" s="230"/>
      <c r="B192" s="332" t="s">
        <v>1042</v>
      </c>
      <c r="C192" s="38"/>
      <c r="D192" s="37"/>
      <c r="E192" s="37"/>
      <c r="F192" s="245"/>
      <c r="G192" s="854"/>
      <c r="H192" s="1143"/>
      <c r="I192" s="631"/>
      <c r="J192" s="120"/>
      <c r="K192" s="490"/>
      <c r="L192" s="497"/>
      <c r="M192" s="498"/>
      <c r="P192" s="2362"/>
    </row>
    <row r="193" spans="1:252" s="349" customFormat="1" ht="15.75">
      <c r="A193" s="232"/>
      <c r="B193" s="228"/>
      <c r="C193" s="332" t="str">
        <f>IF(Toggle=True_up,"Fixed PBOP expense",IF(Toggle=Projection,"Authorized filed PBOP expense"))</f>
        <v>Authorized filed PBOP expense</v>
      </c>
      <c r="D193" s="37"/>
      <c r="E193" s="37"/>
      <c r="F193" s="245"/>
      <c r="G193" s="2403" t="s">
        <v>2008</v>
      </c>
      <c r="H193" s="1138"/>
      <c r="I193" s="1144">
        <f>'Att 17 - PBOP'!D55</f>
        <v>-8999649.339999998</v>
      </c>
      <c r="J193" s="242"/>
      <c r="K193" s="490"/>
      <c r="L193" s="380"/>
      <c r="M193" s="381"/>
      <c r="P193" s="2362"/>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49" customFormat="1" ht="15.75">
      <c r="A194" s="232"/>
      <c r="B194" s="38"/>
      <c r="C194" s="510" t="s">
        <v>1043</v>
      </c>
      <c r="D194" s="970"/>
      <c r="E194" s="970"/>
      <c r="F194" s="970"/>
      <c r="G194" s="978" t="str">
        <f>IF(Toggle=True_up,"Attachement 17",IF(Toggle=Projection,"Attachment 17 total"))</f>
        <v>Attachment 17 total</v>
      </c>
      <c r="H194" s="2344"/>
      <c r="I194" s="1145">
        <f>'Att 17 - PBOP'!$D$55</f>
        <v>-8999649.339999998</v>
      </c>
      <c r="J194" s="23"/>
      <c r="K194" s="490"/>
      <c r="L194" s="380"/>
      <c r="M194" s="381"/>
      <c r="P194" s="2362"/>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49" customFormat="1" ht="15.75">
      <c r="A195" s="232">
        <f>+'Appendix A'!A118</f>
        <v>58</v>
      </c>
      <c r="B195" s="38"/>
      <c r="C195" s="469" t="str">
        <f>IF(Toggle=True_up,"Adjusted total (Current year actual)",IF(Toggle=Projection,"Actual PBOP Expense Adjustment"))</f>
        <v>Actual PBOP Expense Adjustment</v>
      </c>
      <c r="D195" s="592"/>
      <c r="E195" s="103"/>
      <c r="F195" s="38"/>
      <c r="G195" s="979" t="s">
        <v>1071</v>
      </c>
      <c r="H195" s="2229" t="str">
        <f>Toggle</f>
        <v>Projection</v>
      </c>
      <c r="I195" s="1146">
        <f>I193-I194</f>
        <v>0</v>
      </c>
      <c r="J195" s="2402" t="s">
        <v>2007</v>
      </c>
      <c r="K195" s="490"/>
      <c r="L195" s="497"/>
      <c r="M195" s="498"/>
      <c r="P195" s="2362"/>
    </row>
    <row r="196" spans="1:252" s="349" customFormat="1" ht="15.75">
      <c r="A196" s="232"/>
      <c r="B196" s="38"/>
      <c r="C196" s="469"/>
      <c r="D196" s="38"/>
      <c r="E196" s="38"/>
      <c r="F196" s="38"/>
      <c r="G196" s="811"/>
      <c r="H196" s="1143"/>
      <c r="I196" s="659"/>
      <c r="J196" s="880"/>
      <c r="K196" s="490"/>
      <c r="L196" s="497"/>
      <c r="M196" s="498"/>
      <c r="P196" s="2362"/>
    </row>
    <row r="197" spans="1:252" s="349" customFormat="1" ht="15.75">
      <c r="A197" s="232"/>
      <c r="B197" s="38" t="s">
        <v>1044</v>
      </c>
      <c r="C197" s="249"/>
      <c r="D197" s="38"/>
      <c r="E197" s="38"/>
      <c r="F197" s="38"/>
      <c r="G197" s="811"/>
      <c r="H197" s="1143"/>
      <c r="I197" s="659"/>
      <c r="J197" s="880"/>
      <c r="K197" s="490"/>
      <c r="L197" s="497"/>
      <c r="M197" s="498"/>
      <c r="P197" s="2362"/>
    </row>
    <row r="198" spans="1:252" s="349" customFormat="1" ht="15.75">
      <c r="A198" s="2353"/>
      <c r="B198" s="38"/>
      <c r="C198" s="78" t="str">
        <f xml:space="preserve">    'Appendix A'!C133</f>
        <v>Property Insurance Account 924</v>
      </c>
      <c r="D198" s="970"/>
      <c r="E198" s="970"/>
      <c r="F198" s="970"/>
      <c r="G198" s="1124" t="str">
        <f>'Appendix A'!F119</f>
        <v>323.185b</v>
      </c>
      <c r="H198" s="1140"/>
      <c r="I198" s="1147">
        <f>INDEX(Inputs_EndYrBal,MATCH(G198,Inputs_FF1_Map,0))</f>
        <v>15938310</v>
      </c>
      <c r="J198" s="23"/>
      <c r="K198" s="490"/>
      <c r="L198" s="28"/>
      <c r="M198" s="234"/>
      <c r="P198" s="2362"/>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49" customFormat="1" ht="15.75">
      <c r="A199" s="232">
        <f>'Appendix A'!A133</f>
        <v>70</v>
      </c>
      <c r="B199" s="38"/>
      <c r="C199" s="332"/>
      <c r="D199" s="38"/>
      <c r="E199" s="426" t="str">
        <f>'Appendix A'!$E$133</f>
        <v>(Note F)</v>
      </c>
      <c r="F199" s="38"/>
      <c r="G199" s="979" t="s">
        <v>1071</v>
      </c>
      <c r="H199" s="1138"/>
      <c r="I199" s="1148">
        <f>I198</f>
        <v>15938310</v>
      </c>
      <c r="K199" s="493"/>
      <c r="L199" s="493"/>
      <c r="M199" s="494"/>
      <c r="P199" s="2362"/>
    </row>
    <row r="200" spans="1:252" s="349" customFormat="1" ht="15.75" thickBot="1">
      <c r="A200" s="238"/>
      <c r="B200" s="850"/>
      <c r="C200" s="842"/>
      <c r="D200" s="878"/>
      <c r="E200" s="878"/>
      <c r="F200" s="855"/>
      <c r="G200" s="244"/>
      <c r="H200" s="264"/>
      <c r="I200" s="869"/>
      <c r="J200" s="266"/>
      <c r="K200" s="266"/>
      <c r="L200" s="265"/>
      <c r="M200" s="267"/>
      <c r="P200" s="2362"/>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c r="O201" s="349"/>
      <c r="Q201" s="349"/>
      <c r="R201" s="349"/>
      <c r="S201" s="349"/>
      <c r="T201" s="349"/>
      <c r="U201" s="349"/>
      <c r="V201" s="349"/>
      <c r="W201" s="349"/>
    </row>
    <row r="202" spans="1:252" s="349" customFormat="1">
      <c r="A202" s="23"/>
      <c r="I202" s="120"/>
      <c r="P202" s="2362"/>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9" customFormat="1" ht="16.5" thickBot="1">
      <c r="A203" s="879" t="s">
        <v>167</v>
      </c>
      <c r="P203" s="2362"/>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9" customFormat="1" ht="61.5">
      <c r="A204" s="2575" t="s">
        <v>206</v>
      </c>
      <c r="B204" s="2576"/>
      <c r="C204" s="2576"/>
      <c r="D204" s="2576"/>
      <c r="E204" s="2576"/>
      <c r="F204" s="2576"/>
      <c r="G204" s="2577"/>
      <c r="H204" s="907" t="s">
        <v>207</v>
      </c>
      <c r="I204" s="908" t="s">
        <v>1170</v>
      </c>
      <c r="J204" s="908" t="s">
        <v>160</v>
      </c>
      <c r="K204" s="911" t="s">
        <v>83</v>
      </c>
      <c r="L204" s="911"/>
      <c r="M204" s="912"/>
      <c r="P204" s="236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49" customFormat="1" ht="15.75">
      <c r="A205" s="2353"/>
      <c r="B205" s="228" t="s">
        <v>235</v>
      </c>
      <c r="C205" s="47"/>
      <c r="D205" s="37"/>
      <c r="E205" s="37"/>
      <c r="F205" s="243"/>
      <c r="G205" s="948"/>
      <c r="H205" s="268"/>
      <c r="I205" s="252"/>
      <c r="J205" s="92"/>
      <c r="K205" s="38"/>
      <c r="L205" s="38"/>
      <c r="M205" s="229"/>
      <c r="P205" s="2362"/>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49" customFormat="1" ht="15.75">
      <c r="A206" s="230"/>
      <c r="B206" s="228"/>
      <c r="C206" s="47"/>
      <c r="D206" s="37"/>
      <c r="E206" s="37"/>
      <c r="F206" s="243"/>
      <c r="G206" s="948"/>
      <c r="H206" s="268"/>
      <c r="I206" s="252"/>
      <c r="J206" s="92"/>
      <c r="K206" s="38"/>
      <c r="L206" s="38"/>
      <c r="M206" s="229"/>
      <c r="P206" s="2362"/>
    </row>
    <row r="207" spans="1:252" s="349" customFormat="1" ht="15.75">
      <c r="A207" s="947" t="s">
        <v>886</v>
      </c>
      <c r="B207" s="17"/>
      <c r="C207" s="51"/>
      <c r="D207" s="37"/>
      <c r="E207" s="37"/>
      <c r="F207" s="233"/>
      <c r="G207" s="946"/>
      <c r="H207" s="806"/>
      <c r="I207" s="245"/>
      <c r="J207" s="807"/>
      <c r="K207" s="51"/>
      <c r="L207" s="51"/>
      <c r="M207" s="262"/>
      <c r="P207" s="2362"/>
    </row>
    <row r="208" spans="1:252" s="349" customFormat="1" ht="15.75">
      <c r="A208" s="230"/>
      <c r="B208" s="17"/>
      <c r="C208" s="47"/>
      <c r="D208" s="37"/>
      <c r="E208" s="37"/>
      <c r="F208" s="233"/>
      <c r="G208" s="946"/>
      <c r="H208" s="808"/>
      <c r="I208" s="574"/>
      <c r="J208" s="809"/>
      <c r="K208" s="200"/>
      <c r="L208" s="51"/>
      <c r="M208" s="262"/>
      <c r="P208" s="2362"/>
    </row>
    <row r="209" spans="1:252" s="349" customFormat="1" ht="15.75">
      <c r="A209" s="230"/>
      <c r="B209" s="17"/>
      <c r="C209" s="51" t="s">
        <v>736</v>
      </c>
      <c r="D209" s="51"/>
      <c r="E209" s="51"/>
      <c r="F209" s="51"/>
      <c r="G209" s="262"/>
      <c r="H209" s="808"/>
      <c r="I209" s="574"/>
      <c r="J209" s="809"/>
      <c r="K209" s="200"/>
      <c r="L209" s="51"/>
      <c r="M209" s="262"/>
      <c r="P209" s="2362"/>
    </row>
    <row r="210" spans="1:252" s="349" customFormat="1" ht="15.75">
      <c r="A210" s="230"/>
      <c r="B210" s="17"/>
      <c r="C210" s="945" t="s">
        <v>737</v>
      </c>
      <c r="D210" s="51"/>
      <c r="E210" s="51"/>
      <c r="F210" s="51"/>
      <c r="G210" s="1822" t="s">
        <v>1490</v>
      </c>
      <c r="H210" s="1703">
        <v>1738787</v>
      </c>
      <c r="I210" s="971">
        <f>H210</f>
        <v>1738787</v>
      </c>
      <c r="J210" s="1819"/>
      <c r="K210" s="200"/>
      <c r="L210" s="51"/>
      <c r="M210" s="262"/>
      <c r="P210" s="2362"/>
    </row>
    <row r="211" spans="1:252" s="349" customFormat="1" ht="15.75">
      <c r="A211" s="230"/>
      <c r="B211" s="17"/>
      <c r="C211" s="945" t="s">
        <v>1467</v>
      </c>
      <c r="D211" s="51"/>
      <c r="E211" s="51"/>
      <c r="F211" s="51"/>
      <c r="G211" s="1822" t="s">
        <v>1491</v>
      </c>
      <c r="H211" s="1703">
        <v>2362642</v>
      </c>
      <c r="I211" s="971"/>
      <c r="J211" s="971">
        <f>+H211</f>
        <v>2362642</v>
      </c>
      <c r="K211" s="200"/>
      <c r="L211" s="51"/>
      <c r="M211" s="262"/>
      <c r="P211" s="2362"/>
    </row>
    <row r="212" spans="1:252" s="349" customFormat="1" ht="15.75">
      <c r="A212" s="230"/>
      <c r="B212" s="17"/>
      <c r="C212" s="945" t="s">
        <v>738</v>
      </c>
      <c r="D212" s="51"/>
      <c r="E212" s="51"/>
      <c r="F212" s="51"/>
      <c r="G212" s="1822" t="s">
        <v>1819</v>
      </c>
      <c r="H212" s="1703">
        <v>175117</v>
      </c>
      <c r="I212" s="971">
        <f>H212</f>
        <v>175117</v>
      </c>
      <c r="J212" s="971"/>
      <c r="K212" s="200"/>
      <c r="L212" s="51"/>
      <c r="M212" s="262"/>
      <c r="P212" s="2362"/>
    </row>
    <row r="213" spans="1:252" s="349" customFormat="1" ht="15.75">
      <c r="A213" s="230"/>
      <c r="B213" s="17"/>
      <c r="C213" s="945" t="s">
        <v>1466</v>
      </c>
      <c r="D213" s="51"/>
      <c r="E213" s="51"/>
      <c r="F213" s="51"/>
      <c r="G213" s="1822" t="s">
        <v>1820</v>
      </c>
      <c r="H213" s="1703">
        <v>642175</v>
      </c>
      <c r="I213" s="971">
        <v>311252.68</v>
      </c>
      <c r="J213" s="971">
        <v>330921.95999999996</v>
      </c>
      <c r="K213" s="200"/>
      <c r="L213" s="51"/>
      <c r="M213" s="262"/>
      <c r="P213" s="2362"/>
    </row>
    <row r="214" spans="1:252" s="349" customFormat="1" ht="15.75">
      <c r="A214" s="230">
        <f>+'Appendix A'!A129</f>
        <v>67</v>
      </c>
      <c r="B214" s="17"/>
      <c r="C214" s="944" t="s">
        <v>282</v>
      </c>
      <c r="D214" s="943"/>
      <c r="E214" s="999"/>
      <c r="F214" s="943"/>
      <c r="G214" s="1823" t="s">
        <v>1153</v>
      </c>
      <c r="H214" s="1818">
        <f>SUM(H210:H213)</f>
        <v>4918721</v>
      </c>
      <c r="I214" s="1820">
        <f>SUM(I210:I213)</f>
        <v>2225156.6800000002</v>
      </c>
      <c r="J214" s="1821">
        <f>SUM(J210:J213)</f>
        <v>2693563.96</v>
      </c>
      <c r="K214" s="200"/>
      <c r="L214" s="51"/>
      <c r="M214" s="262"/>
      <c r="P214" s="2362"/>
    </row>
    <row r="215" spans="1:252" s="349" customFormat="1" ht="15.75" thickBot="1">
      <c r="A215" s="1011"/>
      <c r="B215" s="838"/>
      <c r="C215" s="842"/>
      <c r="D215" s="942"/>
      <c r="E215" s="942"/>
      <c r="F215" s="855"/>
      <c r="G215" s="244"/>
      <c r="H215" s="575"/>
      <c r="I215" s="836"/>
      <c r="J215" s="258"/>
      <c r="K215" s="2570"/>
      <c r="L215" s="2570"/>
      <c r="M215" s="2571"/>
      <c r="P215" s="2362"/>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8" spans="1:252" s="349" customFormat="1" ht="16.5" thickBot="1">
      <c r="A218" s="879" t="s">
        <v>168</v>
      </c>
      <c r="B218" s="23"/>
      <c r="C218" s="23"/>
      <c r="P218" s="2362"/>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9" customFormat="1" ht="46.5">
      <c r="A219" s="2575" t="s">
        <v>206</v>
      </c>
      <c r="B219" s="2576"/>
      <c r="C219" s="2576"/>
      <c r="D219" s="2576"/>
      <c r="E219" s="2576"/>
      <c r="F219" s="2576"/>
      <c r="G219" s="2577"/>
      <c r="H219" s="908" t="s">
        <v>207</v>
      </c>
      <c r="I219" s="908" t="s">
        <v>1173</v>
      </c>
      <c r="J219" s="908" t="s">
        <v>161</v>
      </c>
      <c r="K219" s="911" t="s">
        <v>83</v>
      </c>
      <c r="L219" s="911"/>
      <c r="M219" s="912"/>
      <c r="P219" s="2362"/>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9" customFormat="1" ht="15.75">
      <c r="A220" s="230"/>
      <c r="B220" s="228" t="s">
        <v>235</v>
      </c>
      <c r="C220" s="51"/>
      <c r="D220" s="37"/>
      <c r="E220" s="37"/>
      <c r="F220" s="252"/>
      <c r="G220" s="234"/>
      <c r="H220" s="38"/>
      <c r="I220" s="93"/>
      <c r="J220" s="38"/>
      <c r="K220" s="38"/>
      <c r="L220" s="38"/>
      <c r="M220" s="229"/>
      <c r="P220" s="236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0">
        <f>+'Appendix A'!A130</f>
        <v>68</v>
      </c>
      <c r="B221" s="235"/>
      <c r="C221" s="332" t="str">
        <f>+'Appendix A'!C130</f>
        <v xml:space="preserve">General Advertising Exp Account 930.1 - Safety-related Advertising </v>
      </c>
      <c r="D221" s="37"/>
      <c r="E221" s="37"/>
      <c r="F221" s="236"/>
      <c r="G221" s="980" t="s">
        <v>38</v>
      </c>
      <c r="H221" s="1096">
        <f>INDEX(Inputs_EndYrBal,MATCH(G221,Inputs_FF1_Map,0))</f>
        <v>319</v>
      </c>
      <c r="I221" s="1134">
        <v>0</v>
      </c>
      <c r="J221" s="1135">
        <f>H221-I221</f>
        <v>319</v>
      </c>
      <c r="K221" s="889" t="s">
        <v>383</v>
      </c>
      <c r="L221" s="889"/>
      <c r="M221" s="229"/>
      <c r="N221" s="18"/>
      <c r="O221" s="18"/>
      <c r="P221" s="2362"/>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49" customFormat="1" ht="15.75" thickBot="1">
      <c r="A222" s="238"/>
      <c r="B222" s="838"/>
      <c r="C222" s="839"/>
      <c r="D222" s="845"/>
      <c r="E222" s="845"/>
      <c r="F222" s="841"/>
      <c r="G222" s="244"/>
      <c r="H222" s="847"/>
      <c r="I222" s="847"/>
      <c r="J222" s="847"/>
      <c r="K222" s="846"/>
      <c r="L222" s="846"/>
      <c r="M222" s="883"/>
      <c r="P222" s="2362"/>
    </row>
    <row r="223" spans="1:252" s="349" customFormat="1" ht="15.75">
      <c r="A223" s="884"/>
      <c r="B223" s="235"/>
      <c r="C223" s="332"/>
      <c r="D223" s="37"/>
      <c r="E223" s="37"/>
      <c r="F223" s="99"/>
      <c r="G223" s="332"/>
      <c r="H223" s="92"/>
      <c r="I223" s="92"/>
      <c r="J223" s="92"/>
      <c r="K223" s="379"/>
      <c r="L223" s="380"/>
      <c r="M223" s="380"/>
      <c r="N223" s="18"/>
      <c r="O223" s="18"/>
      <c r="P223" s="2362"/>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5" spans="1:252" s="349" customFormat="1" ht="16.5" thickBot="1">
      <c r="A225" s="879" t="s">
        <v>169</v>
      </c>
      <c r="B225" s="23"/>
      <c r="C225" s="23"/>
      <c r="N225" s="18"/>
      <c r="O225" s="18"/>
      <c r="P225" s="2362"/>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575" t="s">
        <v>206</v>
      </c>
      <c r="B226" s="2576"/>
      <c r="C226" s="2576"/>
      <c r="D226" s="2576"/>
      <c r="E226" s="2576"/>
      <c r="F226" s="2576"/>
      <c r="G226" s="2577"/>
      <c r="H226" s="908" t="s">
        <v>207</v>
      </c>
      <c r="I226" s="908" t="s">
        <v>1174</v>
      </c>
      <c r="J226" s="908" t="s">
        <v>104</v>
      </c>
      <c r="K226" s="2572" t="s">
        <v>83</v>
      </c>
      <c r="L226" s="2572"/>
      <c r="M226" s="2573"/>
      <c r="N226" s="18"/>
      <c r="O226" s="18"/>
      <c r="P226" s="2362"/>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30"/>
      <c r="B227" s="228" t="s">
        <v>235</v>
      </c>
      <c r="C227" s="51"/>
      <c r="D227" s="37"/>
      <c r="E227" s="37"/>
      <c r="F227" s="252"/>
      <c r="G227" s="234"/>
      <c r="H227" s="38"/>
      <c r="I227" s="93"/>
      <c r="J227" s="38"/>
      <c r="K227" s="38"/>
      <c r="L227" s="38"/>
      <c r="M227" s="229"/>
      <c r="N227" s="18"/>
      <c r="O227" s="18"/>
      <c r="P227" s="2362"/>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f>+'Appendix A'!A134</f>
        <v>71</v>
      </c>
      <c r="B228" s="235"/>
      <c r="C228" s="332" t="str">
        <f>+'Appendix A'!C134</f>
        <v xml:space="preserve">General Advertising Exp Account 930.1 - Education and Outreach </v>
      </c>
      <c r="D228" s="837"/>
      <c r="E228" s="837"/>
      <c r="F228" s="236"/>
      <c r="G228" s="980" t="s">
        <v>38</v>
      </c>
      <c r="H228" s="1096">
        <f>INDEX(Inputs_EndYrBal,MATCH(G228,Inputs_FF1_Map,0))</f>
        <v>319</v>
      </c>
      <c r="I228" s="1134">
        <v>0</v>
      </c>
      <c r="J228" s="1136">
        <f>H228-I228</f>
        <v>319</v>
      </c>
      <c r="K228" s="1009" t="str">
        <f>+K221</f>
        <v>Based on FERC 930.1 download</v>
      </c>
      <c r="L228" s="1009"/>
      <c r="M228" s="229"/>
      <c r="N228" s="18"/>
      <c r="O228" s="18"/>
      <c r="P228" s="2362"/>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49" customFormat="1" ht="15.75" thickBot="1">
      <c r="A229" s="238"/>
      <c r="B229" s="838"/>
      <c r="C229" s="839"/>
      <c r="D229" s="840"/>
      <c r="E229" s="840"/>
      <c r="F229" s="841"/>
      <c r="G229" s="244"/>
      <c r="H229" s="848"/>
      <c r="I229" s="847"/>
      <c r="J229" s="848"/>
      <c r="K229" s="843"/>
      <c r="L229" s="843"/>
      <c r="M229" s="491"/>
      <c r="P229" s="2362"/>
    </row>
    <row r="230" spans="1:252" s="349" customFormat="1">
      <c r="A230" s="23"/>
      <c r="N230" s="18"/>
      <c r="O230" s="18"/>
      <c r="P230" s="2362"/>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c r="B231" s="23"/>
      <c r="C231" s="23"/>
      <c r="D231" s="23"/>
      <c r="E231" s="23"/>
      <c r="F231" s="23"/>
      <c r="G231" s="23"/>
      <c r="H231" s="23"/>
      <c r="I231" s="23"/>
      <c r="J231" s="23"/>
      <c r="K231" s="23"/>
      <c r="L231" s="23"/>
      <c r="M231" s="23"/>
    </row>
    <row r="232" spans="1:252" s="349" customFormat="1" ht="16.5" thickBot="1">
      <c r="A232" s="879" t="s">
        <v>1099</v>
      </c>
      <c r="B232" s="23"/>
      <c r="C232" s="23"/>
      <c r="D232" s="23"/>
      <c r="E232" s="23"/>
      <c r="F232" s="23"/>
      <c r="G232" s="23"/>
      <c r="H232" s="23"/>
      <c r="I232" s="23"/>
      <c r="J232" s="23"/>
      <c r="K232" s="23"/>
      <c r="L232" s="23"/>
      <c r="M232" s="23"/>
      <c r="N232" s="18"/>
      <c r="O232" s="18"/>
      <c r="P232" s="2362"/>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9" customFormat="1">
      <c r="A233" s="2575" t="s">
        <v>206</v>
      </c>
      <c r="B233" s="2576"/>
      <c r="C233" s="2576"/>
      <c r="D233" s="2576"/>
      <c r="E233" s="2576"/>
      <c r="F233" s="2576"/>
      <c r="G233" s="2577"/>
      <c r="H233" s="908"/>
      <c r="I233" s="911" t="s">
        <v>83</v>
      </c>
      <c r="J233" s="908"/>
      <c r="K233" s="908"/>
      <c r="L233" s="908"/>
      <c r="M233" s="912"/>
      <c r="N233" s="18"/>
      <c r="O233" s="18"/>
      <c r="P233" s="2362"/>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9" customFormat="1" ht="15.75">
      <c r="A234" s="230" t="s">
        <v>225</v>
      </c>
      <c r="B234" s="1010" t="s">
        <v>266</v>
      </c>
      <c r="C234" s="37"/>
      <c r="D234" s="37"/>
      <c r="E234" s="37"/>
      <c r="F234" s="245"/>
      <c r="G234" s="870"/>
      <c r="H234" s="38"/>
      <c r="I234" s="38"/>
      <c r="J234" s="38"/>
      <c r="K234" s="38"/>
      <c r="L234" s="38"/>
      <c r="M234" s="229"/>
      <c r="N234" s="18"/>
      <c r="O234" s="18"/>
      <c r="P234" s="2362"/>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49" customFormat="1">
      <c r="A235" s="230">
        <f>+'Appendix A'!A227</f>
        <v>129</v>
      </c>
      <c r="B235" s="884"/>
      <c r="C235" s="332" t="str">
        <f>+'Appendix A'!C227</f>
        <v>SIT = State Income Tax Rate or Composite</v>
      </c>
      <c r="D235" s="23"/>
      <c r="E235" s="884" t="str">
        <f>'Appendix A'!E227</f>
        <v>(Note G)</v>
      </c>
      <c r="F235" s="23"/>
      <c r="G235" s="241"/>
      <c r="H235" s="1099">
        <f>Inputs!E92</f>
        <v>4.5400000000000003E-2</v>
      </c>
      <c r="I235" s="844" t="s">
        <v>1092</v>
      </c>
      <c r="J235" s="103"/>
      <c r="K235" s="38"/>
      <c r="L235" s="426"/>
      <c r="M235" s="854"/>
      <c r="N235" s="18"/>
      <c r="O235" s="18"/>
      <c r="P235" s="2362"/>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49" customFormat="1" ht="15.75" thickBot="1">
      <c r="A236" s="1011"/>
      <c r="B236" s="878"/>
      <c r="C236" s="878"/>
      <c r="D236" s="878"/>
      <c r="E236" s="878"/>
      <c r="F236" s="878"/>
      <c r="G236" s="272"/>
      <c r="H236" s="873"/>
      <c r="I236" s="873"/>
      <c r="J236" s="873"/>
      <c r="K236" s="873"/>
      <c r="L236" s="873"/>
      <c r="M236" s="261"/>
      <c r="N236" s="18"/>
      <c r="O236" s="18"/>
      <c r="P236" s="2362"/>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c r="B237" s="23"/>
      <c r="C237" s="23"/>
      <c r="D237" s="23"/>
      <c r="E237" s="23"/>
      <c r="F237" s="23"/>
      <c r="G237" s="23"/>
      <c r="H237" s="23"/>
      <c r="I237" s="23"/>
      <c r="J237" s="23"/>
      <c r="K237" s="23"/>
      <c r="L237" s="23"/>
      <c r="M237" s="23"/>
    </row>
    <row r="238" spans="1:252" s="349" customFormat="1">
      <c r="A238" s="23"/>
      <c r="N238" s="18"/>
      <c r="O238" s="18"/>
      <c r="P238" s="2362"/>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row>
    <row r="239" spans="1:252" s="349" customFormat="1" ht="16.5" thickBot="1">
      <c r="A239" s="857" t="s">
        <v>6</v>
      </c>
      <c r="B239" s="385"/>
      <c r="C239" s="385"/>
      <c r="D239" s="385"/>
      <c r="E239" s="884"/>
      <c r="F239" s="231"/>
      <c r="G239" s="385"/>
      <c r="H239" s="38"/>
      <c r="I239" s="38"/>
      <c r="J239" s="38"/>
      <c r="K239" s="38"/>
      <c r="L239" s="270"/>
      <c r="M239" s="38"/>
      <c r="O239" s="385"/>
      <c r="P239" s="2365"/>
      <c r="Q239" s="332"/>
      <c r="R239" s="385"/>
      <c r="S239" s="385"/>
      <c r="T239" s="385"/>
      <c r="U239" s="385"/>
      <c r="V239" s="385"/>
      <c r="W239" s="332"/>
      <c r="X239" s="385"/>
      <c r="Y239" s="385"/>
      <c r="Z239" s="385"/>
      <c r="AA239" s="385"/>
      <c r="AB239" s="385"/>
      <c r="AC239" s="332"/>
      <c r="AD239" s="385"/>
      <c r="AE239" s="385"/>
      <c r="AF239" s="385"/>
      <c r="AG239" s="385"/>
      <c r="AH239" s="385"/>
      <c r="AI239" s="332"/>
      <c r="AJ239" s="385"/>
      <c r="AK239" s="385"/>
      <c r="AL239" s="385"/>
      <c r="AM239" s="385"/>
      <c r="AN239" s="385"/>
      <c r="AO239" s="332"/>
      <c r="AP239" s="385"/>
      <c r="AQ239" s="385"/>
      <c r="AR239" s="385"/>
      <c r="AS239" s="385"/>
      <c r="AT239" s="385"/>
      <c r="AU239" s="332"/>
      <c r="AV239" s="385"/>
      <c r="AW239" s="385"/>
      <c r="AX239" s="385"/>
      <c r="AY239" s="385"/>
      <c r="AZ239" s="385"/>
      <c r="BA239" s="332"/>
      <c r="BB239" s="385"/>
      <c r="BC239" s="385"/>
      <c r="BD239" s="385"/>
      <c r="BE239" s="385"/>
      <c r="BF239" s="385"/>
      <c r="BG239" s="332"/>
      <c r="BH239" s="385"/>
      <c r="BI239" s="385"/>
      <c r="BJ239" s="385"/>
      <c r="BK239" s="385"/>
      <c r="BL239" s="385"/>
      <c r="BM239" s="332"/>
      <c r="BN239" s="385"/>
      <c r="BO239" s="385"/>
      <c r="BP239" s="385"/>
      <c r="BQ239" s="385"/>
      <c r="BR239" s="385"/>
      <c r="BS239" s="332"/>
      <c r="BT239" s="385"/>
      <c r="BU239" s="385"/>
      <c r="BV239" s="385"/>
      <c r="BW239" s="385"/>
      <c r="BX239" s="385"/>
      <c r="BY239" s="332"/>
      <c r="BZ239" s="385"/>
      <c r="CA239" s="385"/>
      <c r="CB239" s="385"/>
      <c r="CC239" s="385"/>
      <c r="CD239" s="385"/>
      <c r="CE239" s="332"/>
      <c r="CF239" s="385"/>
      <c r="CG239" s="385"/>
      <c r="CH239" s="385"/>
      <c r="CI239" s="385"/>
      <c r="CJ239" s="385"/>
      <c r="CK239" s="332"/>
      <c r="CL239" s="385"/>
      <c r="CM239" s="385"/>
      <c r="CN239" s="385"/>
      <c r="CO239" s="385"/>
      <c r="CP239" s="385"/>
      <c r="CQ239" s="332"/>
      <c r="CR239" s="385"/>
      <c r="CS239" s="385"/>
      <c r="CT239" s="385"/>
      <c r="CU239" s="385"/>
      <c r="CV239" s="385"/>
      <c r="CW239" s="332"/>
      <c r="CX239" s="385"/>
      <c r="CY239" s="385"/>
      <c r="CZ239" s="385"/>
      <c r="DA239" s="385"/>
      <c r="DB239" s="385"/>
      <c r="DC239" s="332"/>
      <c r="DD239" s="385"/>
      <c r="DE239" s="385"/>
      <c r="DF239" s="385"/>
      <c r="DG239" s="385"/>
      <c r="DH239" s="385"/>
      <c r="DI239" s="332"/>
      <c r="DJ239" s="385"/>
      <c r="DK239" s="385"/>
      <c r="DL239" s="385"/>
      <c r="DM239" s="385"/>
      <c r="DN239" s="385"/>
      <c r="DO239" s="332"/>
      <c r="DP239" s="385"/>
      <c r="DQ239" s="385"/>
      <c r="DR239" s="385"/>
      <c r="DS239" s="385"/>
      <c r="DT239" s="385"/>
      <c r="DU239" s="332"/>
      <c r="DV239" s="385"/>
      <c r="DW239" s="385"/>
      <c r="DX239" s="385"/>
      <c r="DY239" s="385"/>
      <c r="DZ239" s="385"/>
      <c r="EA239" s="332"/>
      <c r="EB239" s="385"/>
      <c r="EC239" s="385"/>
      <c r="ED239" s="385"/>
      <c r="EE239" s="385"/>
      <c r="EF239" s="385"/>
      <c r="EG239" s="332"/>
      <c r="EH239" s="385"/>
      <c r="EI239" s="385"/>
      <c r="EJ239" s="385"/>
      <c r="EK239" s="385"/>
      <c r="EL239" s="385"/>
      <c r="EM239" s="332"/>
      <c r="EN239" s="385"/>
      <c r="EO239" s="385"/>
      <c r="EP239" s="385"/>
      <c r="EQ239" s="385"/>
      <c r="ER239" s="385"/>
      <c r="ES239" s="332"/>
      <c r="ET239" s="385"/>
      <c r="EU239" s="385"/>
      <c r="EV239" s="385"/>
      <c r="EW239" s="385"/>
      <c r="EX239" s="385"/>
      <c r="EY239" s="332"/>
      <c r="EZ239" s="385"/>
      <c r="FA239" s="385"/>
      <c r="FB239" s="385"/>
      <c r="FC239" s="385"/>
      <c r="FD239" s="385"/>
      <c r="FE239" s="332"/>
      <c r="FF239" s="385"/>
      <c r="FG239" s="385"/>
      <c r="FH239" s="385"/>
      <c r="FI239" s="385"/>
      <c r="FJ239" s="385"/>
      <c r="FK239" s="332"/>
      <c r="FL239" s="385"/>
      <c r="FM239" s="385"/>
      <c r="FN239" s="385"/>
      <c r="FO239" s="385"/>
      <c r="FP239" s="385"/>
      <c r="FQ239" s="332"/>
      <c r="FR239" s="385"/>
      <c r="FS239" s="385"/>
      <c r="FT239" s="385"/>
      <c r="FU239" s="385"/>
      <c r="FV239" s="385"/>
      <c r="FW239" s="332"/>
      <c r="FX239" s="385"/>
      <c r="FY239" s="385"/>
      <c r="FZ239" s="385"/>
      <c r="GA239" s="385"/>
      <c r="GB239" s="385"/>
      <c r="GC239" s="332"/>
      <c r="GD239" s="385"/>
      <c r="GE239" s="385"/>
      <c r="GF239" s="385"/>
      <c r="GG239" s="385"/>
      <c r="GH239" s="385"/>
      <c r="GI239" s="332"/>
      <c r="GJ239" s="385"/>
      <c r="GK239" s="385"/>
      <c r="GL239" s="385"/>
      <c r="GM239" s="385"/>
      <c r="GN239" s="385"/>
      <c r="GO239" s="332"/>
      <c r="GP239" s="385"/>
      <c r="GQ239" s="385"/>
      <c r="GR239" s="385"/>
      <c r="GS239" s="385"/>
      <c r="GT239" s="385"/>
      <c r="GU239" s="332"/>
      <c r="GV239" s="385"/>
      <c r="GW239" s="385"/>
      <c r="GX239" s="385"/>
      <c r="GY239" s="385"/>
      <c r="GZ239" s="385"/>
      <c r="HA239" s="332"/>
      <c r="HB239" s="385"/>
      <c r="HC239" s="385"/>
      <c r="HD239" s="385"/>
      <c r="HE239" s="385"/>
      <c r="HF239" s="385"/>
      <c r="HG239" s="332"/>
      <c r="HH239" s="385"/>
      <c r="HI239" s="385"/>
      <c r="HJ239" s="385"/>
      <c r="HK239" s="385"/>
      <c r="HL239" s="385"/>
      <c r="HM239" s="332"/>
      <c r="HN239" s="385"/>
      <c r="HO239" s="385"/>
      <c r="HP239" s="385"/>
      <c r="HQ239" s="385"/>
      <c r="HR239" s="385"/>
      <c r="HS239" s="332"/>
      <c r="HT239" s="385"/>
      <c r="HU239" s="385"/>
      <c r="HV239" s="385"/>
      <c r="HW239" s="385"/>
      <c r="HX239" s="385"/>
      <c r="HY239" s="332"/>
      <c r="HZ239" s="385"/>
      <c r="IA239" s="385"/>
      <c r="IB239" s="385"/>
      <c r="IC239" s="385"/>
      <c r="ID239" s="385"/>
      <c r="IE239" s="332"/>
      <c r="IF239" s="385"/>
      <c r="IG239" s="385"/>
      <c r="IH239" s="385"/>
      <c r="II239" s="385"/>
      <c r="IJ239" s="385"/>
      <c r="IK239" s="332"/>
      <c r="IL239" s="385"/>
      <c r="IM239" s="385"/>
      <c r="IN239" s="385"/>
      <c r="IO239" s="385"/>
      <c r="IP239" s="385"/>
      <c r="IQ239" s="332"/>
      <c r="IR239" s="385"/>
    </row>
    <row r="240" spans="1:252" s="349" customFormat="1" ht="61.5">
      <c r="A240" s="2575" t="s">
        <v>206</v>
      </c>
      <c r="B240" s="2576"/>
      <c r="C240" s="2576"/>
      <c r="D240" s="2576"/>
      <c r="E240" s="2576"/>
      <c r="F240" s="2576"/>
      <c r="G240" s="2577"/>
      <c r="H240" s="908" t="s">
        <v>282</v>
      </c>
      <c r="I240" s="908" t="s">
        <v>1169</v>
      </c>
      <c r="J240" s="908" t="s">
        <v>1170</v>
      </c>
      <c r="K240" s="2572" t="s">
        <v>83</v>
      </c>
      <c r="L240" s="2572"/>
      <c r="M240" s="2573"/>
      <c r="O240" s="385"/>
      <c r="P240" s="2365"/>
      <c r="Q240" s="332"/>
      <c r="R240" s="385"/>
      <c r="S240" s="385"/>
      <c r="T240" s="385"/>
      <c r="U240" s="385"/>
      <c r="V240" s="385"/>
      <c r="W240" s="332"/>
      <c r="X240" s="385"/>
      <c r="Y240" s="385"/>
      <c r="Z240" s="385"/>
      <c r="AA240" s="385"/>
      <c r="AB240" s="385"/>
      <c r="AC240" s="332"/>
      <c r="AD240" s="385"/>
      <c r="AE240" s="385"/>
      <c r="AF240" s="385"/>
      <c r="AG240" s="385"/>
      <c r="AH240" s="385"/>
      <c r="AI240" s="332"/>
      <c r="AJ240" s="385"/>
      <c r="AK240" s="385"/>
      <c r="AL240" s="385"/>
      <c r="AM240" s="385"/>
      <c r="AN240" s="385"/>
      <c r="AO240" s="332"/>
      <c r="AP240" s="385"/>
      <c r="AQ240" s="385"/>
      <c r="AR240" s="385"/>
      <c r="AS240" s="385"/>
      <c r="AT240" s="385"/>
      <c r="AU240" s="332"/>
      <c r="AV240" s="385"/>
      <c r="AW240" s="385"/>
      <c r="AX240" s="385"/>
      <c r="AY240" s="385"/>
      <c r="AZ240" s="385"/>
      <c r="BA240" s="332"/>
      <c r="BB240" s="385"/>
      <c r="BC240" s="385"/>
      <c r="BD240" s="385"/>
      <c r="BE240" s="385"/>
      <c r="BF240" s="385"/>
      <c r="BG240" s="332"/>
      <c r="BH240" s="385"/>
      <c r="BI240" s="385"/>
      <c r="BJ240" s="385"/>
      <c r="BK240" s="385"/>
      <c r="BL240" s="385"/>
      <c r="BM240" s="332"/>
      <c r="BN240" s="385"/>
      <c r="BO240" s="385"/>
      <c r="BP240" s="385"/>
      <c r="BQ240" s="385"/>
      <c r="BR240" s="385"/>
      <c r="BS240" s="332"/>
      <c r="BT240" s="385"/>
      <c r="BU240" s="385"/>
      <c r="BV240" s="385"/>
      <c r="BW240" s="385"/>
      <c r="BX240" s="385"/>
      <c r="BY240" s="332"/>
      <c r="BZ240" s="385"/>
      <c r="CA240" s="385"/>
      <c r="CB240" s="385"/>
      <c r="CC240" s="385"/>
      <c r="CD240" s="385"/>
      <c r="CE240" s="332"/>
      <c r="CF240" s="385"/>
      <c r="CG240" s="385"/>
      <c r="CH240" s="385"/>
      <c r="CI240" s="385"/>
      <c r="CJ240" s="385"/>
      <c r="CK240" s="332"/>
      <c r="CL240" s="385"/>
      <c r="CM240" s="385"/>
      <c r="CN240" s="385"/>
      <c r="CO240" s="385"/>
      <c r="CP240" s="385"/>
      <c r="CQ240" s="332"/>
      <c r="CR240" s="385"/>
      <c r="CS240" s="385"/>
      <c r="CT240" s="385"/>
      <c r="CU240" s="385"/>
      <c r="CV240" s="385"/>
      <c r="CW240" s="332"/>
      <c r="CX240" s="385"/>
      <c r="CY240" s="385"/>
      <c r="CZ240" s="385"/>
      <c r="DA240" s="385"/>
      <c r="DB240" s="385"/>
      <c r="DC240" s="332"/>
      <c r="DD240" s="385"/>
      <c r="DE240" s="385"/>
      <c r="DF240" s="385"/>
      <c r="DG240" s="385"/>
      <c r="DH240" s="385"/>
      <c r="DI240" s="332"/>
      <c r="DJ240" s="385"/>
      <c r="DK240" s="385"/>
      <c r="DL240" s="385"/>
      <c r="DM240" s="385"/>
      <c r="DN240" s="385"/>
      <c r="DO240" s="332"/>
      <c r="DP240" s="385"/>
      <c r="DQ240" s="385"/>
      <c r="DR240" s="385"/>
      <c r="DS240" s="385"/>
      <c r="DT240" s="385"/>
      <c r="DU240" s="332"/>
      <c r="DV240" s="385"/>
      <c r="DW240" s="385"/>
      <c r="DX240" s="385"/>
      <c r="DY240" s="385"/>
      <c r="DZ240" s="385"/>
      <c r="EA240" s="332"/>
      <c r="EB240" s="385"/>
      <c r="EC240" s="385"/>
      <c r="ED240" s="385"/>
      <c r="EE240" s="385"/>
      <c r="EF240" s="385"/>
      <c r="EG240" s="332"/>
      <c r="EH240" s="385"/>
      <c r="EI240" s="385"/>
      <c r="EJ240" s="385"/>
      <c r="EK240" s="385"/>
      <c r="EL240" s="385"/>
      <c r="EM240" s="332"/>
      <c r="EN240" s="385"/>
      <c r="EO240" s="385"/>
      <c r="EP240" s="385"/>
      <c r="EQ240" s="385"/>
      <c r="ER240" s="385"/>
      <c r="ES240" s="332"/>
      <c r="ET240" s="385"/>
      <c r="EU240" s="385"/>
      <c r="EV240" s="385"/>
      <c r="EW240" s="385"/>
      <c r="EX240" s="385"/>
      <c r="EY240" s="332"/>
      <c r="EZ240" s="385"/>
      <c r="FA240" s="385"/>
      <c r="FB240" s="385"/>
      <c r="FC240" s="385"/>
      <c r="FD240" s="385"/>
      <c r="FE240" s="332"/>
      <c r="FF240" s="385"/>
      <c r="FG240" s="385"/>
      <c r="FH240" s="385"/>
      <c r="FI240" s="385"/>
      <c r="FJ240" s="385"/>
      <c r="FK240" s="332"/>
      <c r="FL240" s="385"/>
      <c r="FM240" s="385"/>
      <c r="FN240" s="385"/>
      <c r="FO240" s="385"/>
      <c r="FP240" s="385"/>
      <c r="FQ240" s="332"/>
      <c r="FR240" s="385"/>
      <c r="FS240" s="385"/>
      <c r="FT240" s="385"/>
      <c r="FU240" s="385"/>
      <c r="FV240" s="385"/>
      <c r="FW240" s="332"/>
      <c r="FX240" s="385"/>
      <c r="FY240" s="385"/>
      <c r="FZ240" s="385"/>
      <c r="GA240" s="385"/>
      <c r="GB240" s="385"/>
      <c r="GC240" s="332"/>
      <c r="GD240" s="385"/>
      <c r="GE240" s="385"/>
      <c r="GF240" s="385"/>
      <c r="GG240" s="385"/>
      <c r="GH240" s="385"/>
      <c r="GI240" s="332"/>
      <c r="GJ240" s="385"/>
      <c r="GK240" s="385"/>
      <c r="GL240" s="385"/>
      <c r="GM240" s="385"/>
      <c r="GN240" s="385"/>
      <c r="GO240" s="332"/>
      <c r="GP240" s="385"/>
      <c r="GQ240" s="385"/>
      <c r="GR240" s="385"/>
      <c r="GS240" s="385"/>
      <c r="GT240" s="385"/>
      <c r="GU240" s="332"/>
      <c r="GV240" s="385"/>
      <c r="GW240" s="385"/>
      <c r="GX240" s="385"/>
      <c r="GY240" s="385"/>
      <c r="GZ240" s="385"/>
      <c r="HA240" s="332"/>
      <c r="HB240" s="385"/>
      <c r="HC240" s="385"/>
      <c r="HD240" s="385"/>
      <c r="HE240" s="385"/>
      <c r="HF240" s="385"/>
      <c r="HG240" s="332"/>
      <c r="HH240" s="385"/>
      <c r="HI240" s="385"/>
      <c r="HJ240" s="385"/>
      <c r="HK240" s="385"/>
      <c r="HL240" s="385"/>
      <c r="HM240" s="332"/>
      <c r="HN240" s="385"/>
      <c r="HO240" s="385"/>
      <c r="HP240" s="385"/>
      <c r="HQ240" s="385"/>
      <c r="HR240" s="385"/>
      <c r="HS240" s="332"/>
      <c r="HT240" s="385"/>
      <c r="HU240" s="385"/>
      <c r="HV240" s="385"/>
      <c r="HW240" s="385"/>
      <c r="HX240" s="385"/>
      <c r="HY240" s="332"/>
      <c r="HZ240" s="385"/>
      <c r="IA240" s="385"/>
      <c r="IB240" s="385"/>
      <c r="IC240" s="385"/>
      <c r="ID240" s="385"/>
      <c r="IE240" s="332"/>
      <c r="IF240" s="385"/>
      <c r="IG240" s="385"/>
      <c r="IH240" s="385"/>
      <c r="II240" s="385"/>
      <c r="IJ240" s="385"/>
      <c r="IK240" s="332"/>
      <c r="IL240" s="385"/>
      <c r="IM240" s="385"/>
      <c r="IN240" s="385"/>
      <c r="IO240" s="385"/>
      <c r="IP240" s="385"/>
      <c r="IQ240" s="332"/>
      <c r="IR240" s="385"/>
    </row>
    <row r="241" spans="1:252" s="349" customFormat="1">
      <c r="A241" s="230"/>
      <c r="B241" s="385"/>
      <c r="C241" s="332"/>
      <c r="D241" s="385"/>
      <c r="E241" s="884"/>
      <c r="F241" s="385"/>
      <c r="G241" s="386"/>
      <c r="H241" s="385"/>
      <c r="I241" s="385"/>
      <c r="J241" s="332"/>
      <c r="K241" s="385"/>
      <c r="L241" s="385"/>
      <c r="M241" s="229"/>
      <c r="N241" s="385"/>
      <c r="O241" s="385"/>
      <c r="P241" s="2365"/>
      <c r="Q241" s="332"/>
      <c r="R241" s="385"/>
      <c r="S241" s="385"/>
      <c r="T241" s="385"/>
      <c r="U241" s="385"/>
      <c r="V241" s="385"/>
      <c r="W241" s="332"/>
      <c r="X241" s="385"/>
      <c r="Y241" s="385"/>
      <c r="Z241" s="385"/>
      <c r="AA241" s="385"/>
      <c r="AB241" s="385"/>
      <c r="AC241" s="332"/>
      <c r="AD241" s="385"/>
      <c r="AE241" s="385"/>
      <c r="AF241" s="385"/>
      <c r="AG241" s="385"/>
      <c r="AH241" s="385"/>
      <c r="AI241" s="332"/>
      <c r="AJ241" s="385"/>
      <c r="AK241" s="385"/>
      <c r="AL241" s="385"/>
      <c r="AM241" s="385"/>
      <c r="AN241" s="385"/>
      <c r="AO241" s="332"/>
      <c r="AP241" s="385"/>
      <c r="AQ241" s="385"/>
      <c r="AR241" s="385"/>
      <c r="AS241" s="385"/>
      <c r="AT241" s="385"/>
      <c r="AU241" s="332"/>
      <c r="AV241" s="385"/>
      <c r="AW241" s="385"/>
      <c r="AX241" s="385"/>
      <c r="AY241" s="385"/>
      <c r="AZ241" s="385"/>
      <c r="BA241" s="332"/>
      <c r="BB241" s="385"/>
      <c r="BC241" s="385"/>
      <c r="BD241" s="385"/>
      <c r="BE241" s="385"/>
      <c r="BF241" s="385"/>
      <c r="BG241" s="332"/>
      <c r="BH241" s="385"/>
      <c r="BI241" s="385"/>
      <c r="BJ241" s="385"/>
      <c r="BK241" s="385"/>
      <c r="BL241" s="385"/>
      <c r="BM241" s="332"/>
      <c r="BN241" s="385"/>
      <c r="BO241" s="385"/>
      <c r="BP241" s="385"/>
      <c r="BQ241" s="385"/>
      <c r="BR241" s="385"/>
      <c r="BS241" s="332"/>
      <c r="BT241" s="385"/>
      <c r="BU241" s="385"/>
      <c r="BV241" s="385"/>
      <c r="BW241" s="385"/>
      <c r="BX241" s="385"/>
      <c r="BY241" s="332"/>
      <c r="BZ241" s="385"/>
      <c r="CA241" s="385"/>
      <c r="CB241" s="385"/>
      <c r="CC241" s="385"/>
      <c r="CD241" s="385"/>
      <c r="CE241" s="332"/>
      <c r="CF241" s="385"/>
      <c r="CG241" s="385"/>
      <c r="CH241" s="385"/>
      <c r="CI241" s="385"/>
      <c r="CJ241" s="385"/>
      <c r="CK241" s="332"/>
      <c r="CL241" s="385"/>
      <c r="CM241" s="385"/>
      <c r="CN241" s="385"/>
      <c r="CO241" s="385"/>
      <c r="CP241" s="385"/>
      <c r="CQ241" s="332"/>
      <c r="CR241" s="385"/>
      <c r="CS241" s="385"/>
      <c r="CT241" s="385"/>
      <c r="CU241" s="385"/>
      <c r="CV241" s="385"/>
      <c r="CW241" s="332"/>
      <c r="CX241" s="385"/>
      <c r="CY241" s="385"/>
      <c r="CZ241" s="385"/>
      <c r="DA241" s="385"/>
      <c r="DB241" s="385"/>
      <c r="DC241" s="332"/>
      <c r="DD241" s="385"/>
      <c r="DE241" s="385"/>
      <c r="DF241" s="385"/>
      <c r="DG241" s="385"/>
      <c r="DH241" s="385"/>
      <c r="DI241" s="332"/>
      <c r="DJ241" s="385"/>
      <c r="DK241" s="385"/>
      <c r="DL241" s="385"/>
      <c r="DM241" s="385"/>
      <c r="DN241" s="385"/>
      <c r="DO241" s="332"/>
      <c r="DP241" s="385"/>
      <c r="DQ241" s="385"/>
      <c r="DR241" s="385"/>
      <c r="DS241" s="385"/>
      <c r="DT241" s="385"/>
      <c r="DU241" s="332"/>
      <c r="DV241" s="385"/>
      <c r="DW241" s="385"/>
      <c r="DX241" s="385"/>
      <c r="DY241" s="385"/>
      <c r="DZ241" s="385"/>
      <c r="EA241" s="332"/>
      <c r="EB241" s="385"/>
      <c r="EC241" s="385"/>
      <c r="ED241" s="385"/>
      <c r="EE241" s="385"/>
      <c r="EF241" s="385"/>
      <c r="EG241" s="332"/>
      <c r="EH241" s="385"/>
      <c r="EI241" s="385"/>
      <c r="EJ241" s="385"/>
      <c r="EK241" s="385"/>
      <c r="EL241" s="385"/>
      <c r="EM241" s="332"/>
      <c r="EN241" s="385"/>
      <c r="EO241" s="385"/>
      <c r="EP241" s="385"/>
      <c r="EQ241" s="385"/>
      <c r="ER241" s="385"/>
      <c r="ES241" s="332"/>
      <c r="ET241" s="385"/>
      <c r="EU241" s="385"/>
      <c r="EV241" s="385"/>
      <c r="EW241" s="385"/>
      <c r="EX241" s="385"/>
      <c r="EY241" s="332"/>
      <c r="EZ241" s="385"/>
      <c r="FA241" s="385"/>
      <c r="FB241" s="385"/>
      <c r="FC241" s="385"/>
      <c r="FD241" s="385"/>
      <c r="FE241" s="332"/>
      <c r="FF241" s="385"/>
      <c r="FG241" s="385"/>
      <c r="FH241" s="385"/>
      <c r="FI241" s="385"/>
      <c r="FJ241" s="385"/>
      <c r="FK241" s="332"/>
      <c r="FL241" s="385"/>
      <c r="FM241" s="385"/>
      <c r="FN241" s="385"/>
      <c r="FO241" s="385"/>
      <c r="FP241" s="385"/>
      <c r="FQ241" s="332"/>
      <c r="FR241" s="385"/>
      <c r="FS241" s="385"/>
      <c r="FT241" s="385"/>
      <c r="FU241" s="385"/>
      <c r="FV241" s="385"/>
      <c r="FW241" s="332"/>
      <c r="FX241" s="385"/>
      <c r="FY241" s="385"/>
      <c r="FZ241" s="385"/>
      <c r="GA241" s="385"/>
      <c r="GB241" s="385"/>
      <c r="GC241" s="332"/>
      <c r="GD241" s="385"/>
      <c r="GE241" s="385"/>
      <c r="GF241" s="385"/>
      <c r="GG241" s="385"/>
      <c r="GH241" s="385"/>
      <c r="GI241" s="332"/>
      <c r="GJ241" s="385"/>
      <c r="GK241" s="385"/>
      <c r="GL241" s="385"/>
      <c r="GM241" s="385"/>
      <c r="GN241" s="385"/>
      <c r="GO241" s="332"/>
      <c r="GP241" s="385"/>
      <c r="GQ241" s="385"/>
      <c r="GR241" s="385"/>
      <c r="GS241" s="385"/>
      <c r="GT241" s="385"/>
      <c r="GU241" s="332"/>
      <c r="GV241" s="385"/>
      <c r="GW241" s="385"/>
      <c r="GX241" s="385"/>
      <c r="GY241" s="385"/>
      <c r="GZ241" s="385"/>
      <c r="HA241" s="332"/>
      <c r="HB241" s="385"/>
      <c r="HC241" s="385"/>
      <c r="HD241" s="385"/>
      <c r="HE241" s="385"/>
      <c r="HF241" s="385"/>
      <c r="HG241" s="332"/>
      <c r="HH241" s="385"/>
      <c r="HI241" s="385"/>
      <c r="HJ241" s="385"/>
      <c r="HK241" s="385"/>
      <c r="HL241" s="385"/>
      <c r="HM241" s="332"/>
      <c r="HN241" s="385"/>
      <c r="HO241" s="385"/>
      <c r="HP241" s="385"/>
      <c r="HQ241" s="385"/>
      <c r="HR241" s="385"/>
      <c r="HS241" s="332"/>
      <c r="HT241" s="385"/>
      <c r="HU241" s="385"/>
      <c r="HV241" s="385"/>
      <c r="HW241" s="385"/>
      <c r="HX241" s="385"/>
      <c r="HY241" s="332"/>
      <c r="HZ241" s="385"/>
      <c r="IA241" s="385"/>
      <c r="IB241" s="385"/>
      <c r="IC241" s="385"/>
      <c r="ID241" s="385"/>
      <c r="IE241" s="332"/>
      <c r="IF241" s="385"/>
      <c r="IG241" s="385"/>
      <c r="IH241" s="385"/>
      <c r="II241" s="385"/>
      <c r="IJ241" s="385"/>
      <c r="IK241" s="332"/>
      <c r="IL241" s="385"/>
      <c r="IM241" s="385"/>
      <c r="IN241" s="385"/>
      <c r="IO241" s="385"/>
      <c r="IP241" s="385"/>
      <c r="IQ241" s="332"/>
      <c r="IR241" s="385"/>
    </row>
    <row r="242" spans="1:252" ht="15.75">
      <c r="A242" s="230">
        <f>'Appendix A'!A111</f>
        <v>53</v>
      </c>
      <c r="B242" s="95"/>
      <c r="C242" s="154" t="str">
        <f>'Appendix A'!C111</f>
        <v>Transmission O&amp;M</v>
      </c>
      <c r="D242" s="95"/>
      <c r="E242" s="884"/>
      <c r="F242" s="231"/>
      <c r="G242" s="981" t="s">
        <v>33</v>
      </c>
      <c r="H242" s="1096">
        <f>INDEX(Inputs_EndYrBal,MATCH(G242,Inputs_FF1_Map,0))</f>
        <v>215664453</v>
      </c>
      <c r="I242" s="1128">
        <f>Inputs!E98+Inputs!E99</f>
        <v>-568975.53999999992</v>
      </c>
      <c r="J242" s="1129">
        <f>H242+I242</f>
        <v>215095477.46000001</v>
      </c>
      <c r="K242" s="249"/>
      <c r="L242" s="884"/>
      <c r="M242" s="913"/>
      <c r="N242" s="95"/>
      <c r="O242" s="311"/>
      <c r="P242" s="2365"/>
      <c r="Q242" s="219"/>
      <c r="R242" s="95"/>
      <c r="S242" s="95"/>
      <c r="T242" s="95"/>
      <c r="U242" s="95"/>
      <c r="V242" s="95"/>
      <c r="W242" s="219"/>
      <c r="X242" s="95"/>
      <c r="Y242" s="95"/>
      <c r="Z242" s="95"/>
      <c r="AA242" s="95"/>
      <c r="AB242" s="95"/>
      <c r="AC242" s="219"/>
      <c r="AD242" s="95"/>
      <c r="AE242" s="95"/>
      <c r="AF242" s="95"/>
      <c r="AG242" s="95"/>
      <c r="AH242" s="95"/>
      <c r="AI242" s="219"/>
      <c r="AJ242" s="95"/>
      <c r="AK242" s="95"/>
      <c r="AL242" s="95"/>
      <c r="AM242" s="95"/>
      <c r="AN242" s="95"/>
      <c r="AO242" s="219"/>
      <c r="AP242" s="95"/>
      <c r="AQ242" s="95"/>
      <c r="AR242" s="95"/>
      <c r="AS242" s="95"/>
      <c r="AT242" s="95"/>
      <c r="AU242" s="219"/>
      <c r="AV242" s="95"/>
      <c r="AW242" s="95"/>
      <c r="AX242" s="95"/>
      <c r="AY242" s="95"/>
      <c r="AZ242" s="95"/>
      <c r="BA242" s="219"/>
      <c r="BB242" s="95"/>
      <c r="BC242" s="95"/>
      <c r="BD242" s="95"/>
      <c r="BE242" s="95"/>
      <c r="BF242" s="95"/>
      <c r="BG242" s="219"/>
      <c r="BH242" s="95"/>
      <c r="BI242" s="95"/>
      <c r="BJ242" s="95"/>
      <c r="BK242" s="95"/>
      <c r="BL242" s="95"/>
      <c r="BM242" s="219"/>
      <c r="BN242" s="95"/>
      <c r="BO242" s="95"/>
      <c r="BP242" s="95"/>
      <c r="BQ242" s="95"/>
      <c r="BR242" s="95"/>
      <c r="BS242" s="219"/>
      <c r="BT242" s="95"/>
      <c r="BU242" s="95"/>
      <c r="BV242" s="95"/>
      <c r="BW242" s="95"/>
      <c r="BX242" s="95"/>
      <c r="BY242" s="219"/>
      <c r="BZ242" s="95"/>
      <c r="CA242" s="95"/>
      <c r="CB242" s="95"/>
      <c r="CC242" s="95"/>
      <c r="CD242" s="95"/>
      <c r="CE242" s="219"/>
      <c r="CF242" s="95"/>
      <c r="CG242" s="95"/>
      <c r="CH242" s="95"/>
      <c r="CI242" s="95"/>
      <c r="CJ242" s="95"/>
      <c r="CK242" s="219"/>
      <c r="CL242" s="95"/>
      <c r="CM242" s="95"/>
      <c r="CN242" s="95"/>
      <c r="CO242" s="95"/>
      <c r="CP242" s="95"/>
      <c r="CQ242" s="219"/>
      <c r="CR242" s="95"/>
      <c r="CS242" s="95"/>
      <c r="CT242" s="95"/>
      <c r="CU242" s="95"/>
      <c r="CV242" s="95"/>
      <c r="CW242" s="219"/>
      <c r="CX242" s="95"/>
      <c r="CY242" s="95"/>
      <c r="CZ242" s="95"/>
      <c r="DA242" s="95"/>
      <c r="DB242" s="95"/>
      <c r="DC242" s="219"/>
      <c r="DD242" s="95"/>
      <c r="DE242" s="95"/>
      <c r="DF242" s="95"/>
      <c r="DG242" s="95"/>
      <c r="DH242" s="95"/>
      <c r="DI242" s="219"/>
      <c r="DJ242" s="95"/>
      <c r="DK242" s="95"/>
      <c r="DL242" s="95"/>
      <c r="DM242" s="95"/>
      <c r="DN242" s="95"/>
      <c r="DO242" s="219"/>
      <c r="DP242" s="95"/>
      <c r="DQ242" s="95"/>
      <c r="DR242" s="95"/>
      <c r="DS242" s="95"/>
      <c r="DT242" s="95"/>
      <c r="DU242" s="219"/>
      <c r="DV242" s="95"/>
      <c r="DW242" s="95"/>
      <c r="DX242" s="95"/>
      <c r="DY242" s="95"/>
      <c r="DZ242" s="95"/>
      <c r="EA242" s="219"/>
      <c r="EB242" s="95"/>
      <c r="EC242" s="95"/>
      <c r="ED242" s="95"/>
      <c r="EE242" s="95"/>
      <c r="EF242" s="95"/>
      <c r="EG242" s="219"/>
      <c r="EH242" s="95"/>
      <c r="EI242" s="95"/>
      <c r="EJ242" s="95"/>
      <c r="EK242" s="95"/>
      <c r="EL242" s="95"/>
      <c r="EM242" s="219"/>
      <c r="EN242" s="95"/>
      <c r="EO242" s="95"/>
      <c r="EP242" s="95"/>
      <c r="EQ242" s="95"/>
      <c r="ER242" s="95"/>
      <c r="ES242" s="219"/>
      <c r="ET242" s="95"/>
      <c r="EU242" s="95"/>
      <c r="EV242" s="95"/>
      <c r="EW242" s="95"/>
      <c r="EX242" s="95"/>
      <c r="EY242" s="219"/>
      <c r="EZ242" s="95"/>
      <c r="FA242" s="95"/>
      <c r="FB242" s="95"/>
      <c r="FC242" s="95"/>
      <c r="FD242" s="95"/>
      <c r="FE242" s="219"/>
      <c r="FF242" s="95"/>
      <c r="FG242" s="95"/>
      <c r="FH242" s="95"/>
      <c r="FI242" s="95"/>
      <c r="FJ242" s="95"/>
      <c r="FK242" s="219"/>
      <c r="FL242" s="95"/>
      <c r="FM242" s="95"/>
      <c r="FN242" s="95"/>
      <c r="FO242" s="95"/>
      <c r="FP242" s="95"/>
      <c r="FQ242" s="219"/>
      <c r="FR242" s="95"/>
      <c r="FS242" s="95"/>
      <c r="FT242" s="95"/>
      <c r="FU242" s="95"/>
      <c r="FV242" s="95"/>
      <c r="FW242" s="219"/>
      <c r="FX242" s="95"/>
      <c r="FY242" s="95"/>
      <c r="FZ242" s="95"/>
      <c r="GA242" s="95"/>
      <c r="GB242" s="95"/>
      <c r="GC242" s="219"/>
      <c r="GD242" s="95"/>
      <c r="GE242" s="95"/>
      <c r="GF242" s="95"/>
      <c r="GG242" s="95"/>
      <c r="GH242" s="95"/>
      <c r="GI242" s="219"/>
      <c r="GJ242" s="95"/>
      <c r="GK242" s="95"/>
      <c r="GL242" s="95"/>
      <c r="GM242" s="95"/>
      <c r="GN242" s="95"/>
      <c r="GO242" s="219"/>
      <c r="GP242" s="95"/>
      <c r="GQ242" s="95"/>
      <c r="GR242" s="95"/>
      <c r="GS242" s="95"/>
      <c r="GT242" s="95"/>
      <c r="GU242" s="219"/>
      <c r="GV242" s="95"/>
      <c r="GW242" s="95"/>
      <c r="GX242" s="95"/>
      <c r="GY242" s="95"/>
      <c r="GZ242" s="95"/>
      <c r="HA242" s="219"/>
      <c r="HB242" s="95"/>
      <c r="HC242" s="95"/>
      <c r="HD242" s="95"/>
      <c r="HE242" s="95"/>
      <c r="HF242" s="95"/>
      <c r="HG242" s="219"/>
      <c r="HH242" s="95"/>
      <c r="HI242" s="95"/>
      <c r="HJ242" s="95"/>
      <c r="HK242" s="95"/>
      <c r="HL242" s="95"/>
      <c r="HM242" s="219"/>
      <c r="HN242" s="95"/>
      <c r="HO242" s="95"/>
      <c r="HP242" s="95"/>
      <c r="HQ242" s="95"/>
      <c r="HR242" s="95"/>
      <c r="HS242" s="219"/>
      <c r="HT242" s="95"/>
      <c r="HU242" s="95"/>
      <c r="HV242" s="95"/>
      <c r="HW242" s="95"/>
      <c r="HX242" s="95"/>
      <c r="HY242" s="219"/>
      <c r="HZ242" s="95"/>
      <c r="IA242" s="95"/>
      <c r="IB242" s="95"/>
      <c r="IC242" s="95"/>
      <c r="ID242" s="95"/>
      <c r="IE242" s="219"/>
      <c r="IF242" s="95"/>
      <c r="IG242" s="95"/>
      <c r="IH242" s="95"/>
      <c r="II242" s="95"/>
      <c r="IJ242" s="95"/>
      <c r="IK242" s="219"/>
      <c r="IL242" s="95"/>
      <c r="IM242" s="95"/>
      <c r="IN242" s="95"/>
      <c r="IO242" s="95"/>
      <c r="IP242" s="95"/>
      <c r="IQ242" s="219"/>
      <c r="IR242" s="95"/>
    </row>
    <row r="243" spans="1:252" s="349" customFormat="1">
      <c r="A243" s="230"/>
      <c r="B243" s="884"/>
      <c r="C243" s="332"/>
      <c r="D243" s="884"/>
      <c r="E243" s="884"/>
      <c r="F243" s="231"/>
      <c r="G243" s="1121"/>
      <c r="H243" s="626"/>
      <c r="I243" s="1130"/>
      <c r="J243" s="631"/>
      <c r="K243" s="249"/>
      <c r="L243" s="884"/>
      <c r="M243" s="913"/>
      <c r="N243" s="884"/>
      <c r="O243" s="311"/>
      <c r="P243" s="2365"/>
      <c r="Q243" s="332"/>
      <c r="R243" s="884"/>
      <c r="S243" s="884"/>
      <c r="T243" s="884"/>
      <c r="U243" s="884"/>
      <c r="V243" s="884"/>
      <c r="W243" s="332"/>
      <c r="X243" s="884"/>
      <c r="Y243" s="884"/>
      <c r="Z243" s="884"/>
      <c r="AA243" s="884"/>
      <c r="AB243" s="884"/>
      <c r="AC243" s="332"/>
      <c r="AD243" s="884"/>
      <c r="AE243" s="884"/>
      <c r="AF243" s="884"/>
      <c r="AG243" s="884"/>
      <c r="AH243" s="884"/>
      <c r="AI243" s="332"/>
      <c r="AJ243" s="884"/>
      <c r="AK243" s="884"/>
      <c r="AL243" s="884"/>
      <c r="AM243" s="884"/>
      <c r="AN243" s="884"/>
      <c r="AO243" s="332"/>
      <c r="AP243" s="884"/>
      <c r="AQ243" s="884"/>
      <c r="AR243" s="884"/>
      <c r="AS243" s="884"/>
      <c r="AT243" s="884"/>
      <c r="AU243" s="332"/>
      <c r="AV243" s="884"/>
      <c r="AW243" s="884"/>
      <c r="AX243" s="884"/>
      <c r="AY243" s="884"/>
      <c r="AZ243" s="884"/>
      <c r="BA243" s="332"/>
      <c r="BB243" s="884"/>
      <c r="BC243" s="884"/>
      <c r="BD243" s="884"/>
      <c r="BE243" s="884"/>
      <c r="BF243" s="884"/>
      <c r="BG243" s="332"/>
      <c r="BH243" s="884"/>
      <c r="BI243" s="884"/>
      <c r="BJ243" s="884"/>
      <c r="BK243" s="884"/>
      <c r="BL243" s="884"/>
      <c r="BM243" s="332"/>
      <c r="BN243" s="884"/>
      <c r="BO243" s="884"/>
      <c r="BP243" s="884"/>
      <c r="BQ243" s="884"/>
      <c r="BR243" s="884"/>
      <c r="BS243" s="332"/>
      <c r="BT243" s="884"/>
      <c r="BU243" s="884"/>
      <c r="BV243" s="884"/>
      <c r="BW243" s="884"/>
      <c r="BX243" s="884"/>
      <c r="BY243" s="332"/>
      <c r="BZ243" s="884"/>
      <c r="CA243" s="884"/>
      <c r="CB243" s="884"/>
      <c r="CC243" s="884"/>
      <c r="CD243" s="884"/>
      <c r="CE243" s="332"/>
      <c r="CF243" s="884"/>
      <c r="CG243" s="884"/>
      <c r="CH243" s="884"/>
      <c r="CI243" s="884"/>
      <c r="CJ243" s="884"/>
      <c r="CK243" s="332"/>
      <c r="CL243" s="884"/>
      <c r="CM243" s="884"/>
      <c r="CN243" s="884"/>
      <c r="CO243" s="884"/>
      <c r="CP243" s="884"/>
      <c r="CQ243" s="332"/>
      <c r="CR243" s="884"/>
      <c r="CS243" s="884"/>
      <c r="CT243" s="884"/>
      <c r="CU243" s="884"/>
      <c r="CV243" s="884"/>
      <c r="CW243" s="332"/>
      <c r="CX243" s="884"/>
      <c r="CY243" s="884"/>
      <c r="CZ243" s="884"/>
      <c r="DA243" s="884"/>
      <c r="DB243" s="884"/>
      <c r="DC243" s="332"/>
      <c r="DD243" s="884"/>
      <c r="DE243" s="884"/>
      <c r="DF243" s="884"/>
      <c r="DG243" s="884"/>
      <c r="DH243" s="884"/>
      <c r="DI243" s="332"/>
      <c r="DJ243" s="884"/>
      <c r="DK243" s="884"/>
      <c r="DL243" s="884"/>
      <c r="DM243" s="884"/>
      <c r="DN243" s="884"/>
      <c r="DO243" s="332"/>
      <c r="DP243" s="884"/>
      <c r="DQ243" s="884"/>
      <c r="DR243" s="884"/>
      <c r="DS243" s="884"/>
      <c r="DT243" s="884"/>
      <c r="DU243" s="332"/>
      <c r="DV243" s="884"/>
      <c r="DW243" s="884"/>
      <c r="DX243" s="884"/>
      <c r="DY243" s="884"/>
      <c r="DZ243" s="884"/>
      <c r="EA243" s="332"/>
      <c r="EB243" s="884"/>
      <c r="EC243" s="884"/>
      <c r="ED243" s="884"/>
      <c r="EE243" s="884"/>
      <c r="EF243" s="884"/>
      <c r="EG243" s="332"/>
      <c r="EH243" s="884"/>
      <c r="EI243" s="884"/>
      <c r="EJ243" s="884"/>
      <c r="EK243" s="884"/>
      <c r="EL243" s="884"/>
      <c r="EM243" s="332"/>
      <c r="EN243" s="884"/>
      <c r="EO243" s="884"/>
      <c r="EP243" s="884"/>
      <c r="EQ243" s="884"/>
      <c r="ER243" s="884"/>
      <c r="ES243" s="332"/>
      <c r="ET243" s="884"/>
      <c r="EU243" s="884"/>
      <c r="EV243" s="884"/>
      <c r="EW243" s="884"/>
      <c r="EX243" s="884"/>
      <c r="EY243" s="332"/>
      <c r="EZ243" s="884"/>
      <c r="FA243" s="884"/>
      <c r="FB243" s="884"/>
      <c r="FC243" s="884"/>
      <c r="FD243" s="884"/>
      <c r="FE243" s="332"/>
      <c r="FF243" s="884"/>
      <c r="FG243" s="884"/>
      <c r="FH243" s="884"/>
      <c r="FI243" s="884"/>
      <c r="FJ243" s="884"/>
      <c r="FK243" s="332"/>
      <c r="FL243" s="884"/>
      <c r="FM243" s="884"/>
      <c r="FN243" s="884"/>
      <c r="FO243" s="884"/>
      <c r="FP243" s="884"/>
      <c r="FQ243" s="332"/>
      <c r="FR243" s="884"/>
      <c r="FS243" s="884"/>
      <c r="FT243" s="884"/>
      <c r="FU243" s="884"/>
      <c r="FV243" s="884"/>
      <c r="FW243" s="332"/>
      <c r="FX243" s="884"/>
      <c r="FY243" s="884"/>
      <c r="FZ243" s="884"/>
      <c r="GA243" s="884"/>
      <c r="GB243" s="884"/>
      <c r="GC243" s="332"/>
      <c r="GD243" s="884"/>
      <c r="GE243" s="884"/>
      <c r="GF243" s="884"/>
      <c r="GG243" s="884"/>
      <c r="GH243" s="884"/>
      <c r="GI243" s="332"/>
      <c r="GJ243" s="884"/>
      <c r="GK243" s="884"/>
      <c r="GL243" s="884"/>
      <c r="GM243" s="884"/>
      <c r="GN243" s="884"/>
      <c r="GO243" s="332"/>
      <c r="GP243" s="884"/>
      <c r="GQ243" s="884"/>
      <c r="GR243" s="884"/>
      <c r="GS243" s="884"/>
      <c r="GT243" s="884"/>
      <c r="GU243" s="332"/>
      <c r="GV243" s="884"/>
      <c r="GW243" s="884"/>
      <c r="GX243" s="884"/>
      <c r="GY243" s="884"/>
      <c r="GZ243" s="884"/>
      <c r="HA243" s="332"/>
      <c r="HB243" s="884"/>
      <c r="HC243" s="884"/>
      <c r="HD243" s="884"/>
      <c r="HE243" s="884"/>
      <c r="HF243" s="884"/>
      <c r="HG243" s="332"/>
      <c r="HH243" s="884"/>
      <c r="HI243" s="884"/>
      <c r="HJ243" s="884"/>
      <c r="HK243" s="884"/>
      <c r="HL243" s="884"/>
      <c r="HM243" s="332"/>
      <c r="HN243" s="884"/>
      <c r="HO243" s="884"/>
      <c r="HP243" s="884"/>
      <c r="HQ243" s="884"/>
      <c r="HR243" s="884"/>
      <c r="HS243" s="332"/>
      <c r="HT243" s="884"/>
      <c r="HU243" s="884"/>
      <c r="HV243" s="884"/>
      <c r="HW243" s="884"/>
      <c r="HX243" s="884"/>
      <c r="HY243" s="332"/>
      <c r="HZ243" s="884"/>
      <c r="IA243" s="884"/>
      <c r="IB243" s="884"/>
      <c r="IC243" s="884"/>
      <c r="ID243" s="884"/>
      <c r="IE243" s="332"/>
      <c r="IF243" s="884"/>
      <c r="IG243" s="884"/>
      <c r="IH243" s="884"/>
      <c r="II243" s="884"/>
      <c r="IJ243" s="884"/>
      <c r="IK243" s="332"/>
      <c r="IL243" s="884"/>
      <c r="IM243" s="884"/>
      <c r="IN243" s="884"/>
      <c r="IO243" s="884"/>
      <c r="IP243" s="884"/>
      <c r="IQ243" s="332"/>
      <c r="IR243" s="884"/>
    </row>
    <row r="244" spans="1:252" s="349" customFormat="1" ht="15.75">
      <c r="A244" s="230"/>
      <c r="B244" s="884"/>
      <c r="C244" s="17" t="s">
        <v>1168</v>
      </c>
      <c r="D244" s="884"/>
      <c r="E244" s="884"/>
      <c r="F244" s="231"/>
      <c r="G244" s="1121"/>
      <c r="H244" s="626"/>
      <c r="I244" s="1130"/>
      <c r="J244" s="631"/>
      <c r="K244" s="249"/>
      <c r="L244" s="884"/>
      <c r="M244" s="913"/>
      <c r="N244" s="884"/>
      <c r="O244" s="311"/>
      <c r="P244" s="2365"/>
      <c r="Q244" s="332"/>
      <c r="R244" s="884"/>
      <c r="S244" s="884"/>
      <c r="T244" s="884"/>
      <c r="U244" s="884"/>
      <c r="V244" s="884"/>
      <c r="W244" s="332"/>
      <c r="X244" s="884"/>
      <c r="Y244" s="884"/>
      <c r="Z244" s="884"/>
      <c r="AA244" s="884"/>
      <c r="AB244" s="884"/>
      <c r="AC244" s="332"/>
      <c r="AD244" s="884"/>
      <c r="AE244" s="884"/>
      <c r="AF244" s="884"/>
      <c r="AG244" s="884"/>
      <c r="AH244" s="884"/>
      <c r="AI244" s="332"/>
      <c r="AJ244" s="884"/>
      <c r="AK244" s="884"/>
      <c r="AL244" s="884"/>
      <c r="AM244" s="884"/>
      <c r="AN244" s="884"/>
      <c r="AO244" s="332"/>
      <c r="AP244" s="884"/>
      <c r="AQ244" s="884"/>
      <c r="AR244" s="884"/>
      <c r="AS244" s="884"/>
      <c r="AT244" s="884"/>
      <c r="AU244" s="332"/>
      <c r="AV244" s="884"/>
      <c r="AW244" s="884"/>
      <c r="AX244" s="884"/>
      <c r="AY244" s="884"/>
      <c r="AZ244" s="884"/>
      <c r="BA244" s="332"/>
      <c r="BB244" s="884"/>
      <c r="BC244" s="884"/>
      <c r="BD244" s="884"/>
      <c r="BE244" s="884"/>
      <c r="BF244" s="884"/>
      <c r="BG244" s="332"/>
      <c r="BH244" s="884"/>
      <c r="BI244" s="884"/>
      <c r="BJ244" s="884"/>
      <c r="BK244" s="884"/>
      <c r="BL244" s="884"/>
      <c r="BM244" s="332"/>
      <c r="BN244" s="884"/>
      <c r="BO244" s="884"/>
      <c r="BP244" s="884"/>
      <c r="BQ244" s="884"/>
      <c r="BR244" s="884"/>
      <c r="BS244" s="332"/>
      <c r="BT244" s="884"/>
      <c r="BU244" s="884"/>
      <c r="BV244" s="884"/>
      <c r="BW244" s="884"/>
      <c r="BX244" s="884"/>
      <c r="BY244" s="332"/>
      <c r="BZ244" s="884"/>
      <c r="CA244" s="884"/>
      <c r="CB244" s="884"/>
      <c r="CC244" s="884"/>
      <c r="CD244" s="884"/>
      <c r="CE244" s="332"/>
      <c r="CF244" s="884"/>
      <c r="CG244" s="884"/>
      <c r="CH244" s="884"/>
      <c r="CI244" s="884"/>
      <c r="CJ244" s="884"/>
      <c r="CK244" s="332"/>
      <c r="CL244" s="884"/>
      <c r="CM244" s="884"/>
      <c r="CN244" s="884"/>
      <c r="CO244" s="884"/>
      <c r="CP244" s="884"/>
      <c r="CQ244" s="332"/>
      <c r="CR244" s="884"/>
      <c r="CS244" s="884"/>
      <c r="CT244" s="884"/>
      <c r="CU244" s="884"/>
      <c r="CV244" s="884"/>
      <c r="CW244" s="332"/>
      <c r="CX244" s="884"/>
      <c r="CY244" s="884"/>
      <c r="CZ244" s="884"/>
      <c r="DA244" s="884"/>
      <c r="DB244" s="884"/>
      <c r="DC244" s="332"/>
      <c r="DD244" s="884"/>
      <c r="DE244" s="884"/>
      <c r="DF244" s="884"/>
      <c r="DG244" s="884"/>
      <c r="DH244" s="884"/>
      <c r="DI244" s="332"/>
      <c r="DJ244" s="884"/>
      <c r="DK244" s="884"/>
      <c r="DL244" s="884"/>
      <c r="DM244" s="884"/>
      <c r="DN244" s="884"/>
      <c r="DO244" s="332"/>
      <c r="DP244" s="884"/>
      <c r="DQ244" s="884"/>
      <c r="DR244" s="884"/>
      <c r="DS244" s="884"/>
      <c r="DT244" s="884"/>
      <c r="DU244" s="332"/>
      <c r="DV244" s="884"/>
      <c r="DW244" s="884"/>
      <c r="DX244" s="884"/>
      <c r="DY244" s="884"/>
      <c r="DZ244" s="884"/>
      <c r="EA244" s="332"/>
      <c r="EB244" s="884"/>
      <c r="EC244" s="884"/>
      <c r="ED244" s="884"/>
      <c r="EE244" s="884"/>
      <c r="EF244" s="884"/>
      <c r="EG244" s="332"/>
      <c r="EH244" s="884"/>
      <c r="EI244" s="884"/>
      <c r="EJ244" s="884"/>
      <c r="EK244" s="884"/>
      <c r="EL244" s="884"/>
      <c r="EM244" s="332"/>
      <c r="EN244" s="884"/>
      <c r="EO244" s="884"/>
      <c r="EP244" s="884"/>
      <c r="EQ244" s="884"/>
      <c r="ER244" s="884"/>
      <c r="ES244" s="332"/>
      <c r="ET244" s="884"/>
      <c r="EU244" s="884"/>
      <c r="EV244" s="884"/>
      <c r="EW244" s="884"/>
      <c r="EX244" s="884"/>
      <c r="EY244" s="332"/>
      <c r="EZ244" s="884"/>
      <c r="FA244" s="884"/>
      <c r="FB244" s="884"/>
      <c r="FC244" s="884"/>
      <c r="FD244" s="884"/>
      <c r="FE244" s="332"/>
      <c r="FF244" s="884"/>
      <c r="FG244" s="884"/>
      <c r="FH244" s="884"/>
      <c r="FI244" s="884"/>
      <c r="FJ244" s="884"/>
      <c r="FK244" s="332"/>
      <c r="FL244" s="884"/>
      <c r="FM244" s="884"/>
      <c r="FN244" s="884"/>
      <c r="FO244" s="884"/>
      <c r="FP244" s="884"/>
      <c r="FQ244" s="332"/>
      <c r="FR244" s="884"/>
      <c r="FS244" s="884"/>
      <c r="FT244" s="884"/>
      <c r="FU244" s="884"/>
      <c r="FV244" s="884"/>
      <c r="FW244" s="332"/>
      <c r="FX244" s="884"/>
      <c r="FY244" s="884"/>
      <c r="FZ244" s="884"/>
      <c r="GA244" s="884"/>
      <c r="GB244" s="884"/>
      <c r="GC244" s="332"/>
      <c r="GD244" s="884"/>
      <c r="GE244" s="884"/>
      <c r="GF244" s="884"/>
      <c r="GG244" s="884"/>
      <c r="GH244" s="884"/>
      <c r="GI244" s="332"/>
      <c r="GJ244" s="884"/>
      <c r="GK244" s="884"/>
      <c r="GL244" s="884"/>
      <c r="GM244" s="884"/>
      <c r="GN244" s="884"/>
      <c r="GO244" s="332"/>
      <c r="GP244" s="884"/>
      <c r="GQ244" s="884"/>
      <c r="GR244" s="884"/>
      <c r="GS244" s="884"/>
      <c r="GT244" s="884"/>
      <c r="GU244" s="332"/>
      <c r="GV244" s="884"/>
      <c r="GW244" s="884"/>
      <c r="GX244" s="884"/>
      <c r="GY244" s="884"/>
      <c r="GZ244" s="884"/>
      <c r="HA244" s="332"/>
      <c r="HB244" s="884"/>
      <c r="HC244" s="884"/>
      <c r="HD244" s="884"/>
      <c r="HE244" s="884"/>
      <c r="HF244" s="884"/>
      <c r="HG244" s="332"/>
      <c r="HH244" s="884"/>
      <c r="HI244" s="884"/>
      <c r="HJ244" s="884"/>
      <c r="HK244" s="884"/>
      <c r="HL244" s="884"/>
      <c r="HM244" s="332"/>
      <c r="HN244" s="884"/>
      <c r="HO244" s="884"/>
      <c r="HP244" s="884"/>
      <c r="HQ244" s="884"/>
      <c r="HR244" s="884"/>
      <c r="HS244" s="332"/>
      <c r="HT244" s="884"/>
      <c r="HU244" s="884"/>
      <c r="HV244" s="884"/>
      <c r="HW244" s="884"/>
      <c r="HX244" s="884"/>
      <c r="HY244" s="332"/>
      <c r="HZ244" s="884"/>
      <c r="IA244" s="884"/>
      <c r="IB244" s="884"/>
      <c r="IC244" s="884"/>
      <c r="ID244" s="884"/>
      <c r="IE244" s="332"/>
      <c r="IF244" s="884"/>
      <c r="IG244" s="884"/>
      <c r="IH244" s="884"/>
      <c r="II244" s="884"/>
      <c r="IJ244" s="884"/>
      <c r="IK244" s="332"/>
      <c r="IL244" s="884"/>
      <c r="IM244" s="884"/>
      <c r="IN244" s="884"/>
      <c r="IO244" s="884"/>
      <c r="IP244" s="884"/>
      <c r="IQ244" s="332"/>
      <c r="IR244" s="884"/>
    </row>
    <row r="245" spans="1:252" s="349" customFormat="1">
      <c r="A245" s="230"/>
      <c r="B245" s="884"/>
      <c r="C245" s="469" t="s">
        <v>1166</v>
      </c>
      <c r="D245" s="884"/>
      <c r="E245" s="884"/>
      <c r="F245" s="231"/>
      <c r="G245" s="981" t="s">
        <v>641</v>
      </c>
      <c r="H245" s="1096">
        <f t="shared" ref="H245:H250" si="12">INDEX(Inputs_EndYrBal,MATCH(G245,Inputs_FF1_Map,0))</f>
        <v>0</v>
      </c>
      <c r="I245" s="1130"/>
      <c r="J245" s="631"/>
      <c r="K245" s="249"/>
      <c r="L245" s="884"/>
      <c r="M245" s="913"/>
      <c r="N245" s="884"/>
      <c r="O245" s="311"/>
      <c r="P245" s="2365"/>
      <c r="Q245" s="332"/>
      <c r="R245" s="884"/>
      <c r="S245" s="884"/>
      <c r="T245" s="884"/>
      <c r="U245" s="884"/>
      <c r="V245" s="884"/>
      <c r="W245" s="332"/>
      <c r="X245" s="884"/>
      <c r="Y245" s="884"/>
      <c r="Z245" s="884"/>
      <c r="AA245" s="884"/>
      <c r="AB245" s="884"/>
      <c r="AC245" s="332"/>
      <c r="AD245" s="884"/>
      <c r="AE245" s="884"/>
      <c r="AF245" s="884"/>
      <c r="AG245" s="884"/>
      <c r="AH245" s="884"/>
      <c r="AI245" s="332"/>
      <c r="AJ245" s="884"/>
      <c r="AK245" s="884"/>
      <c r="AL245" s="884"/>
      <c r="AM245" s="884"/>
      <c r="AN245" s="884"/>
      <c r="AO245" s="332"/>
      <c r="AP245" s="884"/>
      <c r="AQ245" s="884"/>
      <c r="AR245" s="884"/>
      <c r="AS245" s="884"/>
      <c r="AT245" s="884"/>
      <c r="AU245" s="332"/>
      <c r="AV245" s="884"/>
      <c r="AW245" s="884"/>
      <c r="AX245" s="884"/>
      <c r="AY245" s="884"/>
      <c r="AZ245" s="884"/>
      <c r="BA245" s="332"/>
      <c r="BB245" s="884"/>
      <c r="BC245" s="884"/>
      <c r="BD245" s="884"/>
      <c r="BE245" s="884"/>
      <c r="BF245" s="884"/>
      <c r="BG245" s="332"/>
      <c r="BH245" s="884"/>
      <c r="BI245" s="884"/>
      <c r="BJ245" s="884"/>
      <c r="BK245" s="884"/>
      <c r="BL245" s="884"/>
      <c r="BM245" s="332"/>
      <c r="BN245" s="884"/>
      <c r="BO245" s="884"/>
      <c r="BP245" s="884"/>
      <c r="BQ245" s="884"/>
      <c r="BR245" s="884"/>
      <c r="BS245" s="332"/>
      <c r="BT245" s="884"/>
      <c r="BU245" s="884"/>
      <c r="BV245" s="884"/>
      <c r="BW245" s="884"/>
      <c r="BX245" s="884"/>
      <c r="BY245" s="332"/>
      <c r="BZ245" s="884"/>
      <c r="CA245" s="884"/>
      <c r="CB245" s="884"/>
      <c r="CC245" s="884"/>
      <c r="CD245" s="884"/>
      <c r="CE245" s="332"/>
      <c r="CF245" s="884"/>
      <c r="CG245" s="884"/>
      <c r="CH245" s="884"/>
      <c r="CI245" s="884"/>
      <c r="CJ245" s="884"/>
      <c r="CK245" s="332"/>
      <c r="CL245" s="884"/>
      <c r="CM245" s="884"/>
      <c r="CN245" s="884"/>
      <c r="CO245" s="884"/>
      <c r="CP245" s="884"/>
      <c r="CQ245" s="332"/>
      <c r="CR245" s="884"/>
      <c r="CS245" s="884"/>
      <c r="CT245" s="884"/>
      <c r="CU245" s="884"/>
      <c r="CV245" s="884"/>
      <c r="CW245" s="332"/>
      <c r="CX245" s="884"/>
      <c r="CY245" s="884"/>
      <c r="CZ245" s="884"/>
      <c r="DA245" s="884"/>
      <c r="DB245" s="884"/>
      <c r="DC245" s="332"/>
      <c r="DD245" s="884"/>
      <c r="DE245" s="884"/>
      <c r="DF245" s="884"/>
      <c r="DG245" s="884"/>
      <c r="DH245" s="884"/>
      <c r="DI245" s="332"/>
      <c r="DJ245" s="884"/>
      <c r="DK245" s="884"/>
      <c r="DL245" s="884"/>
      <c r="DM245" s="884"/>
      <c r="DN245" s="884"/>
      <c r="DO245" s="332"/>
      <c r="DP245" s="884"/>
      <c r="DQ245" s="884"/>
      <c r="DR245" s="884"/>
      <c r="DS245" s="884"/>
      <c r="DT245" s="884"/>
      <c r="DU245" s="332"/>
      <c r="DV245" s="884"/>
      <c r="DW245" s="884"/>
      <c r="DX245" s="884"/>
      <c r="DY245" s="884"/>
      <c r="DZ245" s="884"/>
      <c r="EA245" s="332"/>
      <c r="EB245" s="884"/>
      <c r="EC245" s="884"/>
      <c r="ED245" s="884"/>
      <c r="EE245" s="884"/>
      <c r="EF245" s="884"/>
      <c r="EG245" s="332"/>
      <c r="EH245" s="884"/>
      <c r="EI245" s="884"/>
      <c r="EJ245" s="884"/>
      <c r="EK245" s="884"/>
      <c r="EL245" s="884"/>
      <c r="EM245" s="332"/>
      <c r="EN245" s="884"/>
      <c r="EO245" s="884"/>
      <c r="EP245" s="884"/>
      <c r="EQ245" s="884"/>
      <c r="ER245" s="884"/>
      <c r="ES245" s="332"/>
      <c r="ET245" s="884"/>
      <c r="EU245" s="884"/>
      <c r="EV245" s="884"/>
      <c r="EW245" s="884"/>
      <c r="EX245" s="884"/>
      <c r="EY245" s="332"/>
      <c r="EZ245" s="884"/>
      <c r="FA245" s="884"/>
      <c r="FB245" s="884"/>
      <c r="FC245" s="884"/>
      <c r="FD245" s="884"/>
      <c r="FE245" s="332"/>
      <c r="FF245" s="884"/>
      <c r="FG245" s="884"/>
      <c r="FH245" s="884"/>
      <c r="FI245" s="884"/>
      <c r="FJ245" s="884"/>
      <c r="FK245" s="332"/>
      <c r="FL245" s="884"/>
      <c r="FM245" s="884"/>
      <c r="FN245" s="884"/>
      <c r="FO245" s="884"/>
      <c r="FP245" s="884"/>
      <c r="FQ245" s="332"/>
      <c r="FR245" s="884"/>
      <c r="FS245" s="884"/>
      <c r="FT245" s="884"/>
      <c r="FU245" s="884"/>
      <c r="FV245" s="884"/>
      <c r="FW245" s="332"/>
      <c r="FX245" s="884"/>
      <c r="FY245" s="884"/>
      <c r="FZ245" s="884"/>
      <c r="GA245" s="884"/>
      <c r="GB245" s="884"/>
      <c r="GC245" s="332"/>
      <c r="GD245" s="884"/>
      <c r="GE245" s="884"/>
      <c r="GF245" s="884"/>
      <c r="GG245" s="884"/>
      <c r="GH245" s="884"/>
      <c r="GI245" s="332"/>
      <c r="GJ245" s="884"/>
      <c r="GK245" s="884"/>
      <c r="GL245" s="884"/>
      <c r="GM245" s="884"/>
      <c r="GN245" s="884"/>
      <c r="GO245" s="332"/>
      <c r="GP245" s="884"/>
      <c r="GQ245" s="884"/>
      <c r="GR245" s="884"/>
      <c r="GS245" s="884"/>
      <c r="GT245" s="884"/>
      <c r="GU245" s="332"/>
      <c r="GV245" s="884"/>
      <c r="GW245" s="884"/>
      <c r="GX245" s="884"/>
      <c r="GY245" s="884"/>
      <c r="GZ245" s="884"/>
      <c r="HA245" s="332"/>
      <c r="HB245" s="884"/>
      <c r="HC245" s="884"/>
      <c r="HD245" s="884"/>
      <c r="HE245" s="884"/>
      <c r="HF245" s="884"/>
      <c r="HG245" s="332"/>
      <c r="HH245" s="884"/>
      <c r="HI245" s="884"/>
      <c r="HJ245" s="884"/>
      <c r="HK245" s="884"/>
      <c r="HL245" s="884"/>
      <c r="HM245" s="332"/>
      <c r="HN245" s="884"/>
      <c r="HO245" s="884"/>
      <c r="HP245" s="884"/>
      <c r="HQ245" s="884"/>
      <c r="HR245" s="884"/>
      <c r="HS245" s="332"/>
      <c r="HT245" s="884"/>
      <c r="HU245" s="884"/>
      <c r="HV245" s="884"/>
      <c r="HW245" s="884"/>
      <c r="HX245" s="884"/>
      <c r="HY245" s="332"/>
      <c r="HZ245" s="884"/>
      <c r="IA245" s="884"/>
      <c r="IB245" s="884"/>
      <c r="IC245" s="884"/>
      <c r="ID245" s="884"/>
      <c r="IE245" s="332"/>
      <c r="IF245" s="884"/>
      <c r="IG245" s="884"/>
      <c r="IH245" s="884"/>
      <c r="II245" s="884"/>
      <c r="IJ245" s="884"/>
      <c r="IK245" s="332"/>
      <c r="IL245" s="884"/>
      <c r="IM245" s="884"/>
      <c r="IN245" s="884"/>
      <c r="IO245" s="884"/>
      <c r="IP245" s="884"/>
      <c r="IQ245" s="332"/>
      <c r="IR245" s="884"/>
    </row>
    <row r="246" spans="1:252" s="349" customFormat="1">
      <c r="A246" s="230"/>
      <c r="B246" s="884"/>
      <c r="C246" s="469" t="s">
        <v>1073</v>
      </c>
      <c r="D246" s="884"/>
      <c r="E246" s="884"/>
      <c r="F246" s="231"/>
      <c r="G246" s="981" t="s">
        <v>1167</v>
      </c>
      <c r="H246" s="1096">
        <f t="shared" si="12"/>
        <v>0</v>
      </c>
      <c r="I246" s="1130"/>
      <c r="J246" s="631"/>
      <c r="K246" s="249"/>
      <c r="L246" s="884"/>
      <c r="M246" s="913"/>
      <c r="N246" s="884"/>
      <c r="O246" s="311"/>
      <c r="P246" s="2365"/>
      <c r="Q246" s="332"/>
      <c r="R246" s="884"/>
      <c r="S246" s="884"/>
      <c r="T246" s="884"/>
      <c r="U246" s="884"/>
      <c r="V246" s="884"/>
      <c r="W246" s="332"/>
      <c r="X246" s="884"/>
      <c r="Y246" s="884"/>
      <c r="Z246" s="884"/>
      <c r="AA246" s="884"/>
      <c r="AB246" s="884"/>
      <c r="AC246" s="332"/>
      <c r="AD246" s="884"/>
      <c r="AE246" s="884"/>
      <c r="AF246" s="884"/>
      <c r="AG246" s="884"/>
      <c r="AH246" s="884"/>
      <c r="AI246" s="332"/>
      <c r="AJ246" s="884"/>
      <c r="AK246" s="884"/>
      <c r="AL246" s="884"/>
      <c r="AM246" s="884"/>
      <c r="AN246" s="884"/>
      <c r="AO246" s="332"/>
      <c r="AP246" s="884"/>
      <c r="AQ246" s="884"/>
      <c r="AR246" s="884"/>
      <c r="AS246" s="884"/>
      <c r="AT246" s="884"/>
      <c r="AU246" s="332"/>
      <c r="AV246" s="884"/>
      <c r="AW246" s="884"/>
      <c r="AX246" s="884"/>
      <c r="AY246" s="884"/>
      <c r="AZ246" s="884"/>
      <c r="BA246" s="332"/>
      <c r="BB246" s="884"/>
      <c r="BC246" s="884"/>
      <c r="BD246" s="884"/>
      <c r="BE246" s="884"/>
      <c r="BF246" s="884"/>
      <c r="BG246" s="332"/>
      <c r="BH246" s="884"/>
      <c r="BI246" s="884"/>
      <c r="BJ246" s="884"/>
      <c r="BK246" s="884"/>
      <c r="BL246" s="884"/>
      <c r="BM246" s="332"/>
      <c r="BN246" s="884"/>
      <c r="BO246" s="884"/>
      <c r="BP246" s="884"/>
      <c r="BQ246" s="884"/>
      <c r="BR246" s="884"/>
      <c r="BS246" s="332"/>
      <c r="BT246" s="884"/>
      <c r="BU246" s="884"/>
      <c r="BV246" s="884"/>
      <c r="BW246" s="884"/>
      <c r="BX246" s="884"/>
      <c r="BY246" s="332"/>
      <c r="BZ246" s="884"/>
      <c r="CA246" s="884"/>
      <c r="CB246" s="884"/>
      <c r="CC246" s="884"/>
      <c r="CD246" s="884"/>
      <c r="CE246" s="332"/>
      <c r="CF246" s="884"/>
      <c r="CG246" s="884"/>
      <c r="CH246" s="884"/>
      <c r="CI246" s="884"/>
      <c r="CJ246" s="884"/>
      <c r="CK246" s="332"/>
      <c r="CL246" s="884"/>
      <c r="CM246" s="884"/>
      <c r="CN246" s="884"/>
      <c r="CO246" s="884"/>
      <c r="CP246" s="884"/>
      <c r="CQ246" s="332"/>
      <c r="CR246" s="884"/>
      <c r="CS246" s="884"/>
      <c r="CT246" s="884"/>
      <c r="CU246" s="884"/>
      <c r="CV246" s="884"/>
      <c r="CW246" s="332"/>
      <c r="CX246" s="884"/>
      <c r="CY246" s="884"/>
      <c r="CZ246" s="884"/>
      <c r="DA246" s="884"/>
      <c r="DB246" s="884"/>
      <c r="DC246" s="332"/>
      <c r="DD246" s="884"/>
      <c r="DE246" s="884"/>
      <c r="DF246" s="884"/>
      <c r="DG246" s="884"/>
      <c r="DH246" s="884"/>
      <c r="DI246" s="332"/>
      <c r="DJ246" s="884"/>
      <c r="DK246" s="884"/>
      <c r="DL246" s="884"/>
      <c r="DM246" s="884"/>
      <c r="DN246" s="884"/>
      <c r="DO246" s="332"/>
      <c r="DP246" s="884"/>
      <c r="DQ246" s="884"/>
      <c r="DR246" s="884"/>
      <c r="DS246" s="884"/>
      <c r="DT246" s="884"/>
      <c r="DU246" s="332"/>
      <c r="DV246" s="884"/>
      <c r="DW246" s="884"/>
      <c r="DX246" s="884"/>
      <c r="DY246" s="884"/>
      <c r="DZ246" s="884"/>
      <c r="EA246" s="332"/>
      <c r="EB246" s="884"/>
      <c r="EC246" s="884"/>
      <c r="ED246" s="884"/>
      <c r="EE246" s="884"/>
      <c r="EF246" s="884"/>
      <c r="EG246" s="332"/>
      <c r="EH246" s="884"/>
      <c r="EI246" s="884"/>
      <c r="EJ246" s="884"/>
      <c r="EK246" s="884"/>
      <c r="EL246" s="884"/>
      <c r="EM246" s="332"/>
      <c r="EN246" s="884"/>
      <c r="EO246" s="884"/>
      <c r="EP246" s="884"/>
      <c r="EQ246" s="884"/>
      <c r="ER246" s="884"/>
      <c r="ES246" s="332"/>
      <c r="ET246" s="884"/>
      <c r="EU246" s="884"/>
      <c r="EV246" s="884"/>
      <c r="EW246" s="884"/>
      <c r="EX246" s="884"/>
      <c r="EY246" s="332"/>
      <c r="EZ246" s="884"/>
      <c r="FA246" s="884"/>
      <c r="FB246" s="884"/>
      <c r="FC246" s="884"/>
      <c r="FD246" s="884"/>
      <c r="FE246" s="332"/>
      <c r="FF246" s="884"/>
      <c r="FG246" s="884"/>
      <c r="FH246" s="884"/>
      <c r="FI246" s="884"/>
      <c r="FJ246" s="884"/>
      <c r="FK246" s="332"/>
      <c r="FL246" s="884"/>
      <c r="FM246" s="884"/>
      <c r="FN246" s="884"/>
      <c r="FO246" s="884"/>
      <c r="FP246" s="884"/>
      <c r="FQ246" s="332"/>
      <c r="FR246" s="884"/>
      <c r="FS246" s="884"/>
      <c r="FT246" s="884"/>
      <c r="FU246" s="884"/>
      <c r="FV246" s="884"/>
      <c r="FW246" s="332"/>
      <c r="FX246" s="884"/>
      <c r="FY246" s="884"/>
      <c r="FZ246" s="884"/>
      <c r="GA246" s="884"/>
      <c r="GB246" s="884"/>
      <c r="GC246" s="332"/>
      <c r="GD246" s="884"/>
      <c r="GE246" s="884"/>
      <c r="GF246" s="884"/>
      <c r="GG246" s="884"/>
      <c r="GH246" s="884"/>
      <c r="GI246" s="332"/>
      <c r="GJ246" s="884"/>
      <c r="GK246" s="884"/>
      <c r="GL246" s="884"/>
      <c r="GM246" s="884"/>
      <c r="GN246" s="884"/>
      <c r="GO246" s="332"/>
      <c r="GP246" s="884"/>
      <c r="GQ246" s="884"/>
      <c r="GR246" s="884"/>
      <c r="GS246" s="884"/>
      <c r="GT246" s="884"/>
      <c r="GU246" s="332"/>
      <c r="GV246" s="884"/>
      <c r="GW246" s="884"/>
      <c r="GX246" s="884"/>
      <c r="GY246" s="884"/>
      <c r="GZ246" s="884"/>
      <c r="HA246" s="332"/>
      <c r="HB246" s="884"/>
      <c r="HC246" s="884"/>
      <c r="HD246" s="884"/>
      <c r="HE246" s="884"/>
      <c r="HF246" s="884"/>
      <c r="HG246" s="332"/>
      <c r="HH246" s="884"/>
      <c r="HI246" s="884"/>
      <c r="HJ246" s="884"/>
      <c r="HK246" s="884"/>
      <c r="HL246" s="884"/>
      <c r="HM246" s="332"/>
      <c r="HN246" s="884"/>
      <c r="HO246" s="884"/>
      <c r="HP246" s="884"/>
      <c r="HQ246" s="884"/>
      <c r="HR246" s="884"/>
      <c r="HS246" s="332"/>
      <c r="HT246" s="884"/>
      <c r="HU246" s="884"/>
      <c r="HV246" s="884"/>
      <c r="HW246" s="884"/>
      <c r="HX246" s="884"/>
      <c r="HY246" s="332"/>
      <c r="HZ246" s="884"/>
      <c r="IA246" s="884"/>
      <c r="IB246" s="884"/>
      <c r="IC246" s="884"/>
      <c r="ID246" s="884"/>
      <c r="IE246" s="332"/>
      <c r="IF246" s="884"/>
      <c r="IG246" s="884"/>
      <c r="IH246" s="884"/>
      <c r="II246" s="884"/>
      <c r="IJ246" s="884"/>
      <c r="IK246" s="332"/>
      <c r="IL246" s="884"/>
      <c r="IM246" s="884"/>
      <c r="IN246" s="884"/>
      <c r="IO246" s="884"/>
      <c r="IP246" s="884"/>
      <c r="IQ246" s="332"/>
      <c r="IR246" s="884"/>
    </row>
    <row r="247" spans="1:252" s="349" customFormat="1">
      <c r="A247" s="230"/>
      <c r="B247" s="884"/>
      <c r="C247" s="469" t="s">
        <v>1074</v>
      </c>
      <c r="D247" s="884"/>
      <c r="E247" s="884"/>
      <c r="F247" s="231"/>
      <c r="G247" s="981" t="s">
        <v>204</v>
      </c>
      <c r="H247" s="1096">
        <f>INDEX(Inputs_EndYrBal,MATCH(G247,Inputs_FF1_Map,0))</f>
        <v>6818716</v>
      </c>
      <c r="I247" s="1130"/>
      <c r="J247" s="631"/>
      <c r="K247" s="249"/>
      <c r="L247" s="884"/>
      <c r="M247" s="913"/>
      <c r="N247" s="884"/>
      <c r="O247" s="311"/>
      <c r="P247" s="2365"/>
      <c r="Q247" s="332"/>
      <c r="R247" s="884"/>
      <c r="S247" s="884"/>
      <c r="T247" s="884"/>
      <c r="U247" s="884"/>
      <c r="V247" s="884"/>
      <c r="W247" s="332"/>
      <c r="X247" s="884"/>
      <c r="Y247" s="884"/>
      <c r="Z247" s="884"/>
      <c r="AA247" s="884"/>
      <c r="AB247" s="884"/>
      <c r="AC247" s="332"/>
      <c r="AD247" s="884"/>
      <c r="AE247" s="884"/>
      <c r="AF247" s="884"/>
      <c r="AG247" s="884"/>
      <c r="AH247" s="884"/>
      <c r="AI247" s="332"/>
      <c r="AJ247" s="884"/>
      <c r="AK247" s="884"/>
      <c r="AL247" s="884"/>
      <c r="AM247" s="884"/>
      <c r="AN247" s="884"/>
      <c r="AO247" s="332"/>
      <c r="AP247" s="884"/>
      <c r="AQ247" s="884"/>
      <c r="AR247" s="884"/>
      <c r="AS247" s="884"/>
      <c r="AT247" s="884"/>
      <c r="AU247" s="332"/>
      <c r="AV247" s="884"/>
      <c r="AW247" s="884"/>
      <c r="AX247" s="884"/>
      <c r="AY247" s="884"/>
      <c r="AZ247" s="884"/>
      <c r="BA247" s="332"/>
      <c r="BB247" s="884"/>
      <c r="BC247" s="884"/>
      <c r="BD247" s="884"/>
      <c r="BE247" s="884"/>
      <c r="BF247" s="884"/>
      <c r="BG247" s="332"/>
      <c r="BH247" s="884"/>
      <c r="BI247" s="884"/>
      <c r="BJ247" s="884"/>
      <c r="BK247" s="884"/>
      <c r="BL247" s="884"/>
      <c r="BM247" s="332"/>
      <c r="BN247" s="884"/>
      <c r="BO247" s="884"/>
      <c r="BP247" s="884"/>
      <c r="BQ247" s="884"/>
      <c r="BR247" s="884"/>
      <c r="BS247" s="332"/>
      <c r="BT247" s="884"/>
      <c r="BU247" s="884"/>
      <c r="BV247" s="884"/>
      <c r="BW247" s="884"/>
      <c r="BX247" s="884"/>
      <c r="BY247" s="332"/>
      <c r="BZ247" s="884"/>
      <c r="CA247" s="884"/>
      <c r="CB247" s="884"/>
      <c r="CC247" s="884"/>
      <c r="CD247" s="884"/>
      <c r="CE247" s="332"/>
      <c r="CF247" s="884"/>
      <c r="CG247" s="884"/>
      <c r="CH247" s="884"/>
      <c r="CI247" s="884"/>
      <c r="CJ247" s="884"/>
      <c r="CK247" s="332"/>
      <c r="CL247" s="884"/>
      <c r="CM247" s="884"/>
      <c r="CN247" s="884"/>
      <c r="CO247" s="884"/>
      <c r="CP247" s="884"/>
      <c r="CQ247" s="332"/>
      <c r="CR247" s="884"/>
      <c r="CS247" s="884"/>
      <c r="CT247" s="884"/>
      <c r="CU247" s="884"/>
      <c r="CV247" s="884"/>
      <c r="CW247" s="332"/>
      <c r="CX247" s="884"/>
      <c r="CY247" s="884"/>
      <c r="CZ247" s="884"/>
      <c r="DA247" s="884"/>
      <c r="DB247" s="884"/>
      <c r="DC247" s="332"/>
      <c r="DD247" s="884"/>
      <c r="DE247" s="884"/>
      <c r="DF247" s="884"/>
      <c r="DG247" s="884"/>
      <c r="DH247" s="884"/>
      <c r="DI247" s="332"/>
      <c r="DJ247" s="884"/>
      <c r="DK247" s="884"/>
      <c r="DL247" s="884"/>
      <c r="DM247" s="884"/>
      <c r="DN247" s="884"/>
      <c r="DO247" s="332"/>
      <c r="DP247" s="884"/>
      <c r="DQ247" s="884"/>
      <c r="DR247" s="884"/>
      <c r="DS247" s="884"/>
      <c r="DT247" s="884"/>
      <c r="DU247" s="332"/>
      <c r="DV247" s="884"/>
      <c r="DW247" s="884"/>
      <c r="DX247" s="884"/>
      <c r="DY247" s="884"/>
      <c r="DZ247" s="884"/>
      <c r="EA247" s="332"/>
      <c r="EB247" s="884"/>
      <c r="EC247" s="884"/>
      <c r="ED247" s="884"/>
      <c r="EE247" s="884"/>
      <c r="EF247" s="884"/>
      <c r="EG247" s="332"/>
      <c r="EH247" s="884"/>
      <c r="EI247" s="884"/>
      <c r="EJ247" s="884"/>
      <c r="EK247" s="884"/>
      <c r="EL247" s="884"/>
      <c r="EM247" s="332"/>
      <c r="EN247" s="884"/>
      <c r="EO247" s="884"/>
      <c r="EP247" s="884"/>
      <c r="EQ247" s="884"/>
      <c r="ER247" s="884"/>
      <c r="ES247" s="332"/>
      <c r="ET247" s="884"/>
      <c r="EU247" s="884"/>
      <c r="EV247" s="884"/>
      <c r="EW247" s="884"/>
      <c r="EX247" s="884"/>
      <c r="EY247" s="332"/>
      <c r="EZ247" s="884"/>
      <c r="FA247" s="884"/>
      <c r="FB247" s="884"/>
      <c r="FC247" s="884"/>
      <c r="FD247" s="884"/>
      <c r="FE247" s="332"/>
      <c r="FF247" s="884"/>
      <c r="FG247" s="884"/>
      <c r="FH247" s="884"/>
      <c r="FI247" s="884"/>
      <c r="FJ247" s="884"/>
      <c r="FK247" s="332"/>
      <c r="FL247" s="884"/>
      <c r="FM247" s="884"/>
      <c r="FN247" s="884"/>
      <c r="FO247" s="884"/>
      <c r="FP247" s="884"/>
      <c r="FQ247" s="332"/>
      <c r="FR247" s="884"/>
      <c r="FS247" s="884"/>
      <c r="FT247" s="884"/>
      <c r="FU247" s="884"/>
      <c r="FV247" s="884"/>
      <c r="FW247" s="332"/>
      <c r="FX247" s="884"/>
      <c r="FY247" s="884"/>
      <c r="FZ247" s="884"/>
      <c r="GA247" s="884"/>
      <c r="GB247" s="884"/>
      <c r="GC247" s="332"/>
      <c r="GD247" s="884"/>
      <c r="GE247" s="884"/>
      <c r="GF247" s="884"/>
      <c r="GG247" s="884"/>
      <c r="GH247" s="884"/>
      <c r="GI247" s="332"/>
      <c r="GJ247" s="884"/>
      <c r="GK247" s="884"/>
      <c r="GL247" s="884"/>
      <c r="GM247" s="884"/>
      <c r="GN247" s="884"/>
      <c r="GO247" s="332"/>
      <c r="GP247" s="884"/>
      <c r="GQ247" s="884"/>
      <c r="GR247" s="884"/>
      <c r="GS247" s="884"/>
      <c r="GT247" s="884"/>
      <c r="GU247" s="332"/>
      <c r="GV247" s="884"/>
      <c r="GW247" s="884"/>
      <c r="GX247" s="884"/>
      <c r="GY247" s="884"/>
      <c r="GZ247" s="884"/>
      <c r="HA247" s="332"/>
      <c r="HB247" s="884"/>
      <c r="HC247" s="884"/>
      <c r="HD247" s="884"/>
      <c r="HE247" s="884"/>
      <c r="HF247" s="884"/>
      <c r="HG247" s="332"/>
      <c r="HH247" s="884"/>
      <c r="HI247" s="884"/>
      <c r="HJ247" s="884"/>
      <c r="HK247" s="884"/>
      <c r="HL247" s="884"/>
      <c r="HM247" s="332"/>
      <c r="HN247" s="884"/>
      <c r="HO247" s="884"/>
      <c r="HP247" s="884"/>
      <c r="HQ247" s="884"/>
      <c r="HR247" s="884"/>
      <c r="HS247" s="332"/>
      <c r="HT247" s="884"/>
      <c r="HU247" s="884"/>
      <c r="HV247" s="884"/>
      <c r="HW247" s="884"/>
      <c r="HX247" s="884"/>
      <c r="HY247" s="332"/>
      <c r="HZ247" s="884"/>
      <c r="IA247" s="884"/>
      <c r="IB247" s="884"/>
      <c r="IC247" s="884"/>
      <c r="ID247" s="884"/>
      <c r="IE247" s="332"/>
      <c r="IF247" s="884"/>
      <c r="IG247" s="884"/>
      <c r="IH247" s="884"/>
      <c r="II247" s="884"/>
      <c r="IJ247" s="884"/>
      <c r="IK247" s="332"/>
      <c r="IL247" s="884"/>
      <c r="IM247" s="884"/>
      <c r="IN247" s="884"/>
      <c r="IO247" s="884"/>
      <c r="IP247" s="884"/>
      <c r="IQ247" s="332"/>
      <c r="IR247" s="884"/>
    </row>
    <row r="248" spans="1:252" s="349" customFormat="1">
      <c r="A248" s="230"/>
      <c r="B248" s="884"/>
      <c r="C248" s="469" t="s">
        <v>1075</v>
      </c>
      <c r="D248" s="884"/>
      <c r="E248" s="884"/>
      <c r="F248" s="231"/>
      <c r="G248" s="981" t="s">
        <v>423</v>
      </c>
      <c r="H248" s="1096">
        <f t="shared" si="12"/>
        <v>0</v>
      </c>
      <c r="I248" s="1130"/>
      <c r="J248" s="631"/>
      <c r="K248" s="249"/>
      <c r="L248" s="884"/>
      <c r="M248" s="913"/>
      <c r="N248" s="884"/>
      <c r="O248" s="311"/>
      <c r="P248" s="2365"/>
      <c r="Q248" s="332"/>
      <c r="R248" s="884"/>
      <c r="S248" s="884"/>
      <c r="T248" s="884"/>
      <c r="U248" s="884"/>
      <c r="V248" s="884"/>
      <c r="W248" s="332"/>
      <c r="X248" s="884"/>
      <c r="Y248" s="884"/>
      <c r="Z248" s="884"/>
      <c r="AA248" s="884"/>
      <c r="AB248" s="884"/>
      <c r="AC248" s="332"/>
      <c r="AD248" s="884"/>
      <c r="AE248" s="884"/>
      <c r="AF248" s="884"/>
      <c r="AG248" s="884"/>
      <c r="AH248" s="884"/>
      <c r="AI248" s="332"/>
      <c r="AJ248" s="884"/>
      <c r="AK248" s="884"/>
      <c r="AL248" s="884"/>
      <c r="AM248" s="884"/>
      <c r="AN248" s="884"/>
      <c r="AO248" s="332"/>
      <c r="AP248" s="884"/>
      <c r="AQ248" s="884"/>
      <c r="AR248" s="884"/>
      <c r="AS248" s="884"/>
      <c r="AT248" s="884"/>
      <c r="AU248" s="332"/>
      <c r="AV248" s="884"/>
      <c r="AW248" s="884"/>
      <c r="AX248" s="884"/>
      <c r="AY248" s="884"/>
      <c r="AZ248" s="884"/>
      <c r="BA248" s="332"/>
      <c r="BB248" s="884"/>
      <c r="BC248" s="884"/>
      <c r="BD248" s="884"/>
      <c r="BE248" s="884"/>
      <c r="BF248" s="884"/>
      <c r="BG248" s="332"/>
      <c r="BH248" s="884"/>
      <c r="BI248" s="884"/>
      <c r="BJ248" s="884"/>
      <c r="BK248" s="884"/>
      <c r="BL248" s="884"/>
      <c r="BM248" s="332"/>
      <c r="BN248" s="884"/>
      <c r="BO248" s="884"/>
      <c r="BP248" s="884"/>
      <c r="BQ248" s="884"/>
      <c r="BR248" s="884"/>
      <c r="BS248" s="332"/>
      <c r="BT248" s="884"/>
      <c r="BU248" s="884"/>
      <c r="BV248" s="884"/>
      <c r="BW248" s="884"/>
      <c r="BX248" s="884"/>
      <c r="BY248" s="332"/>
      <c r="BZ248" s="884"/>
      <c r="CA248" s="884"/>
      <c r="CB248" s="884"/>
      <c r="CC248" s="884"/>
      <c r="CD248" s="884"/>
      <c r="CE248" s="332"/>
      <c r="CF248" s="884"/>
      <c r="CG248" s="884"/>
      <c r="CH248" s="884"/>
      <c r="CI248" s="884"/>
      <c r="CJ248" s="884"/>
      <c r="CK248" s="332"/>
      <c r="CL248" s="884"/>
      <c r="CM248" s="884"/>
      <c r="CN248" s="884"/>
      <c r="CO248" s="884"/>
      <c r="CP248" s="884"/>
      <c r="CQ248" s="332"/>
      <c r="CR248" s="884"/>
      <c r="CS248" s="884"/>
      <c r="CT248" s="884"/>
      <c r="CU248" s="884"/>
      <c r="CV248" s="884"/>
      <c r="CW248" s="332"/>
      <c r="CX248" s="884"/>
      <c r="CY248" s="884"/>
      <c r="CZ248" s="884"/>
      <c r="DA248" s="884"/>
      <c r="DB248" s="884"/>
      <c r="DC248" s="332"/>
      <c r="DD248" s="884"/>
      <c r="DE248" s="884"/>
      <c r="DF248" s="884"/>
      <c r="DG248" s="884"/>
      <c r="DH248" s="884"/>
      <c r="DI248" s="332"/>
      <c r="DJ248" s="884"/>
      <c r="DK248" s="884"/>
      <c r="DL248" s="884"/>
      <c r="DM248" s="884"/>
      <c r="DN248" s="884"/>
      <c r="DO248" s="332"/>
      <c r="DP248" s="884"/>
      <c r="DQ248" s="884"/>
      <c r="DR248" s="884"/>
      <c r="DS248" s="884"/>
      <c r="DT248" s="884"/>
      <c r="DU248" s="332"/>
      <c r="DV248" s="884"/>
      <c r="DW248" s="884"/>
      <c r="DX248" s="884"/>
      <c r="DY248" s="884"/>
      <c r="DZ248" s="884"/>
      <c r="EA248" s="332"/>
      <c r="EB248" s="884"/>
      <c r="EC248" s="884"/>
      <c r="ED248" s="884"/>
      <c r="EE248" s="884"/>
      <c r="EF248" s="884"/>
      <c r="EG248" s="332"/>
      <c r="EH248" s="884"/>
      <c r="EI248" s="884"/>
      <c r="EJ248" s="884"/>
      <c r="EK248" s="884"/>
      <c r="EL248" s="884"/>
      <c r="EM248" s="332"/>
      <c r="EN248" s="884"/>
      <c r="EO248" s="884"/>
      <c r="EP248" s="884"/>
      <c r="EQ248" s="884"/>
      <c r="ER248" s="884"/>
      <c r="ES248" s="332"/>
      <c r="ET248" s="884"/>
      <c r="EU248" s="884"/>
      <c r="EV248" s="884"/>
      <c r="EW248" s="884"/>
      <c r="EX248" s="884"/>
      <c r="EY248" s="332"/>
      <c r="EZ248" s="884"/>
      <c r="FA248" s="884"/>
      <c r="FB248" s="884"/>
      <c r="FC248" s="884"/>
      <c r="FD248" s="884"/>
      <c r="FE248" s="332"/>
      <c r="FF248" s="884"/>
      <c r="FG248" s="884"/>
      <c r="FH248" s="884"/>
      <c r="FI248" s="884"/>
      <c r="FJ248" s="884"/>
      <c r="FK248" s="332"/>
      <c r="FL248" s="884"/>
      <c r="FM248" s="884"/>
      <c r="FN248" s="884"/>
      <c r="FO248" s="884"/>
      <c r="FP248" s="884"/>
      <c r="FQ248" s="332"/>
      <c r="FR248" s="884"/>
      <c r="FS248" s="884"/>
      <c r="FT248" s="884"/>
      <c r="FU248" s="884"/>
      <c r="FV248" s="884"/>
      <c r="FW248" s="332"/>
      <c r="FX248" s="884"/>
      <c r="FY248" s="884"/>
      <c r="FZ248" s="884"/>
      <c r="GA248" s="884"/>
      <c r="GB248" s="884"/>
      <c r="GC248" s="332"/>
      <c r="GD248" s="884"/>
      <c r="GE248" s="884"/>
      <c r="GF248" s="884"/>
      <c r="GG248" s="884"/>
      <c r="GH248" s="884"/>
      <c r="GI248" s="332"/>
      <c r="GJ248" s="884"/>
      <c r="GK248" s="884"/>
      <c r="GL248" s="884"/>
      <c r="GM248" s="884"/>
      <c r="GN248" s="884"/>
      <c r="GO248" s="332"/>
      <c r="GP248" s="884"/>
      <c r="GQ248" s="884"/>
      <c r="GR248" s="884"/>
      <c r="GS248" s="884"/>
      <c r="GT248" s="884"/>
      <c r="GU248" s="332"/>
      <c r="GV248" s="884"/>
      <c r="GW248" s="884"/>
      <c r="GX248" s="884"/>
      <c r="GY248" s="884"/>
      <c r="GZ248" s="884"/>
      <c r="HA248" s="332"/>
      <c r="HB248" s="884"/>
      <c r="HC248" s="884"/>
      <c r="HD248" s="884"/>
      <c r="HE248" s="884"/>
      <c r="HF248" s="884"/>
      <c r="HG248" s="332"/>
      <c r="HH248" s="884"/>
      <c r="HI248" s="884"/>
      <c r="HJ248" s="884"/>
      <c r="HK248" s="884"/>
      <c r="HL248" s="884"/>
      <c r="HM248" s="332"/>
      <c r="HN248" s="884"/>
      <c r="HO248" s="884"/>
      <c r="HP248" s="884"/>
      <c r="HQ248" s="884"/>
      <c r="HR248" s="884"/>
      <c r="HS248" s="332"/>
      <c r="HT248" s="884"/>
      <c r="HU248" s="884"/>
      <c r="HV248" s="884"/>
      <c r="HW248" s="884"/>
      <c r="HX248" s="884"/>
      <c r="HY248" s="332"/>
      <c r="HZ248" s="884"/>
      <c r="IA248" s="884"/>
      <c r="IB248" s="884"/>
      <c r="IC248" s="884"/>
      <c r="ID248" s="884"/>
      <c r="IE248" s="332"/>
      <c r="IF248" s="884"/>
      <c r="IG248" s="884"/>
      <c r="IH248" s="884"/>
      <c r="II248" s="884"/>
      <c r="IJ248" s="884"/>
      <c r="IK248" s="332"/>
      <c r="IL248" s="884"/>
      <c r="IM248" s="884"/>
      <c r="IN248" s="884"/>
      <c r="IO248" s="884"/>
      <c r="IP248" s="884"/>
      <c r="IQ248" s="332"/>
      <c r="IR248" s="884"/>
    </row>
    <row r="249" spans="1:252" s="349" customFormat="1">
      <c r="A249" s="230"/>
      <c r="B249" s="884"/>
      <c r="C249" s="469" t="s">
        <v>1076</v>
      </c>
      <c r="D249" s="884"/>
      <c r="E249" s="884"/>
      <c r="F249" s="231"/>
      <c r="G249" s="981" t="s">
        <v>205</v>
      </c>
      <c r="H249" s="1096">
        <f t="shared" si="12"/>
        <v>2106756</v>
      </c>
      <c r="I249" s="1130"/>
      <c r="J249" s="631"/>
      <c r="K249" s="249"/>
      <c r="L249" s="884"/>
      <c r="M249" s="913"/>
      <c r="N249" s="884"/>
      <c r="O249" s="311"/>
      <c r="P249" s="2365"/>
      <c r="Q249" s="332"/>
      <c r="R249" s="884"/>
      <c r="S249" s="884"/>
      <c r="T249" s="884"/>
      <c r="U249" s="884"/>
      <c r="V249" s="884"/>
      <c r="W249" s="332"/>
      <c r="X249" s="884"/>
      <c r="Y249" s="884"/>
      <c r="Z249" s="884"/>
      <c r="AA249" s="884"/>
      <c r="AB249" s="884"/>
      <c r="AC249" s="332"/>
      <c r="AD249" s="884"/>
      <c r="AE249" s="884"/>
      <c r="AF249" s="884"/>
      <c r="AG249" s="884"/>
      <c r="AH249" s="884"/>
      <c r="AI249" s="332"/>
      <c r="AJ249" s="884"/>
      <c r="AK249" s="884"/>
      <c r="AL249" s="884"/>
      <c r="AM249" s="884"/>
      <c r="AN249" s="884"/>
      <c r="AO249" s="332"/>
      <c r="AP249" s="884"/>
      <c r="AQ249" s="884"/>
      <c r="AR249" s="884"/>
      <c r="AS249" s="884"/>
      <c r="AT249" s="884"/>
      <c r="AU249" s="332"/>
      <c r="AV249" s="884"/>
      <c r="AW249" s="884"/>
      <c r="AX249" s="884"/>
      <c r="AY249" s="884"/>
      <c r="AZ249" s="884"/>
      <c r="BA249" s="332"/>
      <c r="BB249" s="884"/>
      <c r="BC249" s="884"/>
      <c r="BD249" s="884"/>
      <c r="BE249" s="884"/>
      <c r="BF249" s="884"/>
      <c r="BG249" s="332"/>
      <c r="BH249" s="884"/>
      <c r="BI249" s="884"/>
      <c r="BJ249" s="884"/>
      <c r="BK249" s="884"/>
      <c r="BL249" s="884"/>
      <c r="BM249" s="332"/>
      <c r="BN249" s="884"/>
      <c r="BO249" s="884"/>
      <c r="BP249" s="884"/>
      <c r="BQ249" s="884"/>
      <c r="BR249" s="884"/>
      <c r="BS249" s="332"/>
      <c r="BT249" s="884"/>
      <c r="BU249" s="884"/>
      <c r="BV249" s="884"/>
      <c r="BW249" s="884"/>
      <c r="BX249" s="884"/>
      <c r="BY249" s="332"/>
      <c r="BZ249" s="884"/>
      <c r="CA249" s="884"/>
      <c r="CB249" s="884"/>
      <c r="CC249" s="884"/>
      <c r="CD249" s="884"/>
      <c r="CE249" s="332"/>
      <c r="CF249" s="884"/>
      <c r="CG249" s="884"/>
      <c r="CH249" s="884"/>
      <c r="CI249" s="884"/>
      <c r="CJ249" s="884"/>
      <c r="CK249" s="332"/>
      <c r="CL249" s="884"/>
      <c r="CM249" s="884"/>
      <c r="CN249" s="884"/>
      <c r="CO249" s="884"/>
      <c r="CP249" s="884"/>
      <c r="CQ249" s="332"/>
      <c r="CR249" s="884"/>
      <c r="CS249" s="884"/>
      <c r="CT249" s="884"/>
      <c r="CU249" s="884"/>
      <c r="CV249" s="884"/>
      <c r="CW249" s="332"/>
      <c r="CX249" s="884"/>
      <c r="CY249" s="884"/>
      <c r="CZ249" s="884"/>
      <c r="DA249" s="884"/>
      <c r="DB249" s="884"/>
      <c r="DC249" s="332"/>
      <c r="DD249" s="884"/>
      <c r="DE249" s="884"/>
      <c r="DF249" s="884"/>
      <c r="DG249" s="884"/>
      <c r="DH249" s="884"/>
      <c r="DI249" s="332"/>
      <c r="DJ249" s="884"/>
      <c r="DK249" s="884"/>
      <c r="DL249" s="884"/>
      <c r="DM249" s="884"/>
      <c r="DN249" s="884"/>
      <c r="DO249" s="332"/>
      <c r="DP249" s="884"/>
      <c r="DQ249" s="884"/>
      <c r="DR249" s="884"/>
      <c r="DS249" s="884"/>
      <c r="DT249" s="884"/>
      <c r="DU249" s="332"/>
      <c r="DV249" s="884"/>
      <c r="DW249" s="884"/>
      <c r="DX249" s="884"/>
      <c r="DY249" s="884"/>
      <c r="DZ249" s="884"/>
      <c r="EA249" s="332"/>
      <c r="EB249" s="884"/>
      <c r="EC249" s="884"/>
      <c r="ED249" s="884"/>
      <c r="EE249" s="884"/>
      <c r="EF249" s="884"/>
      <c r="EG249" s="332"/>
      <c r="EH249" s="884"/>
      <c r="EI249" s="884"/>
      <c r="EJ249" s="884"/>
      <c r="EK249" s="884"/>
      <c r="EL249" s="884"/>
      <c r="EM249" s="332"/>
      <c r="EN249" s="884"/>
      <c r="EO249" s="884"/>
      <c r="EP249" s="884"/>
      <c r="EQ249" s="884"/>
      <c r="ER249" s="884"/>
      <c r="ES249" s="332"/>
      <c r="ET249" s="884"/>
      <c r="EU249" s="884"/>
      <c r="EV249" s="884"/>
      <c r="EW249" s="884"/>
      <c r="EX249" s="884"/>
      <c r="EY249" s="332"/>
      <c r="EZ249" s="884"/>
      <c r="FA249" s="884"/>
      <c r="FB249" s="884"/>
      <c r="FC249" s="884"/>
      <c r="FD249" s="884"/>
      <c r="FE249" s="332"/>
      <c r="FF249" s="884"/>
      <c r="FG249" s="884"/>
      <c r="FH249" s="884"/>
      <c r="FI249" s="884"/>
      <c r="FJ249" s="884"/>
      <c r="FK249" s="332"/>
      <c r="FL249" s="884"/>
      <c r="FM249" s="884"/>
      <c r="FN249" s="884"/>
      <c r="FO249" s="884"/>
      <c r="FP249" s="884"/>
      <c r="FQ249" s="332"/>
      <c r="FR249" s="884"/>
      <c r="FS249" s="884"/>
      <c r="FT249" s="884"/>
      <c r="FU249" s="884"/>
      <c r="FV249" s="884"/>
      <c r="FW249" s="332"/>
      <c r="FX249" s="884"/>
      <c r="FY249" s="884"/>
      <c r="FZ249" s="884"/>
      <c r="GA249" s="884"/>
      <c r="GB249" s="884"/>
      <c r="GC249" s="332"/>
      <c r="GD249" s="884"/>
      <c r="GE249" s="884"/>
      <c r="GF249" s="884"/>
      <c r="GG249" s="884"/>
      <c r="GH249" s="884"/>
      <c r="GI249" s="332"/>
      <c r="GJ249" s="884"/>
      <c r="GK249" s="884"/>
      <c r="GL249" s="884"/>
      <c r="GM249" s="884"/>
      <c r="GN249" s="884"/>
      <c r="GO249" s="332"/>
      <c r="GP249" s="884"/>
      <c r="GQ249" s="884"/>
      <c r="GR249" s="884"/>
      <c r="GS249" s="884"/>
      <c r="GT249" s="884"/>
      <c r="GU249" s="332"/>
      <c r="GV249" s="884"/>
      <c r="GW249" s="884"/>
      <c r="GX249" s="884"/>
      <c r="GY249" s="884"/>
      <c r="GZ249" s="884"/>
      <c r="HA249" s="332"/>
      <c r="HB249" s="884"/>
      <c r="HC249" s="884"/>
      <c r="HD249" s="884"/>
      <c r="HE249" s="884"/>
      <c r="HF249" s="884"/>
      <c r="HG249" s="332"/>
      <c r="HH249" s="884"/>
      <c r="HI249" s="884"/>
      <c r="HJ249" s="884"/>
      <c r="HK249" s="884"/>
      <c r="HL249" s="884"/>
      <c r="HM249" s="332"/>
      <c r="HN249" s="884"/>
      <c r="HO249" s="884"/>
      <c r="HP249" s="884"/>
      <c r="HQ249" s="884"/>
      <c r="HR249" s="884"/>
      <c r="HS249" s="332"/>
      <c r="HT249" s="884"/>
      <c r="HU249" s="884"/>
      <c r="HV249" s="884"/>
      <c r="HW249" s="884"/>
      <c r="HX249" s="884"/>
      <c r="HY249" s="332"/>
      <c r="HZ249" s="884"/>
      <c r="IA249" s="884"/>
      <c r="IB249" s="884"/>
      <c r="IC249" s="884"/>
      <c r="ID249" s="884"/>
      <c r="IE249" s="332"/>
      <c r="IF249" s="884"/>
      <c r="IG249" s="884"/>
      <c r="IH249" s="884"/>
      <c r="II249" s="884"/>
      <c r="IJ249" s="884"/>
      <c r="IK249" s="332"/>
      <c r="IL249" s="884"/>
      <c r="IM249" s="884"/>
      <c r="IN249" s="884"/>
      <c r="IO249" s="884"/>
      <c r="IP249" s="884"/>
      <c r="IQ249" s="332"/>
      <c r="IR249" s="884"/>
    </row>
    <row r="250" spans="1:252" s="349" customFormat="1">
      <c r="A250" s="230"/>
      <c r="B250" s="884"/>
      <c r="C250" s="469" t="s">
        <v>1077</v>
      </c>
      <c r="D250" s="884"/>
      <c r="E250" s="884"/>
      <c r="F250" s="231"/>
      <c r="G250" s="981" t="s">
        <v>424</v>
      </c>
      <c r="H250" s="1096">
        <f t="shared" si="12"/>
        <v>1326587</v>
      </c>
      <c r="I250" s="1130"/>
      <c r="J250" s="631"/>
      <c r="K250" s="249"/>
      <c r="L250" s="884"/>
      <c r="M250" s="913"/>
      <c r="N250" s="884"/>
      <c r="O250" s="311"/>
      <c r="P250" s="2365"/>
      <c r="Q250" s="332"/>
      <c r="R250" s="884"/>
      <c r="S250" s="884"/>
      <c r="T250" s="884"/>
      <c r="U250" s="884"/>
      <c r="V250" s="884"/>
      <c r="W250" s="332"/>
      <c r="X250" s="884"/>
      <c r="Y250" s="884"/>
      <c r="Z250" s="884"/>
      <c r="AA250" s="884"/>
      <c r="AB250" s="884"/>
      <c r="AC250" s="332"/>
      <c r="AD250" s="884"/>
      <c r="AE250" s="884"/>
      <c r="AF250" s="884"/>
      <c r="AG250" s="884"/>
      <c r="AH250" s="884"/>
      <c r="AI250" s="332"/>
      <c r="AJ250" s="884"/>
      <c r="AK250" s="884"/>
      <c r="AL250" s="884"/>
      <c r="AM250" s="884"/>
      <c r="AN250" s="884"/>
      <c r="AO250" s="332"/>
      <c r="AP250" s="884"/>
      <c r="AQ250" s="884"/>
      <c r="AR250" s="884"/>
      <c r="AS250" s="884"/>
      <c r="AT250" s="884"/>
      <c r="AU250" s="332"/>
      <c r="AV250" s="884"/>
      <c r="AW250" s="884"/>
      <c r="AX250" s="884"/>
      <c r="AY250" s="884"/>
      <c r="AZ250" s="884"/>
      <c r="BA250" s="332"/>
      <c r="BB250" s="884"/>
      <c r="BC250" s="884"/>
      <c r="BD250" s="884"/>
      <c r="BE250" s="884"/>
      <c r="BF250" s="884"/>
      <c r="BG250" s="332"/>
      <c r="BH250" s="884"/>
      <c r="BI250" s="884"/>
      <c r="BJ250" s="884"/>
      <c r="BK250" s="884"/>
      <c r="BL250" s="884"/>
      <c r="BM250" s="332"/>
      <c r="BN250" s="884"/>
      <c r="BO250" s="884"/>
      <c r="BP250" s="884"/>
      <c r="BQ250" s="884"/>
      <c r="BR250" s="884"/>
      <c r="BS250" s="332"/>
      <c r="BT250" s="884"/>
      <c r="BU250" s="884"/>
      <c r="BV250" s="884"/>
      <c r="BW250" s="884"/>
      <c r="BX250" s="884"/>
      <c r="BY250" s="332"/>
      <c r="BZ250" s="884"/>
      <c r="CA250" s="884"/>
      <c r="CB250" s="884"/>
      <c r="CC250" s="884"/>
      <c r="CD250" s="884"/>
      <c r="CE250" s="332"/>
      <c r="CF250" s="884"/>
      <c r="CG250" s="884"/>
      <c r="CH250" s="884"/>
      <c r="CI250" s="884"/>
      <c r="CJ250" s="884"/>
      <c r="CK250" s="332"/>
      <c r="CL250" s="884"/>
      <c r="CM250" s="884"/>
      <c r="CN250" s="884"/>
      <c r="CO250" s="884"/>
      <c r="CP250" s="884"/>
      <c r="CQ250" s="332"/>
      <c r="CR250" s="884"/>
      <c r="CS250" s="884"/>
      <c r="CT250" s="884"/>
      <c r="CU250" s="884"/>
      <c r="CV250" s="884"/>
      <c r="CW250" s="332"/>
      <c r="CX250" s="884"/>
      <c r="CY250" s="884"/>
      <c r="CZ250" s="884"/>
      <c r="DA250" s="884"/>
      <c r="DB250" s="884"/>
      <c r="DC250" s="332"/>
      <c r="DD250" s="884"/>
      <c r="DE250" s="884"/>
      <c r="DF250" s="884"/>
      <c r="DG250" s="884"/>
      <c r="DH250" s="884"/>
      <c r="DI250" s="332"/>
      <c r="DJ250" s="884"/>
      <c r="DK250" s="884"/>
      <c r="DL250" s="884"/>
      <c r="DM250" s="884"/>
      <c r="DN250" s="884"/>
      <c r="DO250" s="332"/>
      <c r="DP250" s="884"/>
      <c r="DQ250" s="884"/>
      <c r="DR250" s="884"/>
      <c r="DS250" s="884"/>
      <c r="DT250" s="884"/>
      <c r="DU250" s="332"/>
      <c r="DV250" s="884"/>
      <c r="DW250" s="884"/>
      <c r="DX250" s="884"/>
      <c r="DY250" s="884"/>
      <c r="DZ250" s="884"/>
      <c r="EA250" s="332"/>
      <c r="EB250" s="884"/>
      <c r="EC250" s="884"/>
      <c r="ED250" s="884"/>
      <c r="EE250" s="884"/>
      <c r="EF250" s="884"/>
      <c r="EG250" s="332"/>
      <c r="EH250" s="884"/>
      <c r="EI250" s="884"/>
      <c r="EJ250" s="884"/>
      <c r="EK250" s="884"/>
      <c r="EL250" s="884"/>
      <c r="EM250" s="332"/>
      <c r="EN250" s="884"/>
      <c r="EO250" s="884"/>
      <c r="EP250" s="884"/>
      <c r="EQ250" s="884"/>
      <c r="ER250" s="884"/>
      <c r="ES250" s="332"/>
      <c r="ET250" s="884"/>
      <c r="EU250" s="884"/>
      <c r="EV250" s="884"/>
      <c r="EW250" s="884"/>
      <c r="EX250" s="884"/>
      <c r="EY250" s="332"/>
      <c r="EZ250" s="884"/>
      <c r="FA250" s="884"/>
      <c r="FB250" s="884"/>
      <c r="FC250" s="884"/>
      <c r="FD250" s="884"/>
      <c r="FE250" s="332"/>
      <c r="FF250" s="884"/>
      <c r="FG250" s="884"/>
      <c r="FH250" s="884"/>
      <c r="FI250" s="884"/>
      <c r="FJ250" s="884"/>
      <c r="FK250" s="332"/>
      <c r="FL250" s="884"/>
      <c r="FM250" s="884"/>
      <c r="FN250" s="884"/>
      <c r="FO250" s="884"/>
      <c r="FP250" s="884"/>
      <c r="FQ250" s="332"/>
      <c r="FR250" s="884"/>
      <c r="FS250" s="884"/>
      <c r="FT250" s="884"/>
      <c r="FU250" s="884"/>
      <c r="FV250" s="884"/>
      <c r="FW250" s="332"/>
      <c r="FX250" s="884"/>
      <c r="FY250" s="884"/>
      <c r="FZ250" s="884"/>
      <c r="GA250" s="884"/>
      <c r="GB250" s="884"/>
      <c r="GC250" s="332"/>
      <c r="GD250" s="884"/>
      <c r="GE250" s="884"/>
      <c r="GF250" s="884"/>
      <c r="GG250" s="884"/>
      <c r="GH250" s="884"/>
      <c r="GI250" s="332"/>
      <c r="GJ250" s="884"/>
      <c r="GK250" s="884"/>
      <c r="GL250" s="884"/>
      <c r="GM250" s="884"/>
      <c r="GN250" s="884"/>
      <c r="GO250" s="332"/>
      <c r="GP250" s="884"/>
      <c r="GQ250" s="884"/>
      <c r="GR250" s="884"/>
      <c r="GS250" s="884"/>
      <c r="GT250" s="884"/>
      <c r="GU250" s="332"/>
      <c r="GV250" s="884"/>
      <c r="GW250" s="884"/>
      <c r="GX250" s="884"/>
      <c r="GY250" s="884"/>
      <c r="GZ250" s="884"/>
      <c r="HA250" s="332"/>
      <c r="HB250" s="884"/>
      <c r="HC250" s="884"/>
      <c r="HD250" s="884"/>
      <c r="HE250" s="884"/>
      <c r="HF250" s="884"/>
      <c r="HG250" s="332"/>
      <c r="HH250" s="884"/>
      <c r="HI250" s="884"/>
      <c r="HJ250" s="884"/>
      <c r="HK250" s="884"/>
      <c r="HL250" s="884"/>
      <c r="HM250" s="332"/>
      <c r="HN250" s="884"/>
      <c r="HO250" s="884"/>
      <c r="HP250" s="884"/>
      <c r="HQ250" s="884"/>
      <c r="HR250" s="884"/>
      <c r="HS250" s="332"/>
      <c r="HT250" s="884"/>
      <c r="HU250" s="884"/>
      <c r="HV250" s="884"/>
      <c r="HW250" s="884"/>
      <c r="HX250" s="884"/>
      <c r="HY250" s="332"/>
      <c r="HZ250" s="884"/>
      <c r="IA250" s="884"/>
      <c r="IB250" s="884"/>
      <c r="IC250" s="884"/>
      <c r="ID250" s="884"/>
      <c r="IE250" s="332"/>
      <c r="IF250" s="884"/>
      <c r="IG250" s="884"/>
      <c r="IH250" s="884"/>
      <c r="II250" s="884"/>
      <c r="IJ250" s="884"/>
      <c r="IK250" s="332"/>
      <c r="IL250" s="884"/>
      <c r="IM250" s="884"/>
      <c r="IN250" s="884"/>
      <c r="IO250" s="884"/>
      <c r="IP250" s="884"/>
      <c r="IQ250" s="332"/>
      <c r="IR250" s="884"/>
    </row>
    <row r="251" spans="1:252" ht="15.75">
      <c r="A251" s="230">
        <f>'Appendix A'!A112</f>
        <v>54</v>
      </c>
      <c r="B251" s="95"/>
      <c r="C251" s="154" t="str">
        <f>'Appendix A'!C112</f>
        <v xml:space="preserve">     Less: Cost of Providing Ancillary Services Accounts 561.0-5</v>
      </c>
      <c r="D251" s="95"/>
      <c r="E251" s="884"/>
      <c r="F251" s="231"/>
      <c r="G251" s="1222" t="s">
        <v>1153</v>
      </c>
      <c r="H251" s="1221">
        <f>SUM(H245:H250)</f>
        <v>10252059</v>
      </c>
      <c r="I251" s="1131">
        <v>0</v>
      </c>
      <c r="J251" s="1129">
        <f>H251-I251</f>
        <v>10252059</v>
      </c>
      <c r="K251" s="249" t="s">
        <v>1168</v>
      </c>
      <c r="L251" s="884"/>
      <c r="M251" s="913"/>
      <c r="N251" s="95"/>
      <c r="O251" s="311"/>
      <c r="P251" s="2365"/>
      <c r="Q251" s="332"/>
      <c r="R251" s="95"/>
      <c r="S251" s="95"/>
      <c r="T251" s="95"/>
      <c r="U251" s="95"/>
      <c r="V251" s="95"/>
      <c r="W251" s="332"/>
      <c r="X251" s="95"/>
      <c r="Y251" s="95"/>
      <c r="Z251" s="95"/>
      <c r="AA251" s="95"/>
      <c r="AB251" s="95"/>
      <c r="AC251" s="332"/>
      <c r="AD251" s="95"/>
      <c r="AE251" s="95"/>
      <c r="AF251" s="95"/>
      <c r="AG251" s="95"/>
      <c r="AH251" s="95"/>
      <c r="AI251" s="332"/>
      <c r="AJ251" s="95"/>
      <c r="AK251" s="95"/>
      <c r="AL251" s="95"/>
      <c r="AM251" s="95"/>
      <c r="AN251" s="95"/>
      <c r="AO251" s="332"/>
      <c r="AP251" s="95"/>
      <c r="AQ251" s="95"/>
      <c r="AR251" s="95"/>
      <c r="AS251" s="95"/>
      <c r="AT251" s="95"/>
      <c r="AU251" s="332"/>
      <c r="AV251" s="95"/>
      <c r="AW251" s="95"/>
      <c r="AX251" s="95"/>
      <c r="AY251" s="95"/>
      <c r="AZ251" s="95"/>
      <c r="BA251" s="332"/>
      <c r="BB251" s="95"/>
      <c r="BC251" s="95"/>
      <c r="BD251" s="95"/>
      <c r="BE251" s="95"/>
      <c r="BF251" s="95"/>
      <c r="BG251" s="332"/>
      <c r="BH251" s="95"/>
      <c r="BI251" s="95"/>
      <c r="BJ251" s="95"/>
      <c r="BK251" s="95"/>
      <c r="BL251" s="95"/>
      <c r="BM251" s="332"/>
      <c r="BN251" s="95"/>
      <c r="BO251" s="95"/>
      <c r="BP251" s="95"/>
      <c r="BQ251" s="95"/>
      <c r="BR251" s="95"/>
      <c r="BS251" s="332"/>
      <c r="BT251" s="95"/>
      <c r="BU251" s="95"/>
      <c r="BV251" s="95"/>
      <c r="BW251" s="95"/>
      <c r="BX251" s="95"/>
      <c r="BY251" s="332"/>
      <c r="BZ251" s="95"/>
      <c r="CA251" s="95"/>
      <c r="CB251" s="95"/>
      <c r="CC251" s="95"/>
      <c r="CD251" s="95"/>
      <c r="CE251" s="332"/>
      <c r="CF251" s="95"/>
      <c r="CG251" s="95"/>
      <c r="CH251" s="95"/>
      <c r="CI251" s="95"/>
      <c r="CJ251" s="95"/>
      <c r="CK251" s="332"/>
      <c r="CL251" s="95"/>
      <c r="CM251" s="95"/>
      <c r="CN251" s="95"/>
      <c r="CO251" s="95"/>
      <c r="CP251" s="95"/>
      <c r="CQ251" s="332"/>
      <c r="CR251" s="95"/>
      <c r="CS251" s="95"/>
      <c r="CT251" s="95"/>
      <c r="CU251" s="95"/>
      <c r="CV251" s="95"/>
      <c r="CW251" s="332"/>
      <c r="CX251" s="95"/>
      <c r="CY251" s="95"/>
      <c r="CZ251" s="95"/>
      <c r="DA251" s="95"/>
      <c r="DB251" s="95"/>
      <c r="DC251" s="332"/>
      <c r="DD251" s="95"/>
      <c r="DE251" s="95"/>
      <c r="DF251" s="95"/>
      <c r="DG251" s="95"/>
      <c r="DH251" s="95"/>
      <c r="DI251" s="332"/>
      <c r="DJ251" s="95"/>
      <c r="DK251" s="95"/>
      <c r="DL251" s="95"/>
      <c r="DM251" s="95"/>
      <c r="DN251" s="95"/>
      <c r="DO251" s="332"/>
      <c r="DP251" s="95"/>
      <c r="DQ251" s="95"/>
      <c r="DR251" s="95"/>
      <c r="DS251" s="95"/>
      <c r="DT251" s="95"/>
      <c r="DU251" s="332"/>
      <c r="DV251" s="95"/>
      <c r="DW251" s="95"/>
      <c r="DX251" s="95"/>
      <c r="DY251" s="95"/>
      <c r="DZ251" s="95"/>
      <c r="EA251" s="332"/>
      <c r="EB251" s="95"/>
      <c r="EC251" s="95"/>
      <c r="ED251" s="95"/>
      <c r="EE251" s="95"/>
      <c r="EF251" s="95"/>
      <c r="EG251" s="332"/>
      <c r="EH251" s="95"/>
      <c r="EI251" s="95"/>
      <c r="EJ251" s="95"/>
      <c r="EK251" s="95"/>
      <c r="EL251" s="95"/>
      <c r="EM251" s="332"/>
      <c r="EN251" s="95"/>
      <c r="EO251" s="95"/>
      <c r="EP251" s="95"/>
      <c r="EQ251" s="95"/>
      <c r="ER251" s="95"/>
      <c r="ES251" s="332"/>
      <c r="ET251" s="95"/>
      <c r="EU251" s="95"/>
      <c r="EV251" s="95"/>
      <c r="EW251" s="95"/>
      <c r="EX251" s="95"/>
      <c r="EY251" s="332"/>
      <c r="EZ251" s="95"/>
      <c r="FA251" s="95"/>
      <c r="FB251" s="95"/>
      <c r="FC251" s="95"/>
      <c r="FD251" s="95"/>
      <c r="FE251" s="332"/>
      <c r="FF251" s="95"/>
      <c r="FG251" s="95"/>
      <c r="FH251" s="95"/>
      <c r="FI251" s="95"/>
      <c r="FJ251" s="95"/>
      <c r="FK251" s="332"/>
      <c r="FL251" s="95"/>
      <c r="FM251" s="95"/>
      <c r="FN251" s="95"/>
      <c r="FO251" s="95"/>
      <c r="FP251" s="95"/>
      <c r="FQ251" s="332"/>
      <c r="FR251" s="95"/>
      <c r="FS251" s="95"/>
      <c r="FT251" s="95"/>
      <c r="FU251" s="95"/>
      <c r="FV251" s="95"/>
      <c r="FW251" s="332"/>
      <c r="FX251" s="95"/>
      <c r="FY251" s="95"/>
      <c r="FZ251" s="95"/>
      <c r="GA251" s="95"/>
      <c r="GB251" s="95"/>
      <c r="GC251" s="332"/>
      <c r="GD251" s="95"/>
      <c r="GE251" s="95"/>
      <c r="GF251" s="95"/>
      <c r="GG251" s="95"/>
      <c r="GH251" s="95"/>
      <c r="GI251" s="332"/>
      <c r="GJ251" s="95"/>
      <c r="GK251" s="95"/>
      <c r="GL251" s="95"/>
      <c r="GM251" s="95"/>
      <c r="GN251" s="95"/>
      <c r="GO251" s="332"/>
      <c r="GP251" s="95"/>
      <c r="GQ251" s="95"/>
      <c r="GR251" s="95"/>
      <c r="GS251" s="95"/>
      <c r="GT251" s="95"/>
      <c r="GU251" s="332"/>
      <c r="GV251" s="95"/>
      <c r="GW251" s="95"/>
      <c r="GX251" s="95"/>
      <c r="GY251" s="95"/>
      <c r="GZ251" s="95"/>
      <c r="HA251" s="332"/>
      <c r="HB251" s="95"/>
      <c r="HC251" s="95"/>
      <c r="HD251" s="95"/>
      <c r="HE251" s="95"/>
      <c r="HF251" s="95"/>
      <c r="HG251" s="332"/>
      <c r="HH251" s="95"/>
      <c r="HI251" s="95"/>
      <c r="HJ251" s="95"/>
      <c r="HK251" s="95"/>
      <c r="HL251" s="95"/>
      <c r="HM251" s="332"/>
      <c r="HN251" s="95"/>
      <c r="HO251" s="95"/>
      <c r="HP251" s="95"/>
      <c r="HQ251" s="95"/>
      <c r="HR251" s="95"/>
      <c r="HS251" s="332"/>
      <c r="HT251" s="95"/>
      <c r="HU251" s="95"/>
      <c r="HV251" s="95"/>
      <c r="HW251" s="95"/>
      <c r="HX251" s="95"/>
      <c r="HY251" s="332"/>
      <c r="HZ251" s="95"/>
      <c r="IA251" s="95"/>
      <c r="IB251" s="95"/>
      <c r="IC251" s="95"/>
      <c r="ID251" s="95"/>
      <c r="IE251" s="332"/>
      <c r="IF251" s="95"/>
      <c r="IG251" s="95"/>
      <c r="IH251" s="95"/>
      <c r="II251" s="95"/>
      <c r="IJ251" s="95"/>
      <c r="IK251" s="332"/>
      <c r="IL251" s="95"/>
      <c r="IM251" s="95"/>
      <c r="IN251" s="95"/>
      <c r="IO251" s="95"/>
      <c r="IP251" s="95"/>
      <c r="IQ251" s="332"/>
      <c r="IR251" s="95"/>
    </row>
    <row r="252" spans="1:252" s="349" customFormat="1">
      <c r="A252" s="230"/>
      <c r="B252" s="884"/>
      <c r="C252" s="332"/>
      <c r="D252" s="884"/>
      <c r="E252" s="884"/>
      <c r="F252" s="231"/>
      <c r="G252" s="1121"/>
      <c r="H252" s="626"/>
      <c r="I252" s="1130"/>
      <c r="J252" s="631"/>
      <c r="K252" s="249"/>
      <c r="L252" s="884"/>
      <c r="M252" s="913"/>
      <c r="N252" s="884"/>
      <c r="O252" s="311"/>
      <c r="P252" s="2365"/>
      <c r="Q252" s="332"/>
      <c r="R252" s="884"/>
      <c r="S252" s="884"/>
      <c r="T252" s="884"/>
      <c r="U252" s="884"/>
      <c r="V252" s="884"/>
      <c r="W252" s="332"/>
      <c r="X252" s="884"/>
      <c r="Y252" s="884"/>
      <c r="Z252" s="884"/>
      <c r="AA252" s="884"/>
      <c r="AB252" s="884"/>
      <c r="AC252" s="332"/>
      <c r="AD252" s="884"/>
      <c r="AE252" s="884"/>
      <c r="AF252" s="884"/>
      <c r="AG252" s="884"/>
      <c r="AH252" s="884"/>
      <c r="AI252" s="332"/>
      <c r="AJ252" s="884"/>
      <c r="AK252" s="884"/>
      <c r="AL252" s="884"/>
      <c r="AM252" s="884"/>
      <c r="AN252" s="884"/>
      <c r="AO252" s="332"/>
      <c r="AP252" s="884"/>
      <c r="AQ252" s="884"/>
      <c r="AR252" s="884"/>
      <c r="AS252" s="884"/>
      <c r="AT252" s="884"/>
      <c r="AU252" s="332"/>
      <c r="AV252" s="884"/>
      <c r="AW252" s="884"/>
      <c r="AX252" s="884"/>
      <c r="AY252" s="884"/>
      <c r="AZ252" s="884"/>
      <c r="BA252" s="332"/>
      <c r="BB252" s="884"/>
      <c r="BC252" s="884"/>
      <c r="BD252" s="884"/>
      <c r="BE252" s="884"/>
      <c r="BF252" s="884"/>
      <c r="BG252" s="332"/>
      <c r="BH252" s="884"/>
      <c r="BI252" s="884"/>
      <c r="BJ252" s="884"/>
      <c r="BK252" s="884"/>
      <c r="BL252" s="884"/>
      <c r="BM252" s="332"/>
      <c r="BN252" s="884"/>
      <c r="BO252" s="884"/>
      <c r="BP252" s="884"/>
      <c r="BQ252" s="884"/>
      <c r="BR252" s="884"/>
      <c r="BS252" s="332"/>
      <c r="BT252" s="884"/>
      <c r="BU252" s="884"/>
      <c r="BV252" s="884"/>
      <c r="BW252" s="884"/>
      <c r="BX252" s="884"/>
      <c r="BY252" s="332"/>
      <c r="BZ252" s="884"/>
      <c r="CA252" s="884"/>
      <c r="CB252" s="884"/>
      <c r="CC252" s="884"/>
      <c r="CD252" s="884"/>
      <c r="CE252" s="332"/>
      <c r="CF252" s="884"/>
      <c r="CG252" s="884"/>
      <c r="CH252" s="884"/>
      <c r="CI252" s="884"/>
      <c r="CJ252" s="884"/>
      <c r="CK252" s="332"/>
      <c r="CL252" s="884"/>
      <c r="CM252" s="884"/>
      <c r="CN252" s="884"/>
      <c r="CO252" s="884"/>
      <c r="CP252" s="884"/>
      <c r="CQ252" s="332"/>
      <c r="CR252" s="884"/>
      <c r="CS252" s="884"/>
      <c r="CT252" s="884"/>
      <c r="CU252" s="884"/>
      <c r="CV252" s="884"/>
      <c r="CW252" s="332"/>
      <c r="CX252" s="884"/>
      <c r="CY252" s="884"/>
      <c r="CZ252" s="884"/>
      <c r="DA252" s="884"/>
      <c r="DB252" s="884"/>
      <c r="DC252" s="332"/>
      <c r="DD252" s="884"/>
      <c r="DE252" s="884"/>
      <c r="DF252" s="884"/>
      <c r="DG252" s="884"/>
      <c r="DH252" s="884"/>
      <c r="DI252" s="332"/>
      <c r="DJ252" s="884"/>
      <c r="DK252" s="884"/>
      <c r="DL252" s="884"/>
      <c r="DM252" s="884"/>
      <c r="DN252" s="884"/>
      <c r="DO252" s="332"/>
      <c r="DP252" s="884"/>
      <c r="DQ252" s="884"/>
      <c r="DR252" s="884"/>
      <c r="DS252" s="884"/>
      <c r="DT252" s="884"/>
      <c r="DU252" s="332"/>
      <c r="DV252" s="884"/>
      <c r="DW252" s="884"/>
      <c r="DX252" s="884"/>
      <c r="DY252" s="884"/>
      <c r="DZ252" s="884"/>
      <c r="EA252" s="332"/>
      <c r="EB252" s="884"/>
      <c r="EC252" s="884"/>
      <c r="ED252" s="884"/>
      <c r="EE252" s="884"/>
      <c r="EF252" s="884"/>
      <c r="EG252" s="332"/>
      <c r="EH252" s="884"/>
      <c r="EI252" s="884"/>
      <c r="EJ252" s="884"/>
      <c r="EK252" s="884"/>
      <c r="EL252" s="884"/>
      <c r="EM252" s="332"/>
      <c r="EN252" s="884"/>
      <c r="EO252" s="884"/>
      <c r="EP252" s="884"/>
      <c r="EQ252" s="884"/>
      <c r="ER252" s="884"/>
      <c r="ES252" s="332"/>
      <c r="ET252" s="884"/>
      <c r="EU252" s="884"/>
      <c r="EV252" s="884"/>
      <c r="EW252" s="884"/>
      <c r="EX252" s="884"/>
      <c r="EY252" s="332"/>
      <c r="EZ252" s="884"/>
      <c r="FA252" s="884"/>
      <c r="FB252" s="884"/>
      <c r="FC252" s="884"/>
      <c r="FD252" s="884"/>
      <c r="FE252" s="332"/>
      <c r="FF252" s="884"/>
      <c r="FG252" s="884"/>
      <c r="FH252" s="884"/>
      <c r="FI252" s="884"/>
      <c r="FJ252" s="884"/>
      <c r="FK252" s="332"/>
      <c r="FL252" s="884"/>
      <c r="FM252" s="884"/>
      <c r="FN252" s="884"/>
      <c r="FO252" s="884"/>
      <c r="FP252" s="884"/>
      <c r="FQ252" s="332"/>
      <c r="FR252" s="884"/>
      <c r="FS252" s="884"/>
      <c r="FT252" s="884"/>
      <c r="FU252" s="884"/>
      <c r="FV252" s="884"/>
      <c r="FW252" s="332"/>
      <c r="FX252" s="884"/>
      <c r="FY252" s="884"/>
      <c r="FZ252" s="884"/>
      <c r="GA252" s="884"/>
      <c r="GB252" s="884"/>
      <c r="GC252" s="332"/>
      <c r="GD252" s="884"/>
      <c r="GE252" s="884"/>
      <c r="GF252" s="884"/>
      <c r="GG252" s="884"/>
      <c r="GH252" s="884"/>
      <c r="GI252" s="332"/>
      <c r="GJ252" s="884"/>
      <c r="GK252" s="884"/>
      <c r="GL252" s="884"/>
      <c r="GM252" s="884"/>
      <c r="GN252" s="884"/>
      <c r="GO252" s="332"/>
      <c r="GP252" s="884"/>
      <c r="GQ252" s="884"/>
      <c r="GR252" s="884"/>
      <c r="GS252" s="884"/>
      <c r="GT252" s="884"/>
      <c r="GU252" s="332"/>
      <c r="GV252" s="884"/>
      <c r="GW252" s="884"/>
      <c r="GX252" s="884"/>
      <c r="GY252" s="884"/>
      <c r="GZ252" s="884"/>
      <c r="HA252" s="332"/>
      <c r="HB252" s="884"/>
      <c r="HC252" s="884"/>
      <c r="HD252" s="884"/>
      <c r="HE252" s="884"/>
      <c r="HF252" s="884"/>
      <c r="HG252" s="332"/>
      <c r="HH252" s="884"/>
      <c r="HI252" s="884"/>
      <c r="HJ252" s="884"/>
      <c r="HK252" s="884"/>
      <c r="HL252" s="884"/>
      <c r="HM252" s="332"/>
      <c r="HN252" s="884"/>
      <c r="HO252" s="884"/>
      <c r="HP252" s="884"/>
      <c r="HQ252" s="884"/>
      <c r="HR252" s="884"/>
      <c r="HS252" s="332"/>
      <c r="HT252" s="884"/>
      <c r="HU252" s="884"/>
      <c r="HV252" s="884"/>
      <c r="HW252" s="884"/>
      <c r="HX252" s="884"/>
      <c r="HY252" s="332"/>
      <c r="HZ252" s="884"/>
      <c r="IA252" s="884"/>
      <c r="IB252" s="884"/>
      <c r="IC252" s="884"/>
      <c r="ID252" s="884"/>
      <c r="IE252" s="332"/>
      <c r="IF252" s="884"/>
      <c r="IG252" s="884"/>
      <c r="IH252" s="884"/>
      <c r="II252" s="884"/>
      <c r="IJ252" s="884"/>
      <c r="IK252" s="332"/>
      <c r="IL252" s="884"/>
      <c r="IM252" s="884"/>
      <c r="IN252" s="884"/>
      <c r="IO252" s="884"/>
      <c r="IP252" s="884"/>
      <c r="IQ252" s="332"/>
      <c r="IR252" s="884"/>
    </row>
    <row r="253" spans="1:252" ht="15.75">
      <c r="A253" s="230">
        <f>'Appendix A'!A113</f>
        <v>55</v>
      </c>
      <c r="B253" s="95"/>
      <c r="C253" s="154" t="str">
        <f>'Appendix A'!C113</f>
        <v xml:space="preserve">     Less: Account 565</v>
      </c>
      <c r="D253" s="95"/>
      <c r="E253" s="884"/>
      <c r="F253" s="231"/>
      <c r="G253" s="980" t="s">
        <v>32</v>
      </c>
      <c r="H253" s="1096">
        <f>INDEX(Inputs_EndYrBal,MATCH(G253,Inputs_FF1_Map,0))</f>
        <v>148425345</v>
      </c>
      <c r="I253" s="1128">
        <v>0</v>
      </c>
      <c r="J253" s="1129">
        <f>H253+I253</f>
        <v>148425345</v>
      </c>
      <c r="K253" s="249"/>
      <c r="L253" s="884"/>
      <c r="M253" s="913"/>
      <c r="N253" s="95"/>
      <c r="O253" s="95"/>
      <c r="P253" s="2365"/>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ht="16.5" thickBot="1">
      <c r="A254" s="238"/>
      <c r="B254" s="246"/>
      <c r="C254" s="246"/>
      <c r="D254" s="246"/>
      <c r="E254" s="850"/>
      <c r="F254" s="239"/>
      <c r="G254" s="253"/>
      <c r="H254" s="250"/>
      <c r="I254" s="250"/>
      <c r="J254" s="250"/>
      <c r="K254" s="250"/>
      <c r="L254" s="271"/>
      <c r="M254" s="272"/>
      <c r="N254" s="95"/>
      <c r="O254" s="95"/>
      <c r="P254" s="236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5.75">
      <c r="A255" s="884"/>
      <c r="B255" s="95"/>
      <c r="C255" s="95"/>
      <c r="D255" s="95"/>
      <c r="E255" s="884"/>
      <c r="F255" s="231"/>
      <c r="G255" s="95"/>
      <c r="H255" s="38"/>
      <c r="I255" s="38"/>
      <c r="J255" s="38"/>
      <c r="K255" s="38"/>
      <c r="L255" s="270"/>
      <c r="M255" s="38"/>
      <c r="N255" s="95"/>
      <c r="O255" s="95"/>
      <c r="P255" s="236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s="349" customFormat="1" ht="15.75">
      <c r="A256" s="884"/>
      <c r="B256" s="810"/>
      <c r="C256" s="810"/>
      <c r="D256" s="810"/>
      <c r="E256" s="884"/>
      <c r="F256" s="231"/>
      <c r="G256" s="810"/>
      <c r="H256" s="38"/>
      <c r="I256" s="38"/>
      <c r="J256" s="38"/>
      <c r="K256" s="38"/>
      <c r="L256" s="270"/>
      <c r="M256" s="38"/>
      <c r="N256" s="810"/>
      <c r="O256" s="810"/>
      <c r="P256" s="2365"/>
      <c r="Q256" s="332"/>
      <c r="R256" s="810"/>
      <c r="S256" s="810"/>
      <c r="T256" s="810"/>
      <c r="U256" s="810"/>
      <c r="V256" s="810"/>
      <c r="W256" s="332"/>
      <c r="X256" s="810"/>
      <c r="Y256" s="810"/>
      <c r="Z256" s="810"/>
      <c r="AA256" s="810"/>
      <c r="AB256" s="810"/>
      <c r="AC256" s="332"/>
      <c r="AD256" s="810"/>
      <c r="AE256" s="810"/>
      <c r="AF256" s="810"/>
      <c r="AG256" s="810"/>
      <c r="AH256" s="810"/>
      <c r="AI256" s="332"/>
      <c r="AJ256" s="810"/>
      <c r="AK256" s="810"/>
      <c r="AL256" s="810"/>
      <c r="AM256" s="810"/>
      <c r="AN256" s="810"/>
      <c r="AO256" s="332"/>
      <c r="AP256" s="810"/>
      <c r="AQ256" s="810"/>
      <c r="AR256" s="810"/>
      <c r="AS256" s="810"/>
      <c r="AT256" s="810"/>
      <c r="AU256" s="332"/>
      <c r="AV256" s="810"/>
      <c r="AW256" s="810"/>
      <c r="AX256" s="810"/>
      <c r="AY256" s="810"/>
      <c r="AZ256" s="810"/>
      <c r="BA256" s="332"/>
      <c r="BB256" s="810"/>
      <c r="BC256" s="810"/>
      <c r="BD256" s="810"/>
      <c r="BE256" s="810"/>
      <c r="BF256" s="810"/>
      <c r="BG256" s="332"/>
      <c r="BH256" s="810"/>
      <c r="BI256" s="810"/>
      <c r="BJ256" s="810"/>
      <c r="BK256" s="810"/>
      <c r="BL256" s="810"/>
      <c r="BM256" s="332"/>
      <c r="BN256" s="810"/>
      <c r="BO256" s="810"/>
      <c r="BP256" s="810"/>
      <c r="BQ256" s="810"/>
      <c r="BR256" s="810"/>
      <c r="BS256" s="332"/>
      <c r="BT256" s="810"/>
      <c r="BU256" s="810"/>
      <c r="BV256" s="810"/>
      <c r="BW256" s="810"/>
      <c r="BX256" s="810"/>
      <c r="BY256" s="332"/>
      <c r="BZ256" s="810"/>
      <c r="CA256" s="810"/>
      <c r="CB256" s="810"/>
      <c r="CC256" s="810"/>
      <c r="CD256" s="810"/>
      <c r="CE256" s="332"/>
      <c r="CF256" s="810"/>
      <c r="CG256" s="810"/>
      <c r="CH256" s="810"/>
      <c r="CI256" s="810"/>
      <c r="CJ256" s="810"/>
      <c r="CK256" s="332"/>
      <c r="CL256" s="810"/>
      <c r="CM256" s="810"/>
      <c r="CN256" s="810"/>
      <c r="CO256" s="810"/>
      <c r="CP256" s="810"/>
      <c r="CQ256" s="332"/>
      <c r="CR256" s="810"/>
      <c r="CS256" s="810"/>
      <c r="CT256" s="810"/>
      <c r="CU256" s="810"/>
      <c r="CV256" s="810"/>
      <c r="CW256" s="332"/>
      <c r="CX256" s="810"/>
      <c r="CY256" s="810"/>
      <c r="CZ256" s="810"/>
      <c r="DA256" s="810"/>
      <c r="DB256" s="810"/>
      <c r="DC256" s="332"/>
      <c r="DD256" s="810"/>
      <c r="DE256" s="810"/>
      <c r="DF256" s="810"/>
      <c r="DG256" s="810"/>
      <c r="DH256" s="810"/>
      <c r="DI256" s="332"/>
      <c r="DJ256" s="810"/>
      <c r="DK256" s="810"/>
      <c r="DL256" s="810"/>
      <c r="DM256" s="810"/>
      <c r="DN256" s="810"/>
      <c r="DO256" s="332"/>
      <c r="DP256" s="810"/>
      <c r="DQ256" s="810"/>
      <c r="DR256" s="810"/>
      <c r="DS256" s="810"/>
      <c r="DT256" s="810"/>
      <c r="DU256" s="332"/>
      <c r="DV256" s="810"/>
      <c r="DW256" s="810"/>
      <c r="DX256" s="810"/>
      <c r="DY256" s="810"/>
      <c r="DZ256" s="810"/>
      <c r="EA256" s="332"/>
      <c r="EB256" s="810"/>
      <c r="EC256" s="810"/>
      <c r="ED256" s="810"/>
      <c r="EE256" s="810"/>
      <c r="EF256" s="810"/>
      <c r="EG256" s="332"/>
      <c r="EH256" s="810"/>
      <c r="EI256" s="810"/>
      <c r="EJ256" s="810"/>
      <c r="EK256" s="810"/>
      <c r="EL256" s="810"/>
      <c r="EM256" s="332"/>
      <c r="EN256" s="810"/>
      <c r="EO256" s="810"/>
      <c r="EP256" s="810"/>
      <c r="EQ256" s="810"/>
      <c r="ER256" s="810"/>
      <c r="ES256" s="332"/>
      <c r="ET256" s="810"/>
      <c r="EU256" s="810"/>
      <c r="EV256" s="810"/>
      <c r="EW256" s="810"/>
      <c r="EX256" s="810"/>
      <c r="EY256" s="332"/>
      <c r="EZ256" s="810"/>
      <c r="FA256" s="810"/>
      <c r="FB256" s="810"/>
      <c r="FC256" s="810"/>
      <c r="FD256" s="810"/>
      <c r="FE256" s="332"/>
      <c r="FF256" s="810"/>
      <c r="FG256" s="810"/>
      <c r="FH256" s="810"/>
      <c r="FI256" s="810"/>
      <c r="FJ256" s="810"/>
      <c r="FK256" s="332"/>
      <c r="FL256" s="810"/>
      <c r="FM256" s="810"/>
      <c r="FN256" s="810"/>
      <c r="FO256" s="810"/>
      <c r="FP256" s="810"/>
      <c r="FQ256" s="332"/>
      <c r="FR256" s="810"/>
      <c r="FS256" s="810"/>
      <c r="FT256" s="810"/>
      <c r="FU256" s="810"/>
      <c r="FV256" s="810"/>
      <c r="FW256" s="332"/>
      <c r="FX256" s="810"/>
      <c r="FY256" s="810"/>
      <c r="FZ256" s="810"/>
      <c r="GA256" s="810"/>
      <c r="GB256" s="810"/>
      <c r="GC256" s="332"/>
      <c r="GD256" s="810"/>
      <c r="GE256" s="810"/>
      <c r="GF256" s="810"/>
      <c r="GG256" s="810"/>
      <c r="GH256" s="810"/>
      <c r="GI256" s="332"/>
      <c r="GJ256" s="810"/>
      <c r="GK256" s="810"/>
      <c r="GL256" s="810"/>
      <c r="GM256" s="810"/>
      <c r="GN256" s="810"/>
      <c r="GO256" s="332"/>
      <c r="GP256" s="810"/>
      <c r="GQ256" s="810"/>
      <c r="GR256" s="810"/>
      <c r="GS256" s="810"/>
      <c r="GT256" s="810"/>
      <c r="GU256" s="332"/>
      <c r="GV256" s="810"/>
      <c r="GW256" s="810"/>
      <c r="GX256" s="810"/>
      <c r="GY256" s="810"/>
      <c r="GZ256" s="810"/>
      <c r="HA256" s="332"/>
      <c r="HB256" s="810"/>
      <c r="HC256" s="810"/>
      <c r="HD256" s="810"/>
      <c r="HE256" s="810"/>
      <c r="HF256" s="810"/>
      <c r="HG256" s="332"/>
      <c r="HH256" s="810"/>
      <c r="HI256" s="810"/>
      <c r="HJ256" s="810"/>
      <c r="HK256" s="810"/>
      <c r="HL256" s="810"/>
      <c r="HM256" s="332"/>
      <c r="HN256" s="810"/>
      <c r="HO256" s="810"/>
      <c r="HP256" s="810"/>
      <c r="HQ256" s="810"/>
      <c r="HR256" s="810"/>
      <c r="HS256" s="332"/>
      <c r="HT256" s="810"/>
      <c r="HU256" s="810"/>
      <c r="HV256" s="810"/>
      <c r="HW256" s="810"/>
      <c r="HX256" s="810"/>
      <c r="HY256" s="332"/>
      <c r="HZ256" s="810"/>
      <c r="IA256" s="810"/>
      <c r="IB256" s="810"/>
      <c r="IC256" s="810"/>
      <c r="ID256" s="810"/>
      <c r="IE256" s="332"/>
      <c r="IF256" s="810"/>
      <c r="IG256" s="810"/>
      <c r="IH256" s="810"/>
      <c r="II256" s="810"/>
      <c r="IJ256" s="810"/>
      <c r="IK256" s="332"/>
      <c r="IL256" s="810"/>
      <c r="IM256" s="810"/>
      <c r="IN256" s="810"/>
      <c r="IO256" s="810"/>
      <c r="IP256" s="810"/>
      <c r="IQ256" s="332"/>
      <c r="IR256" s="810"/>
    </row>
    <row r="257" spans="1:252" ht="16.5" thickBot="1">
      <c r="A257" s="879" t="str">
        <f>'Appendix A'!C284</f>
        <v xml:space="preserve">Facility Credits under Section 30.9 of the OATT </v>
      </c>
    </row>
    <row r="258" spans="1:252">
      <c r="A258" s="2575" t="s">
        <v>7</v>
      </c>
      <c r="B258" s="2576"/>
      <c r="C258" s="2576"/>
      <c r="D258" s="2576"/>
      <c r="E258" s="2576"/>
      <c r="F258" s="2576"/>
      <c r="G258" s="2577"/>
      <c r="H258" s="908" t="s">
        <v>79</v>
      </c>
      <c r="I258" s="909" t="s">
        <v>349</v>
      </c>
      <c r="J258" s="911"/>
      <c r="K258" s="911"/>
      <c r="L258" s="911"/>
      <c r="M258" s="912"/>
    </row>
    <row r="259" spans="1:252" ht="15.75">
      <c r="A259" s="230"/>
      <c r="B259" s="82" t="str">
        <f>'Appendix A'!C283</f>
        <v>Net Revenue Requirement</v>
      </c>
      <c r="C259" s="51"/>
      <c r="D259" s="51"/>
      <c r="E259" s="51"/>
      <c r="F259" s="426"/>
      <c r="G259" s="234"/>
      <c r="H259" s="38"/>
      <c r="I259" s="38"/>
      <c r="J259" s="38"/>
      <c r="K259" s="38"/>
      <c r="L259" s="38"/>
      <c r="M259" s="229"/>
    </row>
    <row r="260" spans="1:252" ht="15.75">
      <c r="A260" s="230">
        <f>'Appendix A'!A284</f>
        <v>166</v>
      </c>
      <c r="B260" s="35"/>
      <c r="C260" s="37" t="str">
        <f>+'Appendix A'!C284</f>
        <v xml:space="preserve">Facility Credits under Section 30.9 of the OATT </v>
      </c>
      <c r="D260" s="37"/>
      <c r="E260" s="37"/>
      <c r="F260" s="495"/>
      <c r="G260" s="496"/>
      <c r="H260" s="1257">
        <f>Inputs!E88</f>
        <v>0</v>
      </c>
      <c r="I260" s="349" t="s">
        <v>1071</v>
      </c>
      <c r="J260" s="319"/>
      <c r="K260" s="319"/>
      <c r="L260" s="319"/>
      <c r="M260" s="320"/>
    </row>
    <row r="261" spans="1:252" ht="15.75">
      <c r="A261" s="230">
        <f>'Appendix A'!A286</f>
        <v>168</v>
      </c>
      <c r="B261" s="35"/>
      <c r="C261" s="37" t="str">
        <f>'Appendix A'!C286</f>
        <v>Interest on Network Upgrade Facilities</v>
      </c>
      <c r="D261" s="37"/>
      <c r="E261" s="37"/>
      <c r="F261" s="495"/>
      <c r="G261" s="811"/>
      <c r="H261" s="1258">
        <f>Inputs!$E$89</f>
        <v>1520802.88</v>
      </c>
      <c r="I261" s="349" t="s">
        <v>1071</v>
      </c>
      <c r="J261" s="319"/>
      <c r="K261" s="319"/>
      <c r="L261" s="319"/>
      <c r="M261" s="320"/>
    </row>
    <row r="262" spans="1:252" s="349" customFormat="1" ht="15.75" thickBot="1">
      <c r="A262" s="238"/>
      <c r="B262" s="849"/>
      <c r="C262" s="845"/>
      <c r="D262" s="845"/>
      <c r="E262" s="845"/>
      <c r="F262" s="850"/>
      <c r="G262" s="253"/>
      <c r="H262" s="859"/>
      <c r="I262" s="858"/>
      <c r="J262" s="858"/>
      <c r="K262" s="858"/>
      <c r="L262" s="858"/>
      <c r="M262" s="492"/>
      <c r="P262" s="2362"/>
    </row>
    <row r="263" spans="1:252" ht="15.75">
      <c r="A263" s="884"/>
      <c r="B263" s="95"/>
      <c r="C263" s="95"/>
      <c r="D263" s="95"/>
      <c r="E263" s="884"/>
      <c r="F263" s="231"/>
      <c r="G263" s="95"/>
      <c r="H263" s="38"/>
      <c r="I263" s="38"/>
      <c r="J263" s="38"/>
      <c r="K263" s="38"/>
      <c r="L263" s="270"/>
      <c r="M263" s="38"/>
      <c r="N263" s="95"/>
      <c r="O263" s="95"/>
      <c r="P263" s="2365"/>
      <c r="Q263" s="219"/>
      <c r="R263" s="95"/>
      <c r="S263" s="95"/>
      <c r="T263" s="95"/>
      <c r="U263" s="95"/>
      <c r="V263" s="95"/>
      <c r="W263" s="219"/>
      <c r="X263" s="95"/>
      <c r="Y263" s="95"/>
      <c r="Z263" s="95"/>
      <c r="AA263" s="95"/>
      <c r="AB263" s="95"/>
      <c r="AC263" s="219"/>
      <c r="AD263" s="95"/>
      <c r="AE263" s="95"/>
      <c r="AF263" s="95"/>
      <c r="AG263" s="95"/>
      <c r="AH263" s="95"/>
      <c r="AI263" s="219"/>
      <c r="AJ263" s="95"/>
      <c r="AK263" s="95"/>
      <c r="AL263" s="95"/>
      <c r="AM263" s="95"/>
      <c r="AN263" s="95"/>
      <c r="AO263" s="219"/>
      <c r="AP263" s="95"/>
      <c r="AQ263" s="95"/>
      <c r="AR263" s="95"/>
      <c r="AS263" s="95"/>
      <c r="AT263" s="95"/>
      <c r="AU263" s="219"/>
      <c r="AV263" s="95"/>
      <c r="AW263" s="95"/>
      <c r="AX263" s="95"/>
      <c r="AY263" s="95"/>
      <c r="AZ263" s="95"/>
      <c r="BA263" s="219"/>
      <c r="BB263" s="95"/>
      <c r="BC263" s="95"/>
      <c r="BD263" s="95"/>
      <c r="BE263" s="95"/>
      <c r="BF263" s="95"/>
      <c r="BG263" s="219"/>
      <c r="BH263" s="95"/>
      <c r="BI263" s="95"/>
      <c r="BJ263" s="95"/>
      <c r="BK263" s="95"/>
      <c r="BL263" s="95"/>
      <c r="BM263" s="219"/>
      <c r="BN263" s="95"/>
      <c r="BO263" s="95"/>
      <c r="BP263" s="95"/>
      <c r="BQ263" s="95"/>
      <c r="BR263" s="95"/>
      <c r="BS263" s="219"/>
      <c r="BT263" s="95"/>
      <c r="BU263" s="95"/>
      <c r="BV263" s="95"/>
      <c r="BW263" s="95"/>
      <c r="BX263" s="95"/>
      <c r="BY263" s="219"/>
      <c r="BZ263" s="95"/>
      <c r="CA263" s="95"/>
      <c r="CB263" s="95"/>
      <c r="CC263" s="95"/>
      <c r="CD263" s="95"/>
      <c r="CE263" s="219"/>
      <c r="CF263" s="95"/>
      <c r="CG263" s="95"/>
      <c r="CH263" s="95"/>
      <c r="CI263" s="95"/>
      <c r="CJ263" s="95"/>
      <c r="CK263" s="219"/>
      <c r="CL263" s="95"/>
      <c r="CM263" s="95"/>
      <c r="CN263" s="95"/>
      <c r="CO263" s="95"/>
      <c r="CP263" s="95"/>
      <c r="CQ263" s="219"/>
      <c r="CR263" s="95"/>
      <c r="CS263" s="95"/>
      <c r="CT263" s="95"/>
      <c r="CU263" s="95"/>
      <c r="CV263" s="95"/>
      <c r="CW263" s="219"/>
      <c r="CX263" s="95"/>
      <c r="CY263" s="95"/>
      <c r="CZ263" s="95"/>
      <c r="DA263" s="95"/>
      <c r="DB263" s="95"/>
      <c r="DC263" s="219"/>
      <c r="DD263" s="95"/>
      <c r="DE263" s="95"/>
      <c r="DF263" s="95"/>
      <c r="DG263" s="95"/>
      <c r="DH263" s="95"/>
      <c r="DI263" s="219"/>
      <c r="DJ263" s="95"/>
      <c r="DK263" s="95"/>
      <c r="DL263" s="95"/>
      <c r="DM263" s="95"/>
      <c r="DN263" s="95"/>
      <c r="DO263" s="219"/>
      <c r="DP263" s="95"/>
      <c r="DQ263" s="95"/>
      <c r="DR263" s="95"/>
      <c r="DS263" s="95"/>
      <c r="DT263" s="95"/>
      <c r="DU263" s="219"/>
      <c r="DV263" s="95"/>
      <c r="DW263" s="95"/>
      <c r="DX263" s="95"/>
      <c r="DY263" s="95"/>
      <c r="DZ263" s="95"/>
      <c r="EA263" s="219"/>
      <c r="EB263" s="95"/>
      <c r="EC263" s="95"/>
      <c r="ED263" s="95"/>
      <c r="EE263" s="95"/>
      <c r="EF263" s="95"/>
      <c r="EG263" s="219"/>
      <c r="EH263" s="95"/>
      <c r="EI263" s="95"/>
      <c r="EJ263" s="95"/>
      <c r="EK263" s="95"/>
      <c r="EL263" s="95"/>
      <c r="EM263" s="219"/>
      <c r="EN263" s="95"/>
      <c r="EO263" s="95"/>
      <c r="EP263" s="95"/>
      <c r="EQ263" s="95"/>
      <c r="ER263" s="95"/>
      <c r="ES263" s="219"/>
      <c r="ET263" s="95"/>
      <c r="EU263" s="95"/>
      <c r="EV263" s="95"/>
      <c r="EW263" s="95"/>
      <c r="EX263" s="95"/>
      <c r="EY263" s="219"/>
      <c r="EZ263" s="95"/>
      <c r="FA263" s="95"/>
      <c r="FB263" s="95"/>
      <c r="FC263" s="95"/>
      <c r="FD263" s="95"/>
      <c r="FE263" s="219"/>
      <c r="FF263" s="95"/>
      <c r="FG263" s="95"/>
      <c r="FH263" s="95"/>
      <c r="FI263" s="95"/>
      <c r="FJ263" s="95"/>
      <c r="FK263" s="219"/>
      <c r="FL263" s="95"/>
      <c r="FM263" s="95"/>
      <c r="FN263" s="95"/>
      <c r="FO263" s="95"/>
      <c r="FP263" s="95"/>
      <c r="FQ263" s="219"/>
      <c r="FR263" s="95"/>
      <c r="FS263" s="95"/>
      <c r="FT263" s="95"/>
      <c r="FU263" s="95"/>
      <c r="FV263" s="95"/>
      <c r="FW263" s="219"/>
      <c r="FX263" s="95"/>
      <c r="FY263" s="95"/>
      <c r="FZ263" s="95"/>
      <c r="GA263" s="95"/>
      <c r="GB263" s="95"/>
      <c r="GC263" s="219"/>
      <c r="GD263" s="95"/>
      <c r="GE263" s="95"/>
      <c r="GF263" s="95"/>
      <c r="GG263" s="95"/>
      <c r="GH263" s="95"/>
      <c r="GI263" s="219"/>
      <c r="GJ263" s="95"/>
      <c r="GK263" s="95"/>
      <c r="GL263" s="95"/>
      <c r="GM263" s="95"/>
      <c r="GN263" s="95"/>
      <c r="GO263" s="219"/>
      <c r="GP263" s="95"/>
      <c r="GQ263" s="95"/>
      <c r="GR263" s="95"/>
      <c r="GS263" s="95"/>
      <c r="GT263" s="95"/>
      <c r="GU263" s="219"/>
      <c r="GV263" s="95"/>
      <c r="GW263" s="95"/>
      <c r="GX263" s="95"/>
      <c r="GY263" s="95"/>
      <c r="GZ263" s="95"/>
      <c r="HA263" s="219"/>
      <c r="HB263" s="95"/>
      <c r="HC263" s="95"/>
      <c r="HD263" s="95"/>
      <c r="HE263" s="95"/>
      <c r="HF263" s="95"/>
      <c r="HG263" s="219"/>
      <c r="HH263" s="95"/>
      <c r="HI263" s="95"/>
      <c r="HJ263" s="95"/>
      <c r="HK263" s="95"/>
      <c r="HL263" s="95"/>
      <c r="HM263" s="219"/>
      <c r="HN263" s="95"/>
      <c r="HO263" s="95"/>
      <c r="HP263" s="95"/>
      <c r="HQ263" s="95"/>
      <c r="HR263" s="95"/>
      <c r="HS263" s="219"/>
      <c r="HT263" s="95"/>
      <c r="HU263" s="95"/>
      <c r="HV263" s="95"/>
      <c r="HW263" s="95"/>
      <c r="HX263" s="95"/>
      <c r="HY263" s="219"/>
      <c r="HZ263" s="95"/>
      <c r="IA263" s="95"/>
      <c r="IB263" s="95"/>
      <c r="IC263" s="95"/>
      <c r="ID263" s="95"/>
      <c r="IE263" s="219"/>
      <c r="IF263" s="95"/>
      <c r="IG263" s="95"/>
      <c r="IH263" s="95"/>
      <c r="II263" s="95"/>
      <c r="IJ263" s="95"/>
      <c r="IK263" s="219"/>
      <c r="IL263" s="95"/>
      <c r="IM263" s="95"/>
      <c r="IN263" s="95"/>
      <c r="IO263" s="95"/>
      <c r="IP263" s="95"/>
      <c r="IQ263" s="219"/>
      <c r="IR263" s="95"/>
    </row>
    <row r="264" spans="1:252" ht="15.75">
      <c r="A264" s="884"/>
      <c r="B264" s="337"/>
      <c r="C264" s="337"/>
      <c r="D264" s="337"/>
      <c r="E264" s="884"/>
      <c r="F264" s="231"/>
      <c r="G264" s="337"/>
      <c r="H264" s="38"/>
      <c r="I264" s="38"/>
      <c r="J264" s="38"/>
      <c r="K264" s="38"/>
      <c r="L264" s="270"/>
      <c r="M264" s="38"/>
      <c r="N264" s="337"/>
      <c r="O264" s="337"/>
      <c r="P264" s="2365"/>
      <c r="Q264" s="332"/>
      <c r="R264" s="337"/>
      <c r="S264" s="337"/>
      <c r="T264" s="337"/>
      <c r="U264" s="337"/>
      <c r="V264" s="337"/>
      <c r="W264" s="332"/>
      <c r="X264" s="337"/>
      <c r="Y264" s="337"/>
      <c r="Z264" s="337"/>
      <c r="AA264" s="337"/>
      <c r="AB264" s="337"/>
      <c r="AC264" s="332"/>
      <c r="AD264" s="337"/>
      <c r="AE264" s="337"/>
      <c r="AF264" s="337"/>
      <c r="AG264" s="337"/>
      <c r="AH264" s="337"/>
      <c r="AI264" s="332"/>
      <c r="AJ264" s="337"/>
      <c r="AK264" s="337"/>
      <c r="AL264" s="337"/>
      <c r="AM264" s="337"/>
      <c r="AN264" s="337"/>
      <c r="AO264" s="332"/>
      <c r="AP264" s="337"/>
      <c r="AQ264" s="337"/>
      <c r="AR264" s="337"/>
      <c r="AS264" s="337"/>
      <c r="AT264" s="337"/>
      <c r="AU264" s="332"/>
      <c r="AV264" s="337"/>
      <c r="AW264" s="337"/>
      <c r="AX264" s="337"/>
      <c r="AY264" s="337"/>
      <c r="AZ264" s="337"/>
      <c r="BA264" s="332"/>
      <c r="BB264" s="337"/>
      <c r="BC264" s="337"/>
      <c r="BD264" s="337"/>
      <c r="BE264" s="337"/>
      <c r="BF264" s="337"/>
      <c r="BG264" s="332"/>
      <c r="BH264" s="337"/>
      <c r="BI264" s="337"/>
      <c r="BJ264" s="337"/>
      <c r="BK264" s="337"/>
      <c r="BL264" s="337"/>
      <c r="BM264" s="332"/>
      <c r="BN264" s="337"/>
      <c r="BO264" s="337"/>
      <c r="BP264" s="337"/>
      <c r="BQ264" s="337"/>
      <c r="BR264" s="337"/>
      <c r="BS264" s="332"/>
      <c r="BT264" s="337"/>
      <c r="BU264" s="337"/>
      <c r="BV264" s="337"/>
      <c r="BW264" s="337"/>
      <c r="BX264" s="337"/>
      <c r="BY264" s="332"/>
      <c r="BZ264" s="337"/>
      <c r="CA264" s="337"/>
      <c r="CB264" s="337"/>
      <c r="CC264" s="337"/>
      <c r="CD264" s="337"/>
      <c r="CE264" s="332"/>
      <c r="CF264" s="337"/>
      <c r="CG264" s="337"/>
      <c r="CH264" s="337"/>
      <c r="CI264" s="337"/>
      <c r="CJ264" s="337"/>
      <c r="CK264" s="332"/>
      <c r="CL264" s="337"/>
      <c r="CM264" s="337"/>
      <c r="CN264" s="337"/>
      <c r="CO264" s="337"/>
      <c r="CP264" s="337"/>
      <c r="CQ264" s="332"/>
      <c r="CR264" s="337"/>
      <c r="CS264" s="337"/>
      <c r="CT264" s="337"/>
      <c r="CU264" s="337"/>
      <c r="CV264" s="337"/>
      <c r="CW264" s="332"/>
      <c r="CX264" s="337"/>
      <c r="CY264" s="337"/>
      <c r="CZ264" s="337"/>
      <c r="DA264" s="337"/>
      <c r="DB264" s="337"/>
      <c r="DC264" s="332"/>
      <c r="DD264" s="337"/>
      <c r="DE264" s="337"/>
      <c r="DF264" s="337"/>
      <c r="DG264" s="337"/>
      <c r="DH264" s="337"/>
      <c r="DI264" s="332"/>
      <c r="DJ264" s="337"/>
      <c r="DK264" s="337"/>
      <c r="DL264" s="337"/>
      <c r="DM264" s="337"/>
      <c r="DN264" s="337"/>
      <c r="DO264" s="332"/>
      <c r="DP264" s="337"/>
      <c r="DQ264" s="337"/>
      <c r="DR264" s="337"/>
      <c r="DS264" s="337"/>
      <c r="DT264" s="337"/>
      <c r="DU264" s="332"/>
      <c r="DV264" s="337"/>
      <c r="DW264" s="337"/>
      <c r="DX264" s="337"/>
      <c r="DY264" s="337"/>
      <c r="DZ264" s="337"/>
      <c r="EA264" s="332"/>
      <c r="EB264" s="337"/>
      <c r="EC264" s="337"/>
      <c r="ED264" s="337"/>
      <c r="EE264" s="337"/>
      <c r="EF264" s="337"/>
      <c r="EG264" s="332"/>
      <c r="EH264" s="337"/>
      <c r="EI264" s="337"/>
      <c r="EJ264" s="337"/>
      <c r="EK264" s="337"/>
      <c r="EL264" s="337"/>
      <c r="EM264" s="332"/>
      <c r="EN264" s="337"/>
      <c r="EO264" s="337"/>
      <c r="EP264" s="337"/>
      <c r="EQ264" s="337"/>
      <c r="ER264" s="337"/>
      <c r="ES264" s="332"/>
      <c r="ET264" s="337"/>
      <c r="EU264" s="337"/>
      <c r="EV264" s="337"/>
      <c r="EW264" s="337"/>
      <c r="EX264" s="337"/>
      <c r="EY264" s="332"/>
      <c r="EZ264" s="337"/>
      <c r="FA264" s="337"/>
      <c r="FB264" s="337"/>
      <c r="FC264" s="337"/>
      <c r="FD264" s="337"/>
      <c r="FE264" s="332"/>
      <c r="FF264" s="337"/>
      <c r="FG264" s="337"/>
      <c r="FH264" s="337"/>
      <c r="FI264" s="337"/>
      <c r="FJ264" s="337"/>
      <c r="FK264" s="332"/>
      <c r="FL264" s="337"/>
      <c r="FM264" s="337"/>
      <c r="FN264" s="337"/>
      <c r="FO264" s="337"/>
      <c r="FP264" s="337"/>
      <c r="FQ264" s="332"/>
      <c r="FR264" s="337"/>
      <c r="FS264" s="337"/>
      <c r="FT264" s="337"/>
      <c r="FU264" s="337"/>
      <c r="FV264" s="337"/>
      <c r="FW264" s="332"/>
      <c r="FX264" s="337"/>
      <c r="FY264" s="337"/>
      <c r="FZ264" s="337"/>
      <c r="GA264" s="337"/>
      <c r="GB264" s="337"/>
      <c r="GC264" s="332"/>
      <c r="GD264" s="337"/>
      <c r="GE264" s="337"/>
      <c r="GF264" s="337"/>
      <c r="GG264" s="337"/>
      <c r="GH264" s="337"/>
      <c r="GI264" s="332"/>
      <c r="GJ264" s="337"/>
      <c r="GK264" s="337"/>
      <c r="GL264" s="337"/>
      <c r="GM264" s="337"/>
      <c r="GN264" s="337"/>
      <c r="GO264" s="332"/>
      <c r="GP264" s="337"/>
      <c r="GQ264" s="337"/>
      <c r="GR264" s="337"/>
      <c r="GS264" s="337"/>
      <c r="GT264" s="337"/>
      <c r="GU264" s="332"/>
      <c r="GV264" s="337"/>
      <c r="GW264" s="337"/>
      <c r="GX264" s="337"/>
      <c r="GY264" s="337"/>
      <c r="GZ264" s="337"/>
      <c r="HA264" s="332"/>
      <c r="HB264" s="337"/>
      <c r="HC264" s="337"/>
      <c r="HD264" s="337"/>
      <c r="HE264" s="337"/>
      <c r="HF264" s="337"/>
      <c r="HG264" s="332"/>
      <c r="HH264" s="337"/>
      <c r="HI264" s="337"/>
      <c r="HJ264" s="337"/>
      <c r="HK264" s="337"/>
      <c r="HL264" s="337"/>
      <c r="HM264" s="332"/>
      <c r="HN264" s="337"/>
      <c r="HO264" s="337"/>
      <c r="HP264" s="337"/>
      <c r="HQ264" s="337"/>
      <c r="HR264" s="337"/>
      <c r="HS264" s="332"/>
      <c r="HT264" s="337"/>
      <c r="HU264" s="337"/>
      <c r="HV264" s="337"/>
      <c r="HW264" s="337"/>
      <c r="HX264" s="337"/>
      <c r="HY264" s="332"/>
      <c r="HZ264" s="337"/>
      <c r="IA264" s="337"/>
      <c r="IB264" s="337"/>
      <c r="IC264" s="337"/>
      <c r="ID264" s="337"/>
      <c r="IE264" s="332"/>
      <c r="IF264" s="337"/>
      <c r="IG264" s="337"/>
      <c r="IH264" s="337"/>
      <c r="II264" s="337"/>
      <c r="IJ264" s="337"/>
      <c r="IK264" s="332"/>
      <c r="IL264" s="337"/>
      <c r="IM264" s="337"/>
      <c r="IN264" s="337"/>
      <c r="IO264" s="337"/>
      <c r="IP264" s="337"/>
      <c r="IQ264" s="332"/>
      <c r="IR264" s="337"/>
    </row>
    <row r="265" spans="1:252" ht="16.5" thickBot="1">
      <c r="A265" s="879" t="s">
        <v>428</v>
      </c>
    </row>
    <row r="266" spans="1:252">
      <c r="A266" s="2354" t="s">
        <v>206</v>
      </c>
      <c r="B266" s="909"/>
      <c r="C266" s="909"/>
      <c r="D266" s="909"/>
      <c r="E266" s="985"/>
      <c r="F266" s="909"/>
      <c r="G266" s="910"/>
      <c r="H266" s="908" t="s">
        <v>79</v>
      </c>
      <c r="I266" s="909"/>
      <c r="J266" s="909"/>
      <c r="K266" s="909"/>
      <c r="L266" s="909"/>
      <c r="M266" s="910"/>
    </row>
    <row r="267" spans="1:252" ht="15.75">
      <c r="A267" s="230"/>
      <c r="B267" s="228" t="str">
        <f>'Appendix A'!B101</f>
        <v>Network Upgrade Balance</v>
      </c>
      <c r="C267" s="51"/>
      <c r="D267" s="37"/>
      <c r="E267" s="37"/>
      <c r="F267" s="252"/>
      <c r="G267" s="234"/>
      <c r="H267" s="38"/>
      <c r="I267" s="38"/>
      <c r="J267" s="38"/>
      <c r="K267" s="38"/>
      <c r="L267" s="38"/>
      <c r="M267" s="229"/>
    </row>
    <row r="268" spans="1:252" s="349" customFormat="1">
      <c r="A268" s="230"/>
      <c r="B268" s="235"/>
      <c r="C268" s="36"/>
      <c r="D268" s="37"/>
      <c r="E268" s="37"/>
      <c r="F268" s="540" t="s">
        <v>633</v>
      </c>
      <c r="G268" s="241" t="s">
        <v>607</v>
      </c>
      <c r="H268" s="1133">
        <f>-Inputs!D90</f>
        <v>-52282847.609999999</v>
      </c>
      <c r="I268" s="37"/>
      <c r="J268" s="37"/>
      <c r="K268" s="37"/>
      <c r="L268" s="38"/>
      <c r="M268" s="854"/>
      <c r="P268" s="2362"/>
    </row>
    <row r="269" spans="1:252" s="349" customFormat="1">
      <c r="A269" s="230"/>
      <c r="B269" s="235"/>
      <c r="C269" s="36"/>
      <c r="D269" s="37"/>
      <c r="E269" s="37"/>
      <c r="F269" s="540" t="s">
        <v>634</v>
      </c>
      <c r="G269" s="241" t="s">
        <v>607</v>
      </c>
      <c r="H269" s="1133">
        <f>-Inputs!E90</f>
        <v>-35613529.590000004</v>
      </c>
      <c r="I269" s="37"/>
      <c r="J269" s="37"/>
      <c r="K269" s="37"/>
      <c r="L269" s="38"/>
      <c r="M269" s="854"/>
      <c r="P269" s="2362"/>
    </row>
    <row r="270" spans="1:252" ht="15.75">
      <c r="A270" s="230">
        <f>'Appendix A'!A102</f>
        <v>50</v>
      </c>
      <c r="B270" s="235"/>
      <c r="C270" s="36" t="str">
        <f>'Appendix A'!C102</f>
        <v>Network Upgrade Balance</v>
      </c>
      <c r="E270" s="103" t="str">
        <f>'Appendix A'!E102</f>
        <v>(Note N)</v>
      </c>
      <c r="F270" s="977" t="s">
        <v>1068</v>
      </c>
      <c r="G270" s="1006" t="str">
        <f>Toggle</f>
        <v>Projection</v>
      </c>
      <c r="H270" s="1137">
        <f>IF(Toggle=Projection,H269,IF(Toggle=True_up,AVERAGE(H268:H269),"Set Toggle!"))</f>
        <v>-35613529.590000004</v>
      </c>
      <c r="I270" s="1003" t="str">
        <f>IF(Toggle=Projection,"current end-of-year balance",IF(Toggle=True_up,"beg-of-year and end-of-year average ","Set Toggle!"))</f>
        <v>current end-of-year balance</v>
      </c>
      <c r="J270" s="853"/>
      <c r="K270" s="853"/>
      <c r="L270" s="37"/>
      <c r="M270" s="854"/>
    </row>
    <row r="271" spans="1:252" s="349" customFormat="1" ht="15.75" thickBot="1">
      <c r="A271" s="238"/>
      <c r="B271" s="838"/>
      <c r="C271" s="839"/>
      <c r="D271" s="845"/>
      <c r="E271" s="845"/>
      <c r="F271" s="841"/>
      <c r="G271" s="244"/>
      <c r="H271" s="862"/>
      <c r="I271" s="858"/>
      <c r="J271" s="858"/>
      <c r="K271" s="858"/>
      <c r="L271" s="858"/>
      <c r="M271" s="492"/>
      <c r="P271" s="2362"/>
    </row>
    <row r="272" spans="1:252" ht="15.75">
      <c r="A272" s="884"/>
      <c r="B272" s="235"/>
      <c r="C272" s="332"/>
      <c r="D272" s="37"/>
      <c r="E272" s="37"/>
      <c r="F272" s="99"/>
      <c r="G272" s="332"/>
      <c r="H272" s="92"/>
      <c r="I272" s="92"/>
      <c r="J272" s="92"/>
      <c r="K272" s="335"/>
      <c r="L272" s="336"/>
      <c r="M272" s="336"/>
    </row>
    <row r="274" spans="1:16" ht="16.5" thickBot="1">
      <c r="A274" s="879" t="s">
        <v>220</v>
      </c>
      <c r="I274" s="247"/>
      <c r="J274" s="247"/>
      <c r="K274" s="247"/>
      <c r="L274" s="247"/>
    </row>
    <row r="275" spans="1:16">
      <c r="A275" s="2354" t="s">
        <v>206</v>
      </c>
      <c r="B275" s="909"/>
      <c r="C275" s="909"/>
      <c r="D275" s="909"/>
      <c r="E275" s="985"/>
      <c r="F275" s="909"/>
      <c r="G275" s="910"/>
      <c r="H275" s="908" t="s">
        <v>282</v>
      </c>
      <c r="I275" s="909"/>
      <c r="J275" s="909"/>
      <c r="K275" s="909"/>
      <c r="L275" s="909"/>
      <c r="M275" s="910"/>
    </row>
    <row r="276" spans="1:16">
      <c r="A276" s="2353"/>
      <c r="B276" s="38"/>
      <c r="C276" s="38"/>
      <c r="D276" s="38"/>
      <c r="E276" s="38"/>
      <c r="F276" s="38"/>
      <c r="G276" s="38"/>
      <c r="H276" s="255"/>
      <c r="I276" s="38"/>
      <c r="J276" s="38"/>
      <c r="K276" s="38"/>
      <c r="L276" s="38"/>
      <c r="M276" s="229"/>
    </row>
    <row r="277" spans="1:16" s="349" customFormat="1" ht="15.75">
      <c r="A277" s="2353"/>
      <c r="B277" s="524" t="s">
        <v>1156</v>
      </c>
      <c r="C277" s="38"/>
      <c r="D277" s="38"/>
      <c r="E277" s="38"/>
      <c r="F277" s="38"/>
      <c r="G277" s="38"/>
      <c r="H277" s="255"/>
      <c r="I277" s="38"/>
      <c r="J277" s="38"/>
      <c r="K277" s="38"/>
      <c r="L277" s="38"/>
      <c r="M277" s="229"/>
      <c r="P277" s="2362"/>
    </row>
    <row r="278" spans="1:16" s="349" customFormat="1">
      <c r="A278" s="2353"/>
      <c r="B278" s="38"/>
      <c r="C278" s="38" t="s">
        <v>1155</v>
      </c>
      <c r="D278" s="38"/>
      <c r="E278" s="426" t="str">
        <f>'Appendix A'!$E$213</f>
        <v>(Note H)</v>
      </c>
      <c r="F278" s="38"/>
      <c r="G278" s="1122" t="s">
        <v>295</v>
      </c>
      <c r="H278" s="1132">
        <f>INDEX(Inputs!$E$48:$E$82,MATCH(G278,Inputs!$F$48:$F$82,0))</f>
        <v>99238672</v>
      </c>
      <c r="I278" s="38"/>
      <c r="J278" s="38"/>
      <c r="K278" s="38"/>
      <c r="L278" s="38"/>
      <c r="M278" s="229"/>
      <c r="P278" s="2362"/>
    </row>
    <row r="279" spans="1:16" s="349" customFormat="1">
      <c r="A279" s="2353"/>
      <c r="B279" s="38"/>
      <c r="C279" s="38" t="s">
        <v>1154</v>
      </c>
      <c r="D279" s="38"/>
      <c r="E279" s="426" t="str">
        <f>'Appendix A'!$E$213</f>
        <v>(Note H)</v>
      </c>
      <c r="F279" s="38"/>
      <c r="G279" s="1122" t="s">
        <v>294</v>
      </c>
      <c r="H279" s="1132">
        <f>INDEX(Inputs!$E$48:$E$82,MATCH(G279,Inputs!$F$48:$F$82,0))</f>
        <v>0</v>
      </c>
      <c r="I279" s="38"/>
      <c r="J279" s="38"/>
      <c r="K279" s="38"/>
      <c r="L279" s="38"/>
      <c r="M279" s="229"/>
      <c r="P279" s="2362"/>
    </row>
    <row r="280" spans="1:16" ht="15.75">
      <c r="A280" s="2353">
        <f>'Appendix A'!A144</f>
        <v>76</v>
      </c>
      <c r="B280" s="38"/>
      <c r="C280" s="1115" t="str">
        <f>'Appendix A'!C144</f>
        <v>Transmission Depreciation Expense Including Amortization of Limited Term Plant</v>
      </c>
      <c r="D280" s="1112"/>
      <c r="E280" s="1112" t="str">
        <f>'Appendix A'!$E$213</f>
        <v>(Note H)</v>
      </c>
      <c r="F280" s="1118"/>
      <c r="G280" s="1125" t="s">
        <v>1153</v>
      </c>
      <c r="H280" s="1117">
        <f>SUM(H278:H279)</f>
        <v>99238672</v>
      </c>
      <c r="I280" s="349" t="s">
        <v>1071</v>
      </c>
      <c r="J280" s="38"/>
      <c r="K280" s="38"/>
      <c r="L280" s="38"/>
      <c r="M280" s="229"/>
    </row>
    <row r="281" spans="1:16" s="349" customFormat="1">
      <c r="A281" s="2353"/>
      <c r="B281" s="38"/>
      <c r="C281" s="38"/>
      <c r="D281" s="103"/>
      <c r="E281" s="103"/>
      <c r="G281" s="249"/>
      <c r="H281" s="248"/>
      <c r="I281" s="38"/>
      <c r="J281" s="38"/>
      <c r="K281" s="38"/>
      <c r="L281" s="38"/>
      <c r="M281" s="229"/>
      <c r="P281" s="2362"/>
    </row>
    <row r="282" spans="1:16" s="349" customFormat="1" ht="15.75">
      <c r="A282" s="2353"/>
      <c r="B282" s="524" t="s">
        <v>469</v>
      </c>
      <c r="C282" s="38"/>
      <c r="D282" s="103"/>
      <c r="E282" s="103"/>
      <c r="G282" s="249"/>
      <c r="H282" s="248"/>
      <c r="I282" s="38"/>
      <c r="J282" s="38"/>
      <c r="K282" s="38"/>
      <c r="L282" s="38"/>
      <c r="M282" s="229"/>
      <c r="P282" s="2362"/>
    </row>
    <row r="283" spans="1:16" s="349" customFormat="1">
      <c r="A283" s="2353"/>
      <c r="B283" s="38"/>
      <c r="C283" s="38" t="s">
        <v>1155</v>
      </c>
      <c r="D283" s="103"/>
      <c r="E283" s="426" t="str">
        <f>'Appendix A'!$E$213</f>
        <v>(Note H)</v>
      </c>
      <c r="G283" s="1122" t="s">
        <v>297</v>
      </c>
      <c r="H283" s="1132">
        <f>INDEX(Inputs!$E$48:$E$82,MATCH(G283,Inputs!$F$48:$F$82,0))</f>
        <v>39308259</v>
      </c>
      <c r="I283" s="38"/>
      <c r="J283" s="38"/>
      <c r="K283" s="38"/>
      <c r="L283" s="38"/>
      <c r="M283" s="229"/>
      <c r="P283" s="2362"/>
    </row>
    <row r="284" spans="1:16" s="349" customFormat="1">
      <c r="A284" s="2353"/>
      <c r="B284" s="38"/>
      <c r="C284" s="38" t="s">
        <v>1154</v>
      </c>
      <c r="D284" s="103"/>
      <c r="E284" s="426" t="str">
        <f>'Appendix A'!$E$213</f>
        <v>(Note H)</v>
      </c>
      <c r="G284" s="1122" t="s">
        <v>296</v>
      </c>
      <c r="H284" s="1132">
        <f>INDEX(Inputs!$E$48:$E$82,MATCH(G284,Inputs!$F$48:$F$82,0))</f>
        <v>1358159</v>
      </c>
      <c r="I284" s="38"/>
      <c r="J284" s="38"/>
      <c r="K284" s="38"/>
      <c r="L284" s="38"/>
      <c r="M284" s="229"/>
      <c r="P284" s="2362"/>
    </row>
    <row r="285" spans="1:16" ht="15.75">
      <c r="A285" s="2353">
        <f>'Appendix A'!A146</f>
        <v>77</v>
      </c>
      <c r="B285" s="38"/>
      <c r="C285" s="1116" t="str">
        <f>'Appendix A'!C146</f>
        <v>General Depreciation Expense Including Amortization of Limited Term Plant</v>
      </c>
      <c r="D285" s="1112"/>
      <c r="E285" s="1112" t="str">
        <f>'Appendix A'!$E$213</f>
        <v>(Note H)</v>
      </c>
      <c r="F285" s="1118"/>
      <c r="G285" s="1125" t="s">
        <v>1153</v>
      </c>
      <c r="H285" s="1117">
        <f>SUM(H283:H284)</f>
        <v>40666418</v>
      </c>
      <c r="I285" s="349" t="s">
        <v>1071</v>
      </c>
      <c r="J285" s="38"/>
      <c r="K285" s="38"/>
      <c r="L285" s="38"/>
      <c r="M285" s="229"/>
    </row>
    <row r="286" spans="1:16" s="349" customFormat="1">
      <c r="A286" s="2353"/>
      <c r="B286" s="38"/>
      <c r="C286" s="812"/>
      <c r="D286" s="103"/>
      <c r="E286" s="103"/>
      <c r="G286" s="249"/>
      <c r="H286" s="470"/>
      <c r="J286" s="38"/>
      <c r="K286" s="38"/>
      <c r="L286" s="38"/>
      <c r="M286" s="229"/>
      <c r="P286" s="2362"/>
    </row>
    <row r="287" spans="1:16" s="349" customFormat="1" ht="15.75">
      <c r="A287" s="2353"/>
      <c r="B287" s="524" t="s">
        <v>1157</v>
      </c>
      <c r="C287" s="38"/>
      <c r="D287" s="103"/>
      <c r="E287" s="103"/>
      <c r="G287" s="249"/>
      <c r="H287" s="470"/>
      <c r="I287" s="38"/>
      <c r="J287" s="38"/>
      <c r="K287" s="38"/>
      <c r="L287" s="38"/>
      <c r="M287" s="229"/>
      <c r="P287" s="2362"/>
    </row>
    <row r="288" spans="1:16" s="349" customFormat="1">
      <c r="A288" s="2353"/>
      <c r="B288" s="38"/>
      <c r="C288" s="38" t="s">
        <v>1154</v>
      </c>
      <c r="D288" s="103"/>
      <c r="E288" s="426" t="str">
        <f>'Appendix A'!$E$213</f>
        <v>(Note H)</v>
      </c>
      <c r="G288" s="1123" t="s">
        <v>293</v>
      </c>
      <c r="H288" s="1132">
        <f>INDEX(Inputs!$E$48:$E$82,MATCH(G288,Inputs!$F$48:$F$82,0))</f>
        <v>36050777</v>
      </c>
      <c r="I288" s="38"/>
      <c r="J288" s="38"/>
      <c r="K288" s="38"/>
      <c r="L288" s="38"/>
      <c r="M288" s="229"/>
      <c r="P288" s="2362"/>
    </row>
    <row r="289" spans="1:16" s="349" customFormat="1">
      <c r="A289" s="2353"/>
      <c r="B289" s="38"/>
      <c r="C289" s="38" t="s">
        <v>1158</v>
      </c>
      <c r="D289" s="103"/>
      <c r="E289" s="426" t="str">
        <f>'Appendix A'!$E$213</f>
        <v>(Note H)</v>
      </c>
      <c r="G289" s="1123" t="s">
        <v>331</v>
      </c>
      <c r="H289" s="1132">
        <f>INDEX(Inputs!$E$48:$E$82,MATCH(G289,Inputs!$F$48:$F$82,0))</f>
        <v>0</v>
      </c>
      <c r="I289" s="38"/>
      <c r="J289" s="38"/>
      <c r="K289" s="38"/>
      <c r="L289" s="38"/>
      <c r="M289" s="229"/>
      <c r="P289" s="2362"/>
    </row>
    <row r="290" spans="1:16" s="349" customFormat="1" ht="15.75">
      <c r="A290" s="2353">
        <f>'Appendix A'!A147</f>
        <v>78</v>
      </c>
      <c r="B290" s="38"/>
      <c r="C290" s="1108" t="s">
        <v>1039</v>
      </c>
      <c r="D290" s="818"/>
      <c r="E290" s="1112" t="str">
        <f>'Appendix A'!$E$213</f>
        <v>(Note H)</v>
      </c>
      <c r="F290" s="819"/>
      <c r="G290" s="1125" t="s">
        <v>1153</v>
      </c>
      <c r="H290" s="1117">
        <f>SUM(H288:H289)</f>
        <v>36050777</v>
      </c>
      <c r="I290" s="349" t="s">
        <v>1071</v>
      </c>
      <c r="J290" s="38"/>
      <c r="K290" s="38"/>
      <c r="L290" s="38"/>
      <c r="M290" s="229"/>
      <c r="P290" s="2362"/>
    </row>
    <row r="291" spans="1:16" ht="15.75" thickBot="1">
      <c r="A291" s="1011"/>
      <c r="B291" s="247"/>
      <c r="C291" s="247"/>
      <c r="D291" s="247"/>
      <c r="E291" s="873"/>
      <c r="F291" s="247"/>
      <c r="G291" s="247"/>
      <c r="H291" s="260" t="s">
        <v>225</v>
      </c>
      <c r="I291" s="247"/>
      <c r="J291" s="247"/>
      <c r="K291" s="247"/>
      <c r="L291" s="247"/>
      <c r="M291" s="261"/>
    </row>
    <row r="292" spans="1:16" s="349" customFormat="1">
      <c r="A292" s="51"/>
      <c r="B292" s="38"/>
      <c r="C292" s="38"/>
      <c r="D292" s="38"/>
      <c r="E292" s="38"/>
      <c r="F292" s="38"/>
      <c r="G292" s="38"/>
      <c r="H292" s="38"/>
      <c r="I292" s="38"/>
      <c r="J292" s="38"/>
      <c r="K292" s="38"/>
      <c r="L292" s="38"/>
      <c r="M292" s="38"/>
      <c r="P292" s="2362"/>
    </row>
    <row r="294" spans="1:16" ht="16.5" thickBot="1">
      <c r="A294" s="879" t="s">
        <v>1064</v>
      </c>
      <c r="B294" s="349"/>
      <c r="C294" s="349"/>
      <c r="D294" s="349"/>
      <c r="F294" s="349"/>
      <c r="G294" s="349"/>
      <c r="H294" s="349"/>
      <c r="I294" s="349"/>
      <c r="J294" s="349"/>
      <c r="K294" s="349"/>
      <c r="L294" s="349"/>
      <c r="M294" s="349"/>
    </row>
    <row r="295" spans="1:16">
      <c r="A295" s="2354" t="s">
        <v>206</v>
      </c>
      <c r="B295" s="924"/>
      <c r="C295" s="924"/>
      <c r="D295" s="924"/>
      <c r="E295" s="985"/>
      <c r="F295" s="924"/>
      <c r="G295" s="925"/>
      <c r="H295" s="908" t="s">
        <v>79</v>
      </c>
      <c r="I295" s="924"/>
      <c r="J295" s="924"/>
      <c r="K295" s="924"/>
      <c r="L295" s="924"/>
      <c r="M295" s="925"/>
    </row>
    <row r="296" spans="1:16" ht="15.75">
      <c r="A296" s="230"/>
      <c r="B296" s="82"/>
      <c r="C296" s="51"/>
      <c r="D296" s="51"/>
      <c r="E296" s="51"/>
      <c r="F296" s="426"/>
      <c r="G296" s="234"/>
      <c r="H296" s="38"/>
      <c r="I296" s="38"/>
      <c r="J296" s="38"/>
      <c r="K296" s="38"/>
      <c r="L296" s="38"/>
      <c r="M296" s="229"/>
    </row>
    <row r="297" spans="1:16" s="349" customFormat="1" ht="15.75">
      <c r="A297" s="230"/>
      <c r="B297" s="82"/>
      <c r="C297" s="2181" t="s">
        <v>1960</v>
      </c>
      <c r="D297" s="51"/>
      <c r="E297" s="51"/>
      <c r="F297" s="426"/>
      <c r="G297" s="951" t="s">
        <v>2004</v>
      </c>
      <c r="H297" s="2179"/>
      <c r="I297" s="38"/>
      <c r="J297" s="38"/>
      <c r="K297" s="38"/>
      <c r="L297" s="38"/>
      <c r="M297" s="229"/>
      <c r="P297" s="2362"/>
    </row>
    <row r="298" spans="1:16" s="349" customFormat="1" ht="15.75">
      <c r="A298" s="230"/>
      <c r="B298" s="82"/>
      <c r="C298" s="2180" t="s">
        <v>1744</v>
      </c>
      <c r="D298" s="51"/>
      <c r="E298" s="51"/>
      <c r="F298" s="426"/>
      <c r="G298" s="951"/>
      <c r="H298" s="971">
        <v>27330.84</v>
      </c>
      <c r="I298" s="38"/>
      <c r="J298" s="38"/>
      <c r="K298" s="38"/>
      <c r="L298" s="38"/>
      <c r="M298" s="229"/>
      <c r="P298" s="2362"/>
    </row>
    <row r="299" spans="1:16" s="349" customFormat="1" ht="15.75">
      <c r="A299" s="230"/>
      <c r="B299" s="82"/>
      <c r="C299" s="2180" t="s">
        <v>1743</v>
      </c>
      <c r="D299" s="51"/>
      <c r="E299" s="51"/>
      <c r="F299" s="426"/>
      <c r="G299" s="951"/>
      <c r="H299" s="971">
        <v>21250</v>
      </c>
      <c r="I299" s="38"/>
      <c r="J299" s="38"/>
      <c r="K299" s="38"/>
      <c r="L299" s="38"/>
      <c r="M299" s="229"/>
      <c r="P299" s="2362"/>
    </row>
    <row r="300" spans="1:16" s="349" customFormat="1" ht="15.75">
      <c r="A300" s="230"/>
      <c r="B300" s="82"/>
      <c r="C300" s="2180" t="s">
        <v>1818</v>
      </c>
      <c r="D300" s="51"/>
      <c r="E300" s="51"/>
      <c r="F300" s="426"/>
      <c r="G300" s="951"/>
      <c r="H300" s="971">
        <v>5707.56</v>
      </c>
      <c r="I300" s="38"/>
      <c r="J300" s="38"/>
      <c r="K300" s="38"/>
      <c r="L300" s="38"/>
      <c r="M300" s="229"/>
      <c r="P300" s="2362"/>
    </row>
    <row r="301" spans="1:16" s="349" customFormat="1" ht="15.75">
      <c r="A301" s="230"/>
      <c r="B301" s="82"/>
      <c r="C301" s="2181" t="s">
        <v>1961</v>
      </c>
      <c r="D301" s="51"/>
      <c r="E301" s="51"/>
      <c r="F301" s="426"/>
      <c r="G301" s="951" t="s">
        <v>2005</v>
      </c>
      <c r="H301" s="2179"/>
      <c r="I301" s="38"/>
      <c r="J301" s="38"/>
      <c r="K301" s="38"/>
      <c r="L301" s="38"/>
      <c r="M301" s="229"/>
      <c r="P301" s="2362"/>
    </row>
    <row r="302" spans="1:16" s="349" customFormat="1" ht="15.75">
      <c r="A302" s="230"/>
      <c r="B302" s="82"/>
      <c r="C302" s="2180" t="s">
        <v>1817</v>
      </c>
      <c r="D302" s="51"/>
      <c r="E302" s="51"/>
      <c r="F302" s="426"/>
      <c r="G302" s="951"/>
      <c r="H302" s="971">
        <v>35000.04</v>
      </c>
      <c r="I302" s="38"/>
      <c r="J302" s="38"/>
      <c r="K302" s="38"/>
      <c r="L302" s="38"/>
      <c r="M302" s="229"/>
      <c r="P302" s="2362"/>
    </row>
    <row r="303" spans="1:16" s="349" customFormat="1" ht="15.75">
      <c r="A303" s="230">
        <f>'Appendix A'!$A$121</f>
        <v>61</v>
      </c>
      <c r="B303" s="35"/>
      <c r="C303" s="982" t="s">
        <v>282</v>
      </c>
      <c r="D303" s="950"/>
      <c r="E303" s="591"/>
      <c r="F303" s="949"/>
      <c r="G303" s="1126" t="s">
        <v>1153</v>
      </c>
      <c r="H303" s="1161">
        <f>SUM(H297:H302)</f>
        <v>89288.44</v>
      </c>
      <c r="I303" s="249" t="s">
        <v>1071</v>
      </c>
      <c r="J303" s="38"/>
      <c r="K303" s="37"/>
      <c r="L303" s="37"/>
      <c r="M303" s="854"/>
      <c r="P303" s="2362"/>
    </row>
    <row r="304" spans="1:16" ht="15.75" thickBot="1">
      <c r="A304" s="238"/>
      <c r="B304" s="849"/>
      <c r="C304" s="845"/>
      <c r="D304" s="845"/>
      <c r="E304" s="845"/>
      <c r="F304" s="850"/>
      <c r="G304" s="253"/>
      <c r="H304" s="966"/>
      <c r="I304" s="858"/>
      <c r="J304" s="858"/>
      <c r="K304" s="858"/>
      <c r="L304" s="858"/>
      <c r="M304" s="492"/>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B37:AC37"/>
    <mergeCell ref="A240:G240"/>
    <mergeCell ref="A258:G258"/>
    <mergeCell ref="K240:M240"/>
    <mergeCell ref="K156:M156"/>
    <mergeCell ref="K179:M179"/>
    <mergeCell ref="K166:M166"/>
    <mergeCell ref="A156:G156"/>
    <mergeCell ref="A226:G226"/>
    <mergeCell ref="A233:G233"/>
    <mergeCell ref="A170:G170"/>
    <mergeCell ref="A179:G179"/>
    <mergeCell ref="A204:G204"/>
    <mergeCell ref="A219:G219"/>
    <mergeCell ref="A139:G139"/>
    <mergeCell ref="A5:G5"/>
    <mergeCell ref="A73:G73"/>
    <mergeCell ref="K215:M215"/>
    <mergeCell ref="K226:M226"/>
    <mergeCell ref="R21:S21"/>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00" max="12" man="1"/>
    <brk id="262"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- 2016 Projection</vt:lpstr>
      <vt:lpstr>Att 9a1-2015 Actual</vt:lpstr>
      <vt:lpstr>Att 9a2 - 2014 actual</vt:lpstr>
      <vt:lpstr>Att 9a3 - 2013 actual</vt:lpstr>
      <vt:lpstr>Att 9b - 2015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10 - Acc Amort of PIS'!Print_Area</vt:lpstr>
      <vt:lpstr>'Att 11 - Prepayments'!Print_Area</vt:lpstr>
      <vt:lpstr>'Att 12 - Plant Held Future Use'!Print_Area</vt:lpstr>
      <vt:lpstr>'Att 13 - Revenue Credit Detail'!Print_Area</vt:lpstr>
      <vt:lpstr>'Att 15 - GSU and Assoc''d Equip'!Print_Area</vt:lpstr>
      <vt:lpstr>'Att 2 - Other Taxes'!Print_Area</vt:lpstr>
      <vt:lpstr>'Att 3 - Revenue Credits'!Print_Area</vt:lpstr>
      <vt:lpstr>'Att 5 - Cost Support'!Print_Area</vt:lpstr>
      <vt:lpstr>'Att 7 - Trans Enhance Charge'!Print_Area</vt:lpstr>
      <vt:lpstr>'Att 9a1-2015 Actual'!Print_Area</vt:lpstr>
      <vt:lpstr>'Att 9a2 - 2014 actual'!Print_Area</vt:lpstr>
      <vt:lpstr>'Att 9a3 - 2013 actual'!Print_Area</vt:lpstr>
      <vt:lpstr>Inputs!Print_Area</vt:lpstr>
      <vt:lpstr>'Summary of Rates'!Print_Area</vt:lpstr>
      <vt:lpstr>'Appendix A'!Print_Titles</vt:lpstr>
      <vt:lpstr>'Att 16 - Unfunded Reserves'!Print_Titles</vt:lpstr>
      <vt:lpstr>'Att 5 - Cost Support'!Print_Titles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2016-05-13T16:53:14Z</cp:lastPrinted>
  <dcterms:created xsi:type="dcterms:W3CDTF">2012-09-21T17:04:08Z</dcterms:created>
  <dcterms:modified xsi:type="dcterms:W3CDTF">2016-05-13T16:53:58Z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